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8515" windowHeight="13350" tabRatio="967" activeTab="1"/>
  </bookViews>
  <sheets>
    <sheet name="Report_Unternehmen" sheetId="17" r:id="rId1"/>
    <sheet name="Bewertung" sheetId="1" r:id="rId2"/>
    <sheet name="Schlußkurse" sheetId="13" r:id="rId3"/>
    <sheet name="Buchwert_je_Aktie" sheetId="14" r:id="rId4"/>
    <sheet name="Ergebnis_je_Aktie_verwässert" sheetId="3" r:id="rId5"/>
    <sheet name="Dividende_je_Aktie" sheetId="15" r:id="rId6"/>
    <sheet name="Aktien_im_Umlauf_splitbereinigt" sheetId="10" r:id="rId7"/>
    <sheet name="KGV" sheetId="2" r:id="rId8"/>
    <sheet name="KBV" sheetId="18" r:id="rId9"/>
    <sheet name="Dividendenrendite" sheetId="16" r:id="rId10"/>
    <sheet name="Ausschüttungsquote" sheetId="6" r:id="rId11"/>
    <sheet name="Bewertung_Stammdaten" sheetId="8" r:id="rId12"/>
    <sheet name="Bereinigung_offen" sheetId="12" r:id="rId13"/>
    <sheet name="Bereinigung" sheetId="9" r:id="rId14"/>
  </sheets>
  <definedNames>
    <definedName name="_xlnm._FilterDatabase" localSheetId="6" hidden="1">Aktien_im_Umlauf_splitbereinigt!$A$3:$Z$3</definedName>
    <definedName name="_xlnm._FilterDatabase" localSheetId="10" hidden="1">Ausschüttungsquote!$A$3:$X$3</definedName>
    <definedName name="_xlnm._FilterDatabase" localSheetId="13" hidden="1">Bereinigung!$A$1:$P$1</definedName>
    <definedName name="_xlnm._FilterDatabase" localSheetId="12" hidden="1">Bereinigung_offen!$A$2:$N$2</definedName>
    <definedName name="_xlnm._FilterDatabase" localSheetId="1">Bewertung!$A$2:$BQ$2</definedName>
    <definedName name="_xlnm._FilterDatabase" localSheetId="3" hidden="1">Buchwert_je_Aktie!$A$3:$AK$3</definedName>
    <definedName name="_xlnm._FilterDatabase" localSheetId="5" hidden="1">Dividende_je_Aktie!$A$3:$AM$3</definedName>
    <definedName name="_xlnm._FilterDatabase" localSheetId="9" hidden="1">Dividendenrendite!$A$3:$R$3</definedName>
    <definedName name="_xlnm._FilterDatabase" localSheetId="4" hidden="1">Ergebnis_je_Aktie_verwässert!$A$3:$AK$3</definedName>
    <definedName name="_xlnm._FilterDatabase" localSheetId="8" hidden="1">KBV!$A$3:$R$3</definedName>
    <definedName name="_xlnm._FilterDatabase" localSheetId="7" hidden="1">KGV!$A$3:$R$3</definedName>
    <definedName name="_xlnm._FilterDatabase" localSheetId="2" hidden="1">Schlußkurse!$A$5:$AU$105</definedName>
  </definedNames>
  <calcPr calcId="145621"/>
  <pivotCaches>
    <pivotCache cacheId="216" r:id="rId15"/>
    <pivotCache cacheId="217" r:id="rId16"/>
    <pivotCache cacheId="218" r:id="rId17"/>
    <pivotCache cacheId="219" r:id="rId18"/>
    <pivotCache cacheId="220" r:id="rId19"/>
    <pivotCache cacheId="221" r:id="rId20"/>
  </pivotCaches>
</workbook>
</file>

<file path=xl/calcChain.xml><?xml version="1.0" encoding="utf-8"?>
<calcChain xmlns="http://schemas.openxmlformats.org/spreadsheetml/2006/main">
  <c r="BO1" i="1" l="1"/>
  <c r="BH1" i="1"/>
  <c r="BA1" i="1"/>
  <c r="AT1" i="1"/>
  <c r="AJ1" i="1"/>
  <c r="Z1" i="1"/>
  <c r="Q1" i="1"/>
  <c r="R65" i="1" l="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A87" i="8"/>
  <c r="A74" i="8"/>
  <c r="A61" i="8"/>
  <c r="A48" i="8"/>
  <c r="A35" i="8"/>
  <c r="A22" i="8"/>
  <c r="A9" i="8"/>
  <c r="C7" i="8" l="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P79" i="1" s="1"/>
  <c r="M80" i="1"/>
  <c r="M81" i="1"/>
  <c r="M82" i="1"/>
  <c r="M83" i="1"/>
  <c r="M84" i="1"/>
  <c r="M85" i="1"/>
  <c r="M86" i="1"/>
  <c r="M87" i="1"/>
  <c r="M88" i="1"/>
  <c r="M89" i="1"/>
  <c r="M90" i="1"/>
  <c r="M91" i="1"/>
  <c r="M92" i="1"/>
  <c r="M93" i="1"/>
  <c r="M94" i="1"/>
  <c r="M95" i="1"/>
  <c r="P95" i="1" s="1"/>
  <c r="M96" i="1"/>
  <c r="M97" i="1"/>
  <c r="M98" i="1"/>
  <c r="M99" i="1"/>
  <c r="M100" i="1"/>
  <c r="M101" i="1"/>
  <c r="M102" i="1"/>
  <c r="M3"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O65" i="1"/>
  <c r="P65" i="1" s="1"/>
  <c r="O66" i="1"/>
  <c r="P66" i="1" s="1"/>
  <c r="O67" i="1"/>
  <c r="O68" i="1"/>
  <c r="P68" i="1" s="1"/>
  <c r="O69" i="1"/>
  <c r="P69" i="1" s="1"/>
  <c r="O70" i="1"/>
  <c r="P70" i="1" s="1"/>
  <c r="O71" i="1"/>
  <c r="O72" i="1"/>
  <c r="P72" i="1" s="1"/>
  <c r="O73" i="1"/>
  <c r="P73" i="1" s="1"/>
  <c r="O74" i="1"/>
  <c r="P74" i="1" s="1"/>
  <c r="O75" i="1"/>
  <c r="O76" i="1"/>
  <c r="P76" i="1" s="1"/>
  <c r="O77" i="1"/>
  <c r="P77" i="1" s="1"/>
  <c r="O78" i="1"/>
  <c r="P78" i="1" s="1"/>
  <c r="O79" i="1"/>
  <c r="O80" i="1"/>
  <c r="P80" i="1" s="1"/>
  <c r="O81" i="1"/>
  <c r="P81" i="1" s="1"/>
  <c r="O82" i="1"/>
  <c r="P82" i="1" s="1"/>
  <c r="O83" i="1"/>
  <c r="O84" i="1"/>
  <c r="P84" i="1" s="1"/>
  <c r="O85" i="1"/>
  <c r="P85" i="1" s="1"/>
  <c r="O86" i="1"/>
  <c r="P86" i="1" s="1"/>
  <c r="O87" i="1"/>
  <c r="O88" i="1"/>
  <c r="P88" i="1" s="1"/>
  <c r="O89" i="1"/>
  <c r="P89" i="1" s="1"/>
  <c r="O90" i="1"/>
  <c r="P90" i="1" s="1"/>
  <c r="O91" i="1"/>
  <c r="O92" i="1"/>
  <c r="P92" i="1" s="1"/>
  <c r="O93" i="1"/>
  <c r="P93" i="1" s="1"/>
  <c r="O94" i="1"/>
  <c r="P94" i="1" s="1"/>
  <c r="O95" i="1"/>
  <c r="O96" i="1"/>
  <c r="P96" i="1" s="1"/>
  <c r="O97" i="1"/>
  <c r="P97" i="1" s="1"/>
  <c r="O98" i="1"/>
  <c r="P98" i="1" s="1"/>
  <c r="O99" i="1"/>
  <c r="O100" i="1"/>
  <c r="O101" i="1"/>
  <c r="P101" i="1" s="1"/>
  <c r="O102" i="1"/>
  <c r="P102" i="1" s="1"/>
  <c r="P100" i="1" l="1"/>
  <c r="P99" i="1"/>
  <c r="P91" i="1"/>
  <c r="P87" i="1"/>
  <c r="P83" i="1"/>
  <c r="P75" i="1"/>
  <c r="P71" i="1"/>
  <c r="P67" i="1"/>
  <c r="P5" i="18"/>
  <c r="P6" i="18"/>
  <c r="P7" i="18"/>
  <c r="P8" i="18"/>
  <c r="P9" i="18"/>
  <c r="P10" i="18"/>
  <c r="P11" i="18"/>
  <c r="P12" i="18"/>
  <c r="P13" i="18"/>
  <c r="P14" i="18"/>
  <c r="P15" i="18"/>
  <c r="P16" i="18"/>
  <c r="P17" i="18"/>
  <c r="P18" i="18"/>
  <c r="P19" i="18"/>
  <c r="P20" i="18"/>
  <c r="P21" i="18"/>
  <c r="P22" i="18"/>
  <c r="P23" i="18"/>
  <c r="P24" i="18"/>
  <c r="P25" i="18"/>
  <c r="P26" i="18"/>
  <c r="P27" i="18"/>
  <c r="P28" i="18"/>
  <c r="P29" i="18"/>
  <c r="P30" i="18"/>
  <c r="P31" i="18"/>
  <c r="P32" i="18"/>
  <c r="P33" i="18"/>
  <c r="P34" i="18"/>
  <c r="P35" i="18"/>
  <c r="P36" i="18"/>
  <c r="P37" i="18"/>
  <c r="P38" i="18"/>
  <c r="P39" i="18"/>
  <c r="P40" i="18"/>
  <c r="P41" i="18"/>
  <c r="P42" i="18"/>
  <c r="P43" i="18"/>
  <c r="P44" i="18"/>
  <c r="P45" i="18"/>
  <c r="P46" i="18"/>
  <c r="P47" i="18"/>
  <c r="P48" i="18"/>
  <c r="P49" i="18"/>
  <c r="P50" i="18"/>
  <c r="P51" i="18"/>
  <c r="P52" i="18"/>
  <c r="P53" i="18"/>
  <c r="P54" i="18"/>
  <c r="P55" i="18"/>
  <c r="P56" i="18"/>
  <c r="P57" i="18"/>
  <c r="P58" i="18"/>
  <c r="P59" i="18"/>
  <c r="P60" i="18"/>
  <c r="P61" i="18"/>
  <c r="P62" i="18"/>
  <c r="P63" i="18"/>
  <c r="P64" i="18"/>
  <c r="P65" i="18"/>
  <c r="P66" i="18"/>
  <c r="P67" i="18"/>
  <c r="P68" i="18"/>
  <c r="P69" i="18"/>
  <c r="P70" i="18"/>
  <c r="P71" i="18"/>
  <c r="P72" i="18"/>
  <c r="P73" i="18"/>
  <c r="P74" i="18"/>
  <c r="P75" i="18"/>
  <c r="P76" i="18"/>
  <c r="P77" i="18"/>
  <c r="P78" i="18"/>
  <c r="P79" i="18"/>
  <c r="P80" i="18"/>
  <c r="P81" i="18"/>
  <c r="P82" i="18"/>
  <c r="P83" i="18"/>
  <c r="P84" i="18"/>
  <c r="P85" i="18"/>
  <c r="P86" i="18"/>
  <c r="P87" i="18"/>
  <c r="P88" i="18"/>
  <c r="P89" i="18"/>
  <c r="P90" i="18"/>
  <c r="P91" i="18"/>
  <c r="P92" i="18"/>
  <c r="P93" i="18"/>
  <c r="P94" i="18"/>
  <c r="P95" i="18"/>
  <c r="P96" i="18"/>
  <c r="P97" i="18"/>
  <c r="P98" i="18"/>
  <c r="P99" i="18"/>
  <c r="P100" i="18"/>
  <c r="P101" i="18"/>
  <c r="P102" i="18"/>
  <c r="P103" i="18"/>
  <c r="P4" i="18"/>
  <c r="C54" i="2"/>
  <c r="C8" i="2"/>
  <c r="C7" i="2"/>
  <c r="C6" i="2"/>
  <c r="C5" i="2"/>
  <c r="C4" i="2"/>
  <c r="O5" i="18"/>
  <c r="O6" i="18"/>
  <c r="O7" i="18"/>
  <c r="O8" i="18"/>
  <c r="O9" i="18"/>
  <c r="O10" i="18"/>
  <c r="O11" i="18"/>
  <c r="O12" i="18"/>
  <c r="O13" i="18"/>
  <c r="O14" i="18"/>
  <c r="O15" i="18"/>
  <c r="O16" i="18"/>
  <c r="O17" i="18"/>
  <c r="O18" i="18"/>
  <c r="O19" i="18"/>
  <c r="O20" i="18"/>
  <c r="O21" i="18"/>
  <c r="O22" i="18"/>
  <c r="O23" i="18"/>
  <c r="O24" i="18"/>
  <c r="O25" i="18"/>
  <c r="O26" i="18"/>
  <c r="O27" i="18"/>
  <c r="O28" i="18"/>
  <c r="O29" i="18"/>
  <c r="O30" i="18"/>
  <c r="O31" i="18"/>
  <c r="O32" i="18"/>
  <c r="O33" i="18"/>
  <c r="O34" i="18"/>
  <c r="O35" i="18"/>
  <c r="O36" i="18"/>
  <c r="O37" i="18"/>
  <c r="O38" i="18"/>
  <c r="O39" i="18"/>
  <c r="O40" i="18"/>
  <c r="O41" i="18"/>
  <c r="O42" i="18"/>
  <c r="O43" i="18"/>
  <c r="O44" i="18"/>
  <c r="O45" i="18"/>
  <c r="O46" i="18"/>
  <c r="O47" i="18"/>
  <c r="O48" i="18"/>
  <c r="O49" i="18"/>
  <c r="O50" i="18"/>
  <c r="O51" i="18"/>
  <c r="O52" i="18"/>
  <c r="O53" i="18"/>
  <c r="O54" i="18"/>
  <c r="O55" i="18"/>
  <c r="O56" i="18"/>
  <c r="O57" i="18"/>
  <c r="O58" i="18"/>
  <c r="O59" i="18"/>
  <c r="O60" i="18"/>
  <c r="O61" i="18"/>
  <c r="O62" i="18"/>
  <c r="O63" i="18"/>
  <c r="O64" i="18"/>
  <c r="O65" i="18"/>
  <c r="O66" i="18"/>
  <c r="O67" i="18"/>
  <c r="O68" i="18"/>
  <c r="O69" i="18"/>
  <c r="O70" i="18"/>
  <c r="O71" i="18"/>
  <c r="O72" i="18"/>
  <c r="O73" i="18"/>
  <c r="O74" i="18"/>
  <c r="O75" i="18"/>
  <c r="O76" i="18"/>
  <c r="O77" i="18"/>
  <c r="O78" i="18"/>
  <c r="O79" i="18"/>
  <c r="O80" i="18"/>
  <c r="O81" i="18"/>
  <c r="O82" i="18"/>
  <c r="O83" i="18"/>
  <c r="O84" i="18"/>
  <c r="O85" i="18"/>
  <c r="O86" i="18"/>
  <c r="O87" i="18"/>
  <c r="O88" i="18"/>
  <c r="O89" i="18"/>
  <c r="O90" i="18"/>
  <c r="O91" i="18"/>
  <c r="O92" i="18"/>
  <c r="O93" i="18"/>
  <c r="O94" i="18"/>
  <c r="O95" i="18"/>
  <c r="O96" i="18"/>
  <c r="O97" i="18"/>
  <c r="O98" i="18"/>
  <c r="O99" i="18"/>
  <c r="O100" i="18"/>
  <c r="O101" i="18"/>
  <c r="O102" i="18"/>
  <c r="O103" i="18"/>
  <c r="O4" i="18"/>
  <c r="N5" i="18"/>
  <c r="N6" i="18"/>
  <c r="N7" i="18"/>
  <c r="N8" i="18"/>
  <c r="N9" i="18"/>
  <c r="N10" i="18"/>
  <c r="N11" i="18"/>
  <c r="N12" i="18"/>
  <c r="N13" i="18"/>
  <c r="N14" i="18"/>
  <c r="N15" i="18"/>
  <c r="N16" i="18"/>
  <c r="N17"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N101" i="18"/>
  <c r="N102" i="18"/>
  <c r="N103" i="18"/>
  <c r="N4" i="18"/>
  <c r="M5" i="18"/>
  <c r="M6" i="18"/>
  <c r="M7" i="18"/>
  <c r="M8" i="18"/>
  <c r="M9" i="18"/>
  <c r="M10" i="18"/>
  <c r="M11" i="18"/>
  <c r="M12" i="18"/>
  <c r="M13" i="18"/>
  <c r="M14" i="18"/>
  <c r="M15" i="18"/>
  <c r="M16" i="18"/>
  <c r="M17" i="18"/>
  <c r="M18" i="18"/>
  <c r="M19" i="18"/>
  <c r="M20" i="18"/>
  <c r="M21" i="18"/>
  <c r="M22" i="18"/>
  <c r="M23" i="18"/>
  <c r="M24" i="18"/>
  <c r="M25" i="18"/>
  <c r="M26" i="18"/>
  <c r="M27" i="18"/>
  <c r="M28" i="18"/>
  <c r="M29" i="18"/>
  <c r="M30" i="18"/>
  <c r="M31" i="18"/>
  <c r="M32" i="18"/>
  <c r="M33" i="18"/>
  <c r="M34" i="18"/>
  <c r="M35" i="18"/>
  <c r="M36" i="18"/>
  <c r="M37" i="18"/>
  <c r="M38" i="18"/>
  <c r="M39" i="18"/>
  <c r="M40" i="18"/>
  <c r="M41" i="18"/>
  <c r="M42" i="18"/>
  <c r="M43" i="18"/>
  <c r="M44" i="18"/>
  <c r="M45" i="18"/>
  <c r="M46" i="18"/>
  <c r="M47" i="18"/>
  <c r="M48" i="18"/>
  <c r="M49" i="18"/>
  <c r="M50" i="18"/>
  <c r="M51" i="18"/>
  <c r="M52" i="18"/>
  <c r="M53" i="18"/>
  <c r="M54" i="18"/>
  <c r="M55" i="18"/>
  <c r="M56" i="18"/>
  <c r="M57" i="18"/>
  <c r="M58" i="18"/>
  <c r="M59" i="18"/>
  <c r="M60" i="18"/>
  <c r="M61" i="18"/>
  <c r="M62" i="18"/>
  <c r="M63" i="18"/>
  <c r="M64" i="18"/>
  <c r="M65" i="18"/>
  <c r="M66" i="18"/>
  <c r="M67" i="18"/>
  <c r="M68" i="18"/>
  <c r="M69" i="18"/>
  <c r="M70" i="18"/>
  <c r="M71" i="18"/>
  <c r="M72" i="18"/>
  <c r="M73" i="18"/>
  <c r="M74" i="18"/>
  <c r="M75" i="18"/>
  <c r="M76" i="18"/>
  <c r="M77" i="18"/>
  <c r="M78" i="18"/>
  <c r="M79" i="18"/>
  <c r="M80" i="18"/>
  <c r="M81" i="18"/>
  <c r="M82" i="18"/>
  <c r="M83" i="18"/>
  <c r="M84" i="18"/>
  <c r="M85" i="18"/>
  <c r="M86" i="18"/>
  <c r="M87" i="18"/>
  <c r="M88" i="18"/>
  <c r="M89" i="18"/>
  <c r="M90" i="18"/>
  <c r="M91" i="18"/>
  <c r="M92" i="18"/>
  <c r="M93" i="18"/>
  <c r="M94" i="18"/>
  <c r="M95" i="18"/>
  <c r="M96" i="18"/>
  <c r="M97" i="18"/>
  <c r="M98" i="18"/>
  <c r="M99" i="18"/>
  <c r="M100" i="18"/>
  <c r="M101" i="18"/>
  <c r="M102" i="18"/>
  <c r="M103" i="18"/>
  <c r="M4" i="18"/>
  <c r="L5" i="18"/>
  <c r="L6" i="18"/>
  <c r="L7" i="18"/>
  <c r="L8" i="18"/>
  <c r="L9" i="18"/>
  <c r="L10" i="18"/>
  <c r="L11" i="18"/>
  <c r="L12" i="18"/>
  <c r="L13" i="18"/>
  <c r="L14" i="18"/>
  <c r="L15" i="18"/>
  <c r="L16" i="18"/>
  <c r="L17" i="18"/>
  <c r="L18" i="18"/>
  <c r="L19" i="18"/>
  <c r="L20" i="18"/>
  <c r="L21" i="18"/>
  <c r="L22" i="18"/>
  <c r="L23" i="18"/>
  <c r="L24" i="18"/>
  <c r="L25" i="18"/>
  <c r="L26" i="18"/>
  <c r="L27" i="18"/>
  <c r="L28" i="18"/>
  <c r="L29" i="18"/>
  <c r="L30" i="18"/>
  <c r="L31" i="18"/>
  <c r="L32" i="18"/>
  <c r="L33" i="18"/>
  <c r="L34" i="18"/>
  <c r="L35" i="18"/>
  <c r="L36" i="18"/>
  <c r="L37" i="18"/>
  <c r="L38" i="18"/>
  <c r="L39" i="18"/>
  <c r="L40" i="18"/>
  <c r="L41" i="18"/>
  <c r="L42" i="18"/>
  <c r="L43" i="18"/>
  <c r="L44" i="18"/>
  <c r="L45" i="18"/>
  <c r="L46" i="18"/>
  <c r="L47" i="18"/>
  <c r="L48" i="18"/>
  <c r="L49" i="18"/>
  <c r="L50" i="18"/>
  <c r="L51" i="18"/>
  <c r="L52" i="18"/>
  <c r="L53" i="18"/>
  <c r="L54" i="18"/>
  <c r="L55" i="18"/>
  <c r="L56" i="18"/>
  <c r="L57" i="18"/>
  <c r="L58" i="18"/>
  <c r="L59" i="18"/>
  <c r="L60" i="18"/>
  <c r="L61" i="18"/>
  <c r="L62" i="18"/>
  <c r="L63" i="18"/>
  <c r="L64" i="18"/>
  <c r="L65" i="18"/>
  <c r="L66" i="18"/>
  <c r="L67" i="18"/>
  <c r="L68" i="18"/>
  <c r="L69" i="18"/>
  <c r="L70" i="18"/>
  <c r="L71" i="18"/>
  <c r="L72" i="18"/>
  <c r="L73" i="18"/>
  <c r="L74" i="18"/>
  <c r="L75" i="18"/>
  <c r="L76" i="18"/>
  <c r="L77" i="18"/>
  <c r="L78" i="18"/>
  <c r="L79" i="18"/>
  <c r="L80" i="18"/>
  <c r="L81" i="18"/>
  <c r="L82" i="18"/>
  <c r="L83" i="18"/>
  <c r="L84" i="18"/>
  <c r="L85" i="18"/>
  <c r="L86" i="18"/>
  <c r="L87" i="18"/>
  <c r="L88" i="18"/>
  <c r="L89" i="18"/>
  <c r="L90" i="18"/>
  <c r="L91" i="18"/>
  <c r="L92" i="18"/>
  <c r="L93" i="18"/>
  <c r="L94" i="18"/>
  <c r="L95" i="18"/>
  <c r="L96" i="18"/>
  <c r="L97" i="18"/>
  <c r="L98" i="18"/>
  <c r="L99" i="18"/>
  <c r="L100" i="18"/>
  <c r="L101" i="18"/>
  <c r="L102" i="18"/>
  <c r="L103" i="18"/>
  <c r="L4" i="18"/>
  <c r="K5" i="18"/>
  <c r="K6" i="18"/>
  <c r="K7" i="18"/>
  <c r="K8" i="18"/>
  <c r="K9" i="18"/>
  <c r="K10" i="18"/>
  <c r="K11" i="18"/>
  <c r="K12" i="18"/>
  <c r="K13" i="18"/>
  <c r="K14" i="18"/>
  <c r="K15" i="18"/>
  <c r="K16" i="18"/>
  <c r="K17" i="18"/>
  <c r="K18" i="18"/>
  <c r="K19" i="18"/>
  <c r="K20" i="18"/>
  <c r="K21" i="18"/>
  <c r="K22" i="18"/>
  <c r="K23" i="18"/>
  <c r="K24" i="18"/>
  <c r="K25" i="18"/>
  <c r="K26" i="18"/>
  <c r="K27" i="18"/>
  <c r="K28" i="18"/>
  <c r="K29" i="18"/>
  <c r="K30" i="18"/>
  <c r="K31" i="18"/>
  <c r="K32" i="18"/>
  <c r="K33" i="18"/>
  <c r="K34" i="18"/>
  <c r="K35" i="18"/>
  <c r="K36" i="18"/>
  <c r="K37" i="18"/>
  <c r="K38" i="18"/>
  <c r="K39" i="18"/>
  <c r="K40" i="18"/>
  <c r="K41" i="18"/>
  <c r="K42" i="18"/>
  <c r="K43" i="18"/>
  <c r="K44" i="18"/>
  <c r="K45" i="18"/>
  <c r="K46" i="18"/>
  <c r="K47" i="18"/>
  <c r="K48" i="18"/>
  <c r="K49" i="18"/>
  <c r="K50" i="18"/>
  <c r="K51" i="18"/>
  <c r="K52" i="18"/>
  <c r="K53" i="18"/>
  <c r="K54" i="18"/>
  <c r="K55" i="18"/>
  <c r="K56" i="18"/>
  <c r="K57" i="18"/>
  <c r="K58" i="18"/>
  <c r="K59" i="18"/>
  <c r="K60" i="18"/>
  <c r="K61" i="18"/>
  <c r="K62" i="18"/>
  <c r="K63" i="18"/>
  <c r="K64" i="18"/>
  <c r="K65" i="18"/>
  <c r="K66" i="18"/>
  <c r="K67" i="18"/>
  <c r="K68" i="18"/>
  <c r="K69" i="18"/>
  <c r="K70" i="18"/>
  <c r="K71" i="18"/>
  <c r="K72" i="18"/>
  <c r="K73" i="18"/>
  <c r="K74" i="18"/>
  <c r="K75" i="18"/>
  <c r="K76" i="18"/>
  <c r="K77" i="18"/>
  <c r="K78" i="18"/>
  <c r="K79" i="18"/>
  <c r="K80" i="18"/>
  <c r="K81" i="18"/>
  <c r="K82" i="18"/>
  <c r="K83" i="18"/>
  <c r="K84" i="18"/>
  <c r="K85" i="18"/>
  <c r="K86" i="18"/>
  <c r="K87" i="18"/>
  <c r="K88" i="18"/>
  <c r="K89" i="18"/>
  <c r="K90" i="18"/>
  <c r="K91" i="18"/>
  <c r="K92" i="18"/>
  <c r="K93" i="18"/>
  <c r="K94" i="18"/>
  <c r="K95" i="18"/>
  <c r="K96" i="18"/>
  <c r="K97" i="18"/>
  <c r="K98" i="18"/>
  <c r="K99" i="18"/>
  <c r="K100" i="18"/>
  <c r="K101" i="18"/>
  <c r="K102" i="18"/>
  <c r="K103" i="18"/>
  <c r="K4" i="18"/>
  <c r="J5" i="18"/>
  <c r="J6" i="18"/>
  <c r="J7" i="18"/>
  <c r="J8" i="18"/>
  <c r="J9" i="18"/>
  <c r="J10" i="18"/>
  <c r="J11" i="18"/>
  <c r="J12" i="18"/>
  <c r="J13" i="18"/>
  <c r="J14" i="18"/>
  <c r="J15" i="18"/>
  <c r="J16" i="18"/>
  <c r="J17" i="18"/>
  <c r="J18" i="18"/>
  <c r="J19" i="18"/>
  <c r="J20" i="18"/>
  <c r="J21" i="18"/>
  <c r="J22" i="18"/>
  <c r="J23" i="18"/>
  <c r="J24" i="18"/>
  <c r="J25" i="18"/>
  <c r="J26" i="18"/>
  <c r="J27" i="18"/>
  <c r="J28" i="18"/>
  <c r="J29" i="18"/>
  <c r="J30" i="18"/>
  <c r="J31" i="18"/>
  <c r="J32" i="18"/>
  <c r="J33" i="18"/>
  <c r="J34" i="18"/>
  <c r="J35" i="18"/>
  <c r="J36" i="18"/>
  <c r="J37" i="18"/>
  <c r="J38" i="18"/>
  <c r="J39" i="18"/>
  <c r="J40" i="18"/>
  <c r="J41" i="18"/>
  <c r="J42" i="18"/>
  <c r="J43" i="18"/>
  <c r="J44" i="18"/>
  <c r="J45" i="18"/>
  <c r="J46" i="18"/>
  <c r="J47" i="18"/>
  <c r="J48" i="18"/>
  <c r="J49" i="18"/>
  <c r="J50" i="18"/>
  <c r="J51" i="18"/>
  <c r="J52" i="18"/>
  <c r="J53" i="18"/>
  <c r="J54" i="18"/>
  <c r="J55" i="18"/>
  <c r="J56" i="18"/>
  <c r="J57" i="18"/>
  <c r="J58" i="18"/>
  <c r="J59" i="18"/>
  <c r="J60" i="18"/>
  <c r="J61" i="18"/>
  <c r="J62" i="18"/>
  <c r="J63" i="18"/>
  <c r="J64" i="18"/>
  <c r="J65" i="18"/>
  <c r="J66" i="18"/>
  <c r="J67" i="18"/>
  <c r="J68" i="18"/>
  <c r="J69" i="18"/>
  <c r="J70" i="18"/>
  <c r="J71" i="18"/>
  <c r="J72" i="18"/>
  <c r="J73" i="18"/>
  <c r="J74" i="18"/>
  <c r="J75" i="18"/>
  <c r="J76" i="18"/>
  <c r="J77" i="18"/>
  <c r="J78" i="18"/>
  <c r="J79" i="18"/>
  <c r="J80" i="18"/>
  <c r="J81" i="18"/>
  <c r="J82" i="18"/>
  <c r="J83" i="18"/>
  <c r="J84" i="18"/>
  <c r="J85" i="18"/>
  <c r="J86" i="18"/>
  <c r="J87" i="18"/>
  <c r="J88" i="18"/>
  <c r="J89" i="18"/>
  <c r="J90" i="18"/>
  <c r="J91" i="18"/>
  <c r="J92" i="18"/>
  <c r="J93" i="18"/>
  <c r="J94" i="18"/>
  <c r="J95" i="18"/>
  <c r="J96" i="18"/>
  <c r="J97" i="18"/>
  <c r="J98" i="18"/>
  <c r="J99" i="18"/>
  <c r="J100" i="18"/>
  <c r="J101" i="18"/>
  <c r="J102" i="18"/>
  <c r="J103" i="18"/>
  <c r="J4" i="18"/>
  <c r="I5" i="18"/>
  <c r="I6" i="18"/>
  <c r="I7"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89" i="18"/>
  <c r="I90" i="18"/>
  <c r="I91" i="18"/>
  <c r="I92" i="18"/>
  <c r="I93" i="18"/>
  <c r="I94" i="18"/>
  <c r="I95" i="18"/>
  <c r="I96" i="18"/>
  <c r="I97" i="18"/>
  <c r="I98" i="18"/>
  <c r="I99" i="18"/>
  <c r="I100" i="18"/>
  <c r="I101" i="18"/>
  <c r="I102" i="18"/>
  <c r="I103" i="18"/>
  <c r="I4" i="18"/>
  <c r="H5" i="18"/>
  <c r="H6" i="18"/>
  <c r="H7" i="18"/>
  <c r="H8" i="18"/>
  <c r="H9" i="18"/>
  <c r="H10" i="18"/>
  <c r="H11" i="18"/>
  <c r="H12" i="18"/>
  <c r="H13" i="18"/>
  <c r="H14" i="18"/>
  <c r="H15" i="18"/>
  <c r="H16" i="18"/>
  <c r="H17" i="18"/>
  <c r="H18" i="18"/>
  <c r="H19" i="18"/>
  <c r="H20" i="18"/>
  <c r="H21" i="18"/>
  <c r="H22" i="18"/>
  <c r="H23" i="18"/>
  <c r="H24" i="18"/>
  <c r="H25" i="18"/>
  <c r="H26" i="18"/>
  <c r="H27" i="18"/>
  <c r="H28" i="18"/>
  <c r="H29" i="18"/>
  <c r="H30" i="18"/>
  <c r="H31" i="18"/>
  <c r="H32" i="18"/>
  <c r="H33" i="18"/>
  <c r="H34" i="18"/>
  <c r="H35" i="18"/>
  <c r="H36" i="18"/>
  <c r="H37" i="18"/>
  <c r="H38" i="18"/>
  <c r="H39" i="18"/>
  <c r="H40" i="18"/>
  <c r="H41" i="18"/>
  <c r="H42" i="18"/>
  <c r="H43" i="18"/>
  <c r="H44" i="18"/>
  <c r="H45" i="18"/>
  <c r="H46" i="18"/>
  <c r="H47" i="18"/>
  <c r="H48" i="18"/>
  <c r="H49" i="18"/>
  <c r="H50" i="18"/>
  <c r="H51" i="18"/>
  <c r="H52" i="18"/>
  <c r="H53" i="18"/>
  <c r="H54" i="18"/>
  <c r="H55" i="18"/>
  <c r="H56" i="18"/>
  <c r="H57" i="18"/>
  <c r="H58" i="18"/>
  <c r="H59" i="18"/>
  <c r="H60" i="18"/>
  <c r="H61" i="18"/>
  <c r="H62" i="18"/>
  <c r="H63" i="18"/>
  <c r="H64" i="18"/>
  <c r="H65" i="18"/>
  <c r="H66" i="18"/>
  <c r="H67" i="18"/>
  <c r="H68" i="18"/>
  <c r="H69" i="18"/>
  <c r="H70" i="18"/>
  <c r="H71" i="18"/>
  <c r="H72" i="18"/>
  <c r="H73" i="18"/>
  <c r="H74" i="18"/>
  <c r="H75" i="18"/>
  <c r="H76" i="18"/>
  <c r="H77" i="18"/>
  <c r="H78" i="18"/>
  <c r="H79" i="18"/>
  <c r="H80" i="18"/>
  <c r="H81" i="18"/>
  <c r="H82" i="18"/>
  <c r="H83" i="18"/>
  <c r="H84" i="18"/>
  <c r="H85" i="18"/>
  <c r="H86" i="18"/>
  <c r="H87" i="18"/>
  <c r="H88" i="18"/>
  <c r="H89" i="18"/>
  <c r="H90" i="18"/>
  <c r="H91" i="18"/>
  <c r="H92" i="18"/>
  <c r="H93" i="18"/>
  <c r="H94" i="18"/>
  <c r="H95" i="18"/>
  <c r="H96" i="18"/>
  <c r="H97" i="18"/>
  <c r="H98" i="18"/>
  <c r="H99" i="18"/>
  <c r="H100" i="18"/>
  <c r="H101" i="18"/>
  <c r="H102" i="18"/>
  <c r="H103" i="18"/>
  <c r="H4" i="18"/>
  <c r="G5" i="18"/>
  <c r="G6" i="18"/>
  <c r="G7" i="18"/>
  <c r="G8" i="18"/>
  <c r="G9" i="18"/>
  <c r="G10" i="18"/>
  <c r="G11" i="18"/>
  <c r="G12" i="18"/>
  <c r="G13" i="18"/>
  <c r="G14" i="18"/>
  <c r="G15" i="18"/>
  <c r="G16" i="18"/>
  <c r="G17" i="18"/>
  <c r="G18" i="18"/>
  <c r="G19" i="18"/>
  <c r="G20" i="18"/>
  <c r="G21" i="18"/>
  <c r="G22" i="18"/>
  <c r="G23" i="18"/>
  <c r="G24" i="18"/>
  <c r="G25" i="18"/>
  <c r="G26" i="18"/>
  <c r="G27" i="18"/>
  <c r="G28" i="18"/>
  <c r="G29" i="18"/>
  <c r="G30" i="18"/>
  <c r="G31" i="18"/>
  <c r="G32" i="18"/>
  <c r="G33" i="18"/>
  <c r="G34" i="18"/>
  <c r="G35" i="18"/>
  <c r="G36" i="18"/>
  <c r="G37" i="18"/>
  <c r="G38" i="18"/>
  <c r="G39" i="18"/>
  <c r="G40" i="18"/>
  <c r="G41" i="18"/>
  <c r="G42" i="18"/>
  <c r="G43" i="18"/>
  <c r="G44" i="18"/>
  <c r="G45" i="18"/>
  <c r="G46" i="18"/>
  <c r="G47" i="18"/>
  <c r="G48" i="18"/>
  <c r="G49" i="18"/>
  <c r="G50" i="18"/>
  <c r="G51" i="18"/>
  <c r="G52" i="18"/>
  <c r="G53" i="18"/>
  <c r="G54" i="18"/>
  <c r="G55" i="18"/>
  <c r="G56" i="18"/>
  <c r="G57" i="18"/>
  <c r="G58" i="18"/>
  <c r="G59" i="18"/>
  <c r="G60" i="18"/>
  <c r="G61" i="18"/>
  <c r="G62" i="18"/>
  <c r="G63" i="18"/>
  <c r="G64" i="18"/>
  <c r="G65" i="18"/>
  <c r="G66" i="18"/>
  <c r="G67" i="18"/>
  <c r="G68" i="18"/>
  <c r="G69" i="18"/>
  <c r="G70" i="18"/>
  <c r="G71" i="18"/>
  <c r="G72" i="18"/>
  <c r="G73" i="18"/>
  <c r="G74" i="18"/>
  <c r="G75" i="18"/>
  <c r="G76" i="18"/>
  <c r="G77" i="18"/>
  <c r="G78" i="18"/>
  <c r="G79" i="18"/>
  <c r="G80" i="18"/>
  <c r="G81" i="18"/>
  <c r="G82" i="18"/>
  <c r="G83" i="18"/>
  <c r="G84" i="18"/>
  <c r="G85" i="18"/>
  <c r="G86" i="18"/>
  <c r="G87" i="18"/>
  <c r="G88" i="18"/>
  <c r="G89" i="18"/>
  <c r="G90" i="18"/>
  <c r="G91" i="18"/>
  <c r="G92" i="18"/>
  <c r="G93" i="18"/>
  <c r="G94" i="18"/>
  <c r="G95" i="18"/>
  <c r="G96" i="18"/>
  <c r="G97" i="18"/>
  <c r="G98" i="18"/>
  <c r="G99" i="18"/>
  <c r="G100" i="18"/>
  <c r="G101" i="18"/>
  <c r="G102" i="18"/>
  <c r="G103" i="18"/>
  <c r="G4" i="18"/>
  <c r="F5" i="18"/>
  <c r="F6" i="18"/>
  <c r="F7" i="18"/>
  <c r="F8" i="18"/>
  <c r="F9"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36" i="18"/>
  <c r="F37" i="18"/>
  <c r="F38" i="18"/>
  <c r="F39" i="18"/>
  <c r="F40" i="18"/>
  <c r="F41" i="18"/>
  <c r="F42" i="18"/>
  <c r="F43" i="18"/>
  <c r="F44" i="18"/>
  <c r="F45" i="18"/>
  <c r="F46" i="18"/>
  <c r="F47" i="18"/>
  <c r="F48" i="18"/>
  <c r="F49" i="18"/>
  <c r="F50" i="18"/>
  <c r="F51" i="18"/>
  <c r="F52" i="18"/>
  <c r="F53" i="18"/>
  <c r="F54" i="18"/>
  <c r="F55" i="18"/>
  <c r="F56" i="18"/>
  <c r="F57" i="18"/>
  <c r="F58" i="18"/>
  <c r="F59" i="18"/>
  <c r="F60" i="18"/>
  <c r="F61" i="18"/>
  <c r="F62" i="18"/>
  <c r="F63" i="18"/>
  <c r="F64" i="18"/>
  <c r="F65" i="18"/>
  <c r="F66" i="18"/>
  <c r="F67" i="18"/>
  <c r="F68" i="18"/>
  <c r="F69" i="18"/>
  <c r="F70" i="18"/>
  <c r="F71" i="18"/>
  <c r="F72" i="18"/>
  <c r="F73" i="18"/>
  <c r="F74" i="18"/>
  <c r="F75" i="18"/>
  <c r="F76" i="18"/>
  <c r="F77" i="18"/>
  <c r="F78" i="18"/>
  <c r="F79" i="18"/>
  <c r="F80" i="18"/>
  <c r="F81" i="18"/>
  <c r="F82" i="18"/>
  <c r="F83" i="18"/>
  <c r="F84" i="18"/>
  <c r="F85" i="18"/>
  <c r="F86" i="18"/>
  <c r="F87" i="18"/>
  <c r="F88" i="18"/>
  <c r="F89" i="18"/>
  <c r="F90" i="18"/>
  <c r="F91" i="18"/>
  <c r="F92" i="18"/>
  <c r="F93" i="18"/>
  <c r="F94" i="18"/>
  <c r="F95" i="18"/>
  <c r="F96" i="18"/>
  <c r="F97" i="18"/>
  <c r="F98" i="18"/>
  <c r="F99" i="18"/>
  <c r="F100" i="18"/>
  <c r="F101" i="18"/>
  <c r="F102" i="18"/>
  <c r="F103" i="18"/>
  <c r="F4" i="18"/>
  <c r="E5" i="18"/>
  <c r="E6" i="18"/>
  <c r="E7" i="18"/>
  <c r="E8" i="18"/>
  <c r="E9" i="18"/>
  <c r="E10" i="18"/>
  <c r="E11" i="18"/>
  <c r="E12" i="18"/>
  <c r="E13" i="18"/>
  <c r="E14" i="18"/>
  <c r="E15" i="18"/>
  <c r="E16" i="18"/>
  <c r="E17" i="18"/>
  <c r="E18" i="18"/>
  <c r="E19" i="18"/>
  <c r="E20" i="18"/>
  <c r="E21" i="18"/>
  <c r="E22" i="18"/>
  <c r="E23" i="18"/>
  <c r="E24" i="18"/>
  <c r="E25" i="18"/>
  <c r="E26" i="18"/>
  <c r="E27" i="18"/>
  <c r="E28" i="18"/>
  <c r="E29" i="18"/>
  <c r="E30" i="18"/>
  <c r="E31" i="18"/>
  <c r="E32" i="18"/>
  <c r="E33" i="18"/>
  <c r="E34" i="18"/>
  <c r="E35" i="18"/>
  <c r="E36" i="18"/>
  <c r="E37" i="18"/>
  <c r="E38" i="18"/>
  <c r="E39" i="18"/>
  <c r="E40" i="18"/>
  <c r="E41" i="18"/>
  <c r="E42" i="18"/>
  <c r="E43" i="18"/>
  <c r="E44" i="18"/>
  <c r="E45" i="18"/>
  <c r="E46" i="18"/>
  <c r="E47" i="18"/>
  <c r="E48" i="18"/>
  <c r="E49" i="18"/>
  <c r="E50" i="18"/>
  <c r="E51" i="18"/>
  <c r="E52" i="18"/>
  <c r="E53" i="18"/>
  <c r="E54" i="18"/>
  <c r="E55" i="18"/>
  <c r="E56" i="18"/>
  <c r="E57" i="18"/>
  <c r="E58" i="18"/>
  <c r="E59" i="18"/>
  <c r="E60" i="18"/>
  <c r="E61" i="18"/>
  <c r="E62" i="18"/>
  <c r="E63" i="18"/>
  <c r="E64" i="18"/>
  <c r="E65" i="18"/>
  <c r="E66" i="18"/>
  <c r="E67" i="18"/>
  <c r="E68" i="18"/>
  <c r="E69" i="18"/>
  <c r="E70" i="18"/>
  <c r="E71" i="18"/>
  <c r="E72" i="18"/>
  <c r="E73" i="18"/>
  <c r="E74" i="18"/>
  <c r="E75" i="18"/>
  <c r="E76" i="18"/>
  <c r="E77" i="18"/>
  <c r="E78" i="18"/>
  <c r="E79" i="18"/>
  <c r="E80" i="18"/>
  <c r="E81" i="18"/>
  <c r="E82" i="18"/>
  <c r="E83" i="18"/>
  <c r="E84" i="18"/>
  <c r="E85" i="18"/>
  <c r="E86" i="18"/>
  <c r="E87" i="18"/>
  <c r="E88" i="18"/>
  <c r="E89" i="18"/>
  <c r="E90" i="18"/>
  <c r="E91" i="18"/>
  <c r="E92" i="18"/>
  <c r="E93" i="18"/>
  <c r="E94" i="18"/>
  <c r="E95" i="18"/>
  <c r="E96" i="18"/>
  <c r="E97" i="18"/>
  <c r="E98" i="18"/>
  <c r="E99" i="18"/>
  <c r="E100" i="18"/>
  <c r="E101" i="18"/>
  <c r="E102" i="18"/>
  <c r="E103" i="18"/>
  <c r="E4" i="18"/>
  <c r="D5" i="18"/>
  <c r="D6" i="18"/>
  <c r="D7" i="18"/>
  <c r="D8" i="18"/>
  <c r="D9" i="18"/>
  <c r="D10" i="18"/>
  <c r="D11" i="18"/>
  <c r="D12" i="18"/>
  <c r="D13" i="18"/>
  <c r="D14" i="18"/>
  <c r="D15" i="18"/>
  <c r="D16" i="18"/>
  <c r="D17" i="18"/>
  <c r="D18" i="18"/>
  <c r="D19" i="18"/>
  <c r="D20" i="18"/>
  <c r="D21" i="18"/>
  <c r="D22" i="18"/>
  <c r="D23" i="18"/>
  <c r="D24" i="18"/>
  <c r="D25" i="18"/>
  <c r="D26" i="18"/>
  <c r="D27" i="18"/>
  <c r="D28" i="18"/>
  <c r="D29" i="18"/>
  <c r="D30" i="18"/>
  <c r="D31" i="18"/>
  <c r="D32" i="18"/>
  <c r="D33" i="18"/>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59" i="18"/>
  <c r="D60" i="18"/>
  <c r="D61" i="18"/>
  <c r="D62" i="18"/>
  <c r="D63" i="18"/>
  <c r="D64" i="18"/>
  <c r="D65" i="18"/>
  <c r="D66" i="18"/>
  <c r="D67" i="18"/>
  <c r="D68" i="18"/>
  <c r="D69" i="18"/>
  <c r="D70" i="18"/>
  <c r="D71" i="18"/>
  <c r="D72" i="18"/>
  <c r="D73" i="18"/>
  <c r="D74" i="18"/>
  <c r="D75" i="18"/>
  <c r="D76" i="18"/>
  <c r="D77" i="18"/>
  <c r="D78" i="18"/>
  <c r="D79" i="18"/>
  <c r="D80" i="18"/>
  <c r="D81" i="18"/>
  <c r="D82" i="18"/>
  <c r="D83" i="18"/>
  <c r="D84" i="18"/>
  <c r="D85" i="18"/>
  <c r="D86" i="18"/>
  <c r="D87" i="18"/>
  <c r="D88" i="18"/>
  <c r="D89" i="18"/>
  <c r="D90" i="18"/>
  <c r="D91" i="18"/>
  <c r="D92" i="18"/>
  <c r="D93" i="18"/>
  <c r="D94" i="18"/>
  <c r="D95" i="18"/>
  <c r="D96" i="18"/>
  <c r="D97" i="18"/>
  <c r="D98" i="18"/>
  <c r="D99" i="18"/>
  <c r="D100" i="18"/>
  <c r="D101" i="18"/>
  <c r="D102" i="18"/>
  <c r="D103" i="18"/>
  <c r="D4" i="18"/>
  <c r="C5" i="18"/>
  <c r="C6" i="18"/>
  <c r="C7" i="18"/>
  <c r="C8" i="18"/>
  <c r="C9" i="18"/>
  <c r="C10" i="18"/>
  <c r="C11" i="18"/>
  <c r="C12" i="18"/>
  <c r="C13" i="18"/>
  <c r="C14" i="18"/>
  <c r="C15" i="18"/>
  <c r="C16" i="18"/>
  <c r="C17" i="18"/>
  <c r="C18" i="18"/>
  <c r="C19" i="18"/>
  <c r="C20" i="18"/>
  <c r="C21" i="18"/>
  <c r="C22" i="18"/>
  <c r="C23" i="18"/>
  <c r="C24" i="18"/>
  <c r="C25" i="18"/>
  <c r="C26" i="18"/>
  <c r="C27" i="18"/>
  <c r="C28" i="18"/>
  <c r="C29" i="18"/>
  <c r="C30" i="18"/>
  <c r="C31" i="18"/>
  <c r="C32" i="18"/>
  <c r="C33" i="18"/>
  <c r="C34" i="18"/>
  <c r="C35" i="18"/>
  <c r="C36" i="18"/>
  <c r="C37" i="18"/>
  <c r="C38" i="18"/>
  <c r="C39" i="18"/>
  <c r="C40" i="18"/>
  <c r="C41" i="18"/>
  <c r="C42" i="18"/>
  <c r="C43" i="18"/>
  <c r="C44" i="18"/>
  <c r="C45" i="18"/>
  <c r="C46" i="18"/>
  <c r="C47" i="18"/>
  <c r="C48" i="18"/>
  <c r="C49" i="18"/>
  <c r="C50" i="18"/>
  <c r="C51" i="18"/>
  <c r="C52" i="18"/>
  <c r="C53" i="18"/>
  <c r="C54" i="18"/>
  <c r="C55" i="18"/>
  <c r="C56" i="18"/>
  <c r="C57" i="18"/>
  <c r="C58" i="18"/>
  <c r="C59" i="18"/>
  <c r="C60" i="18"/>
  <c r="C61" i="18"/>
  <c r="C62" i="18"/>
  <c r="C63" i="18"/>
  <c r="C64" i="18"/>
  <c r="C65" i="18"/>
  <c r="C66" i="18"/>
  <c r="C67" i="18"/>
  <c r="C68" i="18"/>
  <c r="C69" i="18"/>
  <c r="C70" i="18"/>
  <c r="C71" i="18"/>
  <c r="C72" i="18"/>
  <c r="C73" i="18"/>
  <c r="C74" i="18"/>
  <c r="C75" i="18"/>
  <c r="C76" i="18"/>
  <c r="C77" i="18"/>
  <c r="C78" i="18"/>
  <c r="C79" i="18"/>
  <c r="C80" i="18"/>
  <c r="C81" i="18"/>
  <c r="C82" i="18"/>
  <c r="C83" i="18"/>
  <c r="C84" i="18"/>
  <c r="C85" i="18"/>
  <c r="C86" i="18"/>
  <c r="C87" i="18"/>
  <c r="C88" i="18"/>
  <c r="C89" i="18"/>
  <c r="C90" i="18"/>
  <c r="C91" i="18"/>
  <c r="C92" i="18"/>
  <c r="C93" i="18"/>
  <c r="C94" i="18"/>
  <c r="C95" i="18"/>
  <c r="C96" i="18"/>
  <c r="C97" i="18"/>
  <c r="C98" i="18"/>
  <c r="C99" i="18"/>
  <c r="C100" i="18"/>
  <c r="C101" i="18"/>
  <c r="C102" i="18"/>
  <c r="C103" i="18"/>
  <c r="C4" i="18"/>
  <c r="Q103" i="18"/>
  <c r="R103" i="18" s="1"/>
  <c r="Q102" i="18"/>
  <c r="R102" i="18" s="1"/>
  <c r="Q101" i="18"/>
  <c r="R101" i="18" s="1"/>
  <c r="Q100" i="18"/>
  <c r="R100" i="18" s="1"/>
  <c r="Q99" i="18"/>
  <c r="R99" i="18" s="1"/>
  <c r="Q98" i="18"/>
  <c r="R98" i="18" s="1"/>
  <c r="Q97" i="18"/>
  <c r="R97" i="18" s="1"/>
  <c r="Q96" i="18"/>
  <c r="R96" i="18" s="1"/>
  <c r="Q95" i="18"/>
  <c r="R95" i="18" s="1"/>
  <c r="Q94" i="18"/>
  <c r="R94" i="18" s="1"/>
  <c r="Q93" i="18"/>
  <c r="R93" i="18" s="1"/>
  <c r="Q92" i="18"/>
  <c r="R92" i="18" s="1"/>
  <c r="Q91" i="18"/>
  <c r="R91" i="18" s="1"/>
  <c r="Q90" i="18"/>
  <c r="R90" i="18" s="1"/>
  <c r="Q89" i="18"/>
  <c r="R89" i="18" s="1"/>
  <c r="Q88" i="18"/>
  <c r="R88" i="18" s="1"/>
  <c r="Q87" i="18"/>
  <c r="R87" i="18" s="1"/>
  <c r="Q86" i="18"/>
  <c r="R86" i="18" s="1"/>
  <c r="Q85" i="18"/>
  <c r="R85" i="18" s="1"/>
  <c r="Q84" i="18"/>
  <c r="R84" i="18" s="1"/>
  <c r="Q83" i="18"/>
  <c r="R83" i="18" s="1"/>
  <c r="Q82" i="18"/>
  <c r="R82" i="18" s="1"/>
  <c r="Q81" i="18"/>
  <c r="R81" i="18" s="1"/>
  <c r="Q80" i="18"/>
  <c r="R80" i="18" s="1"/>
  <c r="Q79" i="18"/>
  <c r="R79" i="18" s="1"/>
  <c r="Q78" i="18"/>
  <c r="R78" i="18" s="1"/>
  <c r="Q77" i="18"/>
  <c r="R77" i="18" s="1"/>
  <c r="Q76" i="18"/>
  <c r="R76" i="18" s="1"/>
  <c r="Q75" i="18"/>
  <c r="R75" i="18" s="1"/>
  <c r="Q74" i="18"/>
  <c r="R74" i="18" s="1"/>
  <c r="Q73" i="18"/>
  <c r="R73" i="18" s="1"/>
  <c r="Q72" i="18"/>
  <c r="R72" i="18" s="1"/>
  <c r="Q71" i="18"/>
  <c r="R71" i="18" s="1"/>
  <c r="Q70" i="18"/>
  <c r="R70" i="18" s="1"/>
  <c r="Q69" i="18"/>
  <c r="R69" i="18" s="1"/>
  <c r="Q68" i="18"/>
  <c r="R68" i="18" s="1"/>
  <c r="Q67" i="18"/>
  <c r="R67" i="18" s="1"/>
  <c r="Q66" i="18"/>
  <c r="R66" i="18" s="1"/>
  <c r="O103" i="16" l="1"/>
  <c r="N103" i="16"/>
  <c r="M103" i="16"/>
  <c r="L103" i="16"/>
  <c r="K103" i="16"/>
  <c r="J103" i="16"/>
  <c r="I103" i="16"/>
  <c r="H103" i="16"/>
  <c r="G103" i="16"/>
  <c r="F103" i="16"/>
  <c r="E103" i="16"/>
  <c r="D103" i="16"/>
  <c r="C103" i="16"/>
  <c r="O102" i="16"/>
  <c r="N102" i="16"/>
  <c r="M102" i="16"/>
  <c r="L102" i="16"/>
  <c r="K102" i="16"/>
  <c r="J102" i="16"/>
  <c r="I102" i="16"/>
  <c r="H102" i="16"/>
  <c r="G102" i="16"/>
  <c r="F102" i="16"/>
  <c r="E102" i="16"/>
  <c r="D102" i="16"/>
  <c r="C102" i="16"/>
  <c r="O101" i="16"/>
  <c r="N101" i="16"/>
  <c r="M101" i="16"/>
  <c r="L101" i="16"/>
  <c r="K101" i="16"/>
  <c r="J101" i="16"/>
  <c r="I101" i="16"/>
  <c r="H101" i="16"/>
  <c r="G101" i="16"/>
  <c r="F101" i="16"/>
  <c r="E101" i="16"/>
  <c r="D101" i="16"/>
  <c r="C101" i="16"/>
  <c r="O100" i="16"/>
  <c r="N100" i="16"/>
  <c r="M100" i="16"/>
  <c r="L100" i="16"/>
  <c r="K100" i="16"/>
  <c r="J100" i="16"/>
  <c r="I100" i="16"/>
  <c r="H100" i="16"/>
  <c r="G100" i="16"/>
  <c r="F100" i="16"/>
  <c r="E100" i="16"/>
  <c r="D100" i="16"/>
  <c r="C100" i="16"/>
  <c r="O99" i="16"/>
  <c r="N99" i="16"/>
  <c r="M99" i="16"/>
  <c r="L99" i="16"/>
  <c r="K99" i="16"/>
  <c r="J99" i="16"/>
  <c r="I99" i="16"/>
  <c r="H99" i="16"/>
  <c r="G99" i="16"/>
  <c r="F99" i="16"/>
  <c r="E99" i="16"/>
  <c r="D99" i="16"/>
  <c r="C99" i="16"/>
  <c r="O98" i="16"/>
  <c r="N98" i="16"/>
  <c r="M98" i="16"/>
  <c r="L98" i="16"/>
  <c r="K98" i="16"/>
  <c r="J98" i="16"/>
  <c r="I98" i="16"/>
  <c r="H98" i="16"/>
  <c r="G98" i="16"/>
  <c r="F98" i="16"/>
  <c r="E98" i="16"/>
  <c r="D98" i="16"/>
  <c r="C98" i="16"/>
  <c r="O97" i="16"/>
  <c r="N97" i="16"/>
  <c r="M97" i="16"/>
  <c r="L97" i="16"/>
  <c r="K97" i="16"/>
  <c r="J97" i="16"/>
  <c r="I97" i="16"/>
  <c r="H97" i="16"/>
  <c r="G97" i="16"/>
  <c r="F97" i="16"/>
  <c r="E97" i="16"/>
  <c r="D97" i="16"/>
  <c r="C97" i="16"/>
  <c r="O96" i="16"/>
  <c r="N96" i="16"/>
  <c r="M96" i="16"/>
  <c r="L96" i="16"/>
  <c r="K96" i="16"/>
  <c r="J96" i="16"/>
  <c r="I96" i="16"/>
  <c r="H96" i="16"/>
  <c r="G96" i="16"/>
  <c r="F96" i="16"/>
  <c r="E96" i="16"/>
  <c r="D96" i="16"/>
  <c r="C96" i="16"/>
  <c r="O95" i="16"/>
  <c r="N95" i="16"/>
  <c r="M95" i="16"/>
  <c r="L95" i="16"/>
  <c r="K95" i="16"/>
  <c r="J95" i="16"/>
  <c r="I95" i="16"/>
  <c r="H95" i="16"/>
  <c r="G95" i="16"/>
  <c r="F95" i="16"/>
  <c r="E95" i="16"/>
  <c r="D95" i="16"/>
  <c r="C95" i="16"/>
  <c r="O94" i="16"/>
  <c r="N94" i="16"/>
  <c r="M94" i="16"/>
  <c r="L94" i="16"/>
  <c r="K94" i="16"/>
  <c r="J94" i="16"/>
  <c r="I94" i="16"/>
  <c r="H94" i="16"/>
  <c r="G94" i="16"/>
  <c r="F94" i="16"/>
  <c r="E94" i="16"/>
  <c r="D94" i="16"/>
  <c r="C94" i="16"/>
  <c r="O93" i="16"/>
  <c r="N93" i="16"/>
  <c r="M93" i="16"/>
  <c r="L93" i="16"/>
  <c r="K93" i="16"/>
  <c r="J93" i="16"/>
  <c r="I93" i="16"/>
  <c r="H93" i="16"/>
  <c r="G93" i="16"/>
  <c r="F93" i="16"/>
  <c r="E93" i="16"/>
  <c r="D93" i="16"/>
  <c r="C93" i="16"/>
  <c r="O92" i="16"/>
  <c r="N92" i="16"/>
  <c r="M92" i="16"/>
  <c r="L92" i="16"/>
  <c r="K92" i="16"/>
  <c r="J92" i="16"/>
  <c r="I92" i="16"/>
  <c r="H92" i="16"/>
  <c r="G92" i="16"/>
  <c r="F92" i="16"/>
  <c r="E92" i="16"/>
  <c r="D92" i="16"/>
  <c r="C92" i="16"/>
  <c r="O91" i="16"/>
  <c r="N91" i="16"/>
  <c r="M91" i="16"/>
  <c r="L91" i="16"/>
  <c r="K91" i="16"/>
  <c r="J91" i="16"/>
  <c r="I91" i="16"/>
  <c r="H91" i="16"/>
  <c r="G91" i="16"/>
  <c r="F91" i="16"/>
  <c r="E91" i="16"/>
  <c r="D91" i="16"/>
  <c r="C91" i="16"/>
  <c r="O90" i="16"/>
  <c r="N90" i="16"/>
  <c r="M90" i="16"/>
  <c r="L90" i="16"/>
  <c r="K90" i="16"/>
  <c r="J90" i="16"/>
  <c r="I90" i="16"/>
  <c r="H90" i="16"/>
  <c r="G90" i="16"/>
  <c r="F90" i="16"/>
  <c r="E90" i="16"/>
  <c r="D90" i="16"/>
  <c r="C90" i="16"/>
  <c r="O89" i="16"/>
  <c r="N89" i="16"/>
  <c r="M89" i="16"/>
  <c r="L89" i="16"/>
  <c r="K89" i="16"/>
  <c r="J89" i="16"/>
  <c r="I89" i="16"/>
  <c r="H89" i="16"/>
  <c r="G89" i="16"/>
  <c r="F89" i="16"/>
  <c r="E89" i="16"/>
  <c r="D89" i="16"/>
  <c r="C89" i="16"/>
  <c r="O88" i="16"/>
  <c r="N88" i="16"/>
  <c r="M88" i="16"/>
  <c r="L88" i="16"/>
  <c r="K88" i="16"/>
  <c r="J88" i="16"/>
  <c r="I88" i="16"/>
  <c r="H88" i="16"/>
  <c r="G88" i="16"/>
  <c r="F88" i="16"/>
  <c r="E88" i="16"/>
  <c r="D88" i="16"/>
  <c r="C88" i="16"/>
  <c r="O87" i="16"/>
  <c r="N87" i="16"/>
  <c r="M87" i="16"/>
  <c r="L87" i="16"/>
  <c r="K87" i="16"/>
  <c r="J87" i="16"/>
  <c r="I87" i="16"/>
  <c r="H87" i="16"/>
  <c r="G87" i="16"/>
  <c r="F87" i="16"/>
  <c r="E87" i="16"/>
  <c r="D87" i="16"/>
  <c r="C87" i="16"/>
  <c r="O86" i="16"/>
  <c r="N86" i="16"/>
  <c r="M86" i="16"/>
  <c r="L86" i="16"/>
  <c r="K86" i="16"/>
  <c r="J86" i="16"/>
  <c r="I86" i="16"/>
  <c r="H86" i="16"/>
  <c r="G86" i="16"/>
  <c r="F86" i="16"/>
  <c r="E86" i="16"/>
  <c r="D86" i="16"/>
  <c r="C86" i="16"/>
  <c r="O85" i="16"/>
  <c r="N85" i="16"/>
  <c r="M85" i="16"/>
  <c r="L85" i="16"/>
  <c r="K85" i="16"/>
  <c r="J85" i="16"/>
  <c r="I85" i="16"/>
  <c r="H85" i="16"/>
  <c r="G85" i="16"/>
  <c r="F85" i="16"/>
  <c r="E85" i="16"/>
  <c r="D85" i="16"/>
  <c r="C85" i="16"/>
  <c r="O84" i="16"/>
  <c r="N84" i="16"/>
  <c r="M84" i="16"/>
  <c r="L84" i="16"/>
  <c r="K84" i="16"/>
  <c r="J84" i="16"/>
  <c r="I84" i="16"/>
  <c r="H84" i="16"/>
  <c r="G84" i="16"/>
  <c r="F84" i="16"/>
  <c r="E84" i="16"/>
  <c r="D84" i="16"/>
  <c r="C84" i="16"/>
  <c r="O83" i="16"/>
  <c r="N83" i="16"/>
  <c r="M83" i="16"/>
  <c r="L83" i="16"/>
  <c r="K83" i="16"/>
  <c r="J83" i="16"/>
  <c r="I83" i="16"/>
  <c r="H83" i="16"/>
  <c r="G83" i="16"/>
  <c r="F83" i="16"/>
  <c r="E83" i="16"/>
  <c r="D83" i="16"/>
  <c r="C83" i="16"/>
  <c r="O82" i="16"/>
  <c r="N82" i="16"/>
  <c r="M82" i="16"/>
  <c r="L82" i="16"/>
  <c r="K82" i="16"/>
  <c r="J82" i="16"/>
  <c r="I82" i="16"/>
  <c r="H82" i="16"/>
  <c r="G82" i="16"/>
  <c r="F82" i="16"/>
  <c r="E82" i="16"/>
  <c r="D82" i="16"/>
  <c r="C82" i="16"/>
  <c r="O81" i="16"/>
  <c r="N81" i="16"/>
  <c r="M81" i="16"/>
  <c r="L81" i="16"/>
  <c r="K81" i="16"/>
  <c r="J81" i="16"/>
  <c r="I81" i="16"/>
  <c r="H81" i="16"/>
  <c r="G81" i="16"/>
  <c r="F81" i="16"/>
  <c r="E81" i="16"/>
  <c r="D81" i="16"/>
  <c r="C81" i="16"/>
  <c r="O80" i="16"/>
  <c r="N80" i="16"/>
  <c r="M80" i="16"/>
  <c r="L80" i="16"/>
  <c r="K80" i="16"/>
  <c r="J80" i="16"/>
  <c r="I80" i="16"/>
  <c r="H80" i="16"/>
  <c r="G80" i="16"/>
  <c r="F80" i="16"/>
  <c r="E80" i="16"/>
  <c r="D80" i="16"/>
  <c r="C80" i="16"/>
  <c r="O79" i="16"/>
  <c r="N79" i="16"/>
  <c r="M79" i="16"/>
  <c r="L79" i="16"/>
  <c r="K79" i="16"/>
  <c r="J79" i="16"/>
  <c r="I79" i="16"/>
  <c r="H79" i="16"/>
  <c r="G79" i="16"/>
  <c r="F79" i="16"/>
  <c r="E79" i="16"/>
  <c r="D79" i="16"/>
  <c r="C79" i="16"/>
  <c r="O78" i="16"/>
  <c r="N78" i="16"/>
  <c r="M78" i="16"/>
  <c r="L78" i="16"/>
  <c r="K78" i="16"/>
  <c r="J78" i="16"/>
  <c r="I78" i="16"/>
  <c r="H78" i="16"/>
  <c r="G78" i="16"/>
  <c r="F78" i="16"/>
  <c r="E78" i="16"/>
  <c r="D78" i="16"/>
  <c r="C78" i="16"/>
  <c r="O77" i="16"/>
  <c r="N77" i="16"/>
  <c r="M77" i="16"/>
  <c r="L77" i="16"/>
  <c r="K77" i="16"/>
  <c r="J77" i="16"/>
  <c r="I77" i="16"/>
  <c r="H77" i="16"/>
  <c r="G77" i="16"/>
  <c r="F77" i="16"/>
  <c r="E77" i="16"/>
  <c r="D77" i="16"/>
  <c r="C77" i="16"/>
  <c r="O76" i="16"/>
  <c r="N76" i="16"/>
  <c r="M76" i="16"/>
  <c r="L76" i="16"/>
  <c r="K76" i="16"/>
  <c r="J76" i="16"/>
  <c r="I76" i="16"/>
  <c r="H76" i="16"/>
  <c r="G76" i="16"/>
  <c r="F76" i="16"/>
  <c r="E76" i="16"/>
  <c r="D76" i="16"/>
  <c r="C76" i="16"/>
  <c r="O75" i="16"/>
  <c r="N75" i="16"/>
  <c r="M75" i="16"/>
  <c r="L75" i="16"/>
  <c r="K75" i="16"/>
  <c r="J75" i="16"/>
  <c r="I75" i="16"/>
  <c r="H75" i="16"/>
  <c r="G75" i="16"/>
  <c r="F75" i="16"/>
  <c r="E75" i="16"/>
  <c r="D75" i="16"/>
  <c r="C75" i="16"/>
  <c r="O74" i="16"/>
  <c r="N74" i="16"/>
  <c r="M74" i="16"/>
  <c r="L74" i="16"/>
  <c r="K74" i="16"/>
  <c r="J74" i="16"/>
  <c r="I74" i="16"/>
  <c r="H74" i="16"/>
  <c r="G74" i="16"/>
  <c r="F74" i="16"/>
  <c r="E74" i="16"/>
  <c r="D74" i="16"/>
  <c r="C74" i="16"/>
  <c r="O73" i="16"/>
  <c r="N73" i="16"/>
  <c r="M73" i="16"/>
  <c r="L73" i="16"/>
  <c r="K73" i="16"/>
  <c r="J73" i="16"/>
  <c r="I73" i="16"/>
  <c r="H73" i="16"/>
  <c r="G73" i="16"/>
  <c r="F73" i="16"/>
  <c r="E73" i="16"/>
  <c r="D73" i="16"/>
  <c r="C73" i="16"/>
  <c r="O72" i="16"/>
  <c r="N72" i="16"/>
  <c r="M72" i="16"/>
  <c r="L72" i="16"/>
  <c r="K72" i="16"/>
  <c r="J72" i="16"/>
  <c r="I72" i="16"/>
  <c r="H72" i="16"/>
  <c r="G72" i="16"/>
  <c r="F72" i="16"/>
  <c r="E72" i="16"/>
  <c r="D72" i="16"/>
  <c r="C72" i="16"/>
  <c r="O71" i="16"/>
  <c r="N71" i="16"/>
  <c r="M71" i="16"/>
  <c r="L71" i="16"/>
  <c r="K71" i="16"/>
  <c r="J71" i="16"/>
  <c r="I71" i="16"/>
  <c r="H71" i="16"/>
  <c r="G71" i="16"/>
  <c r="F71" i="16"/>
  <c r="E71" i="16"/>
  <c r="D71" i="16"/>
  <c r="C71" i="16"/>
  <c r="O70" i="16"/>
  <c r="N70" i="16"/>
  <c r="M70" i="16"/>
  <c r="L70" i="16"/>
  <c r="K70" i="16"/>
  <c r="J70" i="16"/>
  <c r="I70" i="16"/>
  <c r="H70" i="16"/>
  <c r="G70" i="16"/>
  <c r="F70" i="16"/>
  <c r="E70" i="16"/>
  <c r="D70" i="16"/>
  <c r="C70" i="16"/>
  <c r="O69" i="16"/>
  <c r="N69" i="16"/>
  <c r="M69" i="16"/>
  <c r="L69" i="16"/>
  <c r="K69" i="16"/>
  <c r="J69" i="16"/>
  <c r="I69" i="16"/>
  <c r="H69" i="16"/>
  <c r="G69" i="16"/>
  <c r="F69" i="16"/>
  <c r="E69" i="16"/>
  <c r="D69" i="16"/>
  <c r="C69" i="16"/>
  <c r="O68" i="16"/>
  <c r="N68" i="16"/>
  <c r="M68" i="16"/>
  <c r="L68" i="16"/>
  <c r="K68" i="16"/>
  <c r="J68" i="16"/>
  <c r="I68" i="16"/>
  <c r="H68" i="16"/>
  <c r="G68" i="16"/>
  <c r="F68" i="16"/>
  <c r="E68" i="16"/>
  <c r="D68" i="16"/>
  <c r="C68" i="16"/>
  <c r="O67" i="16"/>
  <c r="N67" i="16"/>
  <c r="M67" i="16"/>
  <c r="L67" i="16"/>
  <c r="K67" i="16"/>
  <c r="J67" i="16"/>
  <c r="I67" i="16"/>
  <c r="H67" i="16"/>
  <c r="G67" i="16"/>
  <c r="F67" i="16"/>
  <c r="E67" i="16"/>
  <c r="D67" i="16"/>
  <c r="C67" i="16"/>
  <c r="O66" i="16"/>
  <c r="N66" i="16"/>
  <c r="M66" i="16"/>
  <c r="L66" i="16"/>
  <c r="K66" i="16"/>
  <c r="J66" i="16"/>
  <c r="I66" i="16"/>
  <c r="H66" i="16"/>
  <c r="G66" i="16"/>
  <c r="F66" i="16"/>
  <c r="E66" i="16"/>
  <c r="D66" i="16"/>
  <c r="C66" i="16"/>
  <c r="R5" i="6" l="1"/>
  <c r="R6" i="6"/>
  <c r="R7" i="6"/>
  <c r="R8" i="6"/>
  <c r="R9" i="6"/>
  <c r="R10" i="6"/>
  <c r="R1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4" i="6"/>
  <c r="Q5" i="6"/>
  <c r="Q6" i="6"/>
  <c r="Q7"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Q78" i="6"/>
  <c r="Q79" i="6"/>
  <c r="Q80" i="6"/>
  <c r="Q81" i="6"/>
  <c r="Q82" i="6"/>
  <c r="Q83" i="6"/>
  <c r="Q84" i="6"/>
  <c r="Q85" i="6"/>
  <c r="Q86" i="6"/>
  <c r="Q87" i="6"/>
  <c r="Q88" i="6"/>
  <c r="Q89" i="6"/>
  <c r="Q90" i="6"/>
  <c r="Q91" i="6"/>
  <c r="Q92" i="6"/>
  <c r="Q93" i="6"/>
  <c r="Q94" i="6"/>
  <c r="Q95" i="6"/>
  <c r="Q96" i="6"/>
  <c r="Q97" i="6"/>
  <c r="Q98" i="6"/>
  <c r="Q99" i="6"/>
  <c r="Q100" i="6"/>
  <c r="Q101" i="6"/>
  <c r="Q102" i="6"/>
  <c r="Q103" i="6"/>
  <c r="Q4" i="6"/>
  <c r="P5" i="6"/>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4" i="6"/>
  <c r="O5" i="6"/>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56" i="6"/>
  <c r="O57" i="6"/>
  <c r="O58" i="6"/>
  <c r="O59" i="6"/>
  <c r="O60" i="6"/>
  <c r="O61" i="6"/>
  <c r="O62" i="6"/>
  <c r="O63" i="6"/>
  <c r="O64" i="6"/>
  <c r="O65" i="6"/>
  <c r="O66" i="6"/>
  <c r="O67" i="6"/>
  <c r="O68" i="6"/>
  <c r="O69" i="6"/>
  <c r="O70" i="6"/>
  <c r="O71" i="6"/>
  <c r="O72" i="6"/>
  <c r="O73" i="6"/>
  <c r="O74" i="6"/>
  <c r="O75" i="6"/>
  <c r="O76" i="6"/>
  <c r="O77" i="6"/>
  <c r="O78" i="6"/>
  <c r="O79" i="6"/>
  <c r="O80" i="6"/>
  <c r="O81" i="6"/>
  <c r="O82" i="6"/>
  <c r="O83" i="6"/>
  <c r="O84" i="6"/>
  <c r="O85" i="6"/>
  <c r="O86" i="6"/>
  <c r="O87" i="6"/>
  <c r="O88" i="6"/>
  <c r="O89" i="6"/>
  <c r="O90" i="6"/>
  <c r="O91" i="6"/>
  <c r="O92" i="6"/>
  <c r="O93" i="6"/>
  <c r="O94" i="6"/>
  <c r="O95" i="6"/>
  <c r="O96" i="6"/>
  <c r="O97" i="6"/>
  <c r="O98" i="6"/>
  <c r="O99" i="6"/>
  <c r="O100" i="6"/>
  <c r="O101" i="6"/>
  <c r="O102" i="6"/>
  <c r="O103" i="6"/>
  <c r="O4" i="6"/>
  <c r="N5"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4" i="6"/>
  <c r="M5" i="6"/>
  <c r="M6" i="6"/>
  <c r="M7" i="6"/>
  <c r="M8" i="6"/>
  <c r="M9" i="6"/>
  <c r="M10" i="6"/>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M4" i="6"/>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4" i="6"/>
  <c r="K5" i="6"/>
  <c r="K6" i="6"/>
  <c r="K7" i="6"/>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4" i="6"/>
  <c r="J5" i="6"/>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4" i="6"/>
  <c r="I5" i="6"/>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4" i="6"/>
  <c r="H5" i="6"/>
  <c r="H6" i="6"/>
  <c r="H7"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4" i="6"/>
  <c r="G5" i="6"/>
  <c r="G6"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4" i="6"/>
  <c r="F5" i="6"/>
  <c r="F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4" i="6"/>
  <c r="C100" i="12" l="1"/>
  <c r="C99" i="12"/>
  <c r="C98" i="12"/>
  <c r="C97" i="12"/>
  <c r="C96" i="12"/>
  <c r="C95" i="12"/>
  <c r="C94" i="12"/>
  <c r="C93" i="12"/>
  <c r="C92" i="12"/>
  <c r="C91" i="12"/>
  <c r="C90" i="12"/>
  <c r="C89" i="12"/>
  <c r="C88" i="12"/>
  <c r="C87" i="12"/>
  <c r="C86" i="12"/>
  <c r="C85" i="12"/>
  <c r="C84" i="12"/>
  <c r="C83" i="12"/>
  <c r="C82" i="12"/>
  <c r="C81" i="12"/>
  <c r="C80" i="12"/>
  <c r="C79" i="12"/>
  <c r="C78" i="12"/>
  <c r="C77" i="12"/>
  <c r="C76" i="12"/>
  <c r="C75" i="12"/>
  <c r="C74" i="12"/>
  <c r="C73" i="12"/>
  <c r="C72" i="12"/>
  <c r="C71" i="12"/>
  <c r="C70" i="12"/>
  <c r="C69" i="12"/>
  <c r="C68" i="12"/>
  <c r="C67" i="12"/>
  <c r="C66" i="12"/>
  <c r="W101" i="10"/>
  <c r="V101" i="10"/>
  <c r="U101" i="10"/>
  <c r="T101" i="10"/>
  <c r="S101" i="10"/>
  <c r="R101" i="10"/>
  <c r="Q101" i="10"/>
  <c r="P101" i="10"/>
  <c r="O101" i="10"/>
  <c r="Z101" i="10" s="1"/>
  <c r="N101" i="10"/>
  <c r="W100" i="10"/>
  <c r="V100" i="10"/>
  <c r="U100" i="10"/>
  <c r="T100" i="10"/>
  <c r="S100" i="10"/>
  <c r="R100" i="10"/>
  <c r="Q100" i="10"/>
  <c r="P100" i="10"/>
  <c r="O100" i="10"/>
  <c r="Z100" i="10" s="1"/>
  <c r="N100" i="10"/>
  <c r="W99" i="10"/>
  <c r="V99" i="10"/>
  <c r="U99" i="10"/>
  <c r="T99" i="10"/>
  <c r="S99" i="10"/>
  <c r="R99" i="10"/>
  <c r="Q99" i="10"/>
  <c r="P99" i="10"/>
  <c r="O99" i="10"/>
  <c r="Z99" i="10" s="1"/>
  <c r="N99" i="10"/>
  <c r="W98" i="10"/>
  <c r="V98" i="10"/>
  <c r="U98" i="10"/>
  <c r="T98" i="10"/>
  <c r="S98" i="10"/>
  <c r="R98" i="10"/>
  <c r="Q98" i="10"/>
  <c r="P98" i="10"/>
  <c r="O98" i="10"/>
  <c r="Z98" i="10" s="1"/>
  <c r="N98" i="10"/>
  <c r="W97" i="10"/>
  <c r="V97" i="10"/>
  <c r="U97" i="10"/>
  <c r="T97" i="10"/>
  <c r="S97" i="10"/>
  <c r="R97" i="10"/>
  <c r="Q97" i="10"/>
  <c r="P97" i="10"/>
  <c r="O97" i="10"/>
  <c r="Z97" i="10" s="1"/>
  <c r="N97" i="10"/>
  <c r="X97" i="10" s="1"/>
  <c r="Y97" i="10" s="1"/>
  <c r="W96" i="10"/>
  <c r="V96" i="10"/>
  <c r="U96" i="10"/>
  <c r="T96" i="10"/>
  <c r="S96" i="10"/>
  <c r="R96" i="10"/>
  <c r="Q96" i="10"/>
  <c r="P96" i="10"/>
  <c r="O96" i="10"/>
  <c r="Z96" i="10" s="1"/>
  <c r="N96" i="10"/>
  <c r="W95" i="10"/>
  <c r="V95" i="10"/>
  <c r="U95" i="10"/>
  <c r="T95" i="10"/>
  <c r="S95" i="10"/>
  <c r="R95" i="10"/>
  <c r="Q95" i="10"/>
  <c r="P95" i="10"/>
  <c r="O95" i="10"/>
  <c r="Z95" i="10" s="1"/>
  <c r="N95" i="10"/>
  <c r="W94" i="10"/>
  <c r="V94" i="10"/>
  <c r="U94" i="10"/>
  <c r="T94" i="10"/>
  <c r="S94" i="10"/>
  <c r="R94" i="10"/>
  <c r="Q94" i="10"/>
  <c r="P94" i="10"/>
  <c r="O94" i="10"/>
  <c r="Z94" i="10" s="1"/>
  <c r="N94" i="10"/>
  <c r="W93" i="10"/>
  <c r="V93" i="10"/>
  <c r="U93" i="10"/>
  <c r="T93" i="10"/>
  <c r="S93" i="10"/>
  <c r="R93" i="10"/>
  <c r="Q93" i="10"/>
  <c r="P93" i="10"/>
  <c r="O93" i="10"/>
  <c r="Z93" i="10" s="1"/>
  <c r="N93" i="10"/>
  <c r="X93" i="10" s="1"/>
  <c r="Y93" i="10" s="1"/>
  <c r="W92" i="10"/>
  <c r="V92" i="10"/>
  <c r="U92" i="10"/>
  <c r="T92" i="10"/>
  <c r="S92" i="10"/>
  <c r="R92" i="10"/>
  <c r="Q92" i="10"/>
  <c r="P92" i="10"/>
  <c r="O92" i="10"/>
  <c r="Z92" i="10" s="1"/>
  <c r="N92" i="10"/>
  <c r="W91" i="10"/>
  <c r="V91" i="10"/>
  <c r="U91" i="10"/>
  <c r="T91" i="10"/>
  <c r="S91" i="10"/>
  <c r="R91" i="10"/>
  <c r="Q91" i="10"/>
  <c r="P91" i="10"/>
  <c r="O91" i="10"/>
  <c r="Z91" i="10" s="1"/>
  <c r="N91" i="10"/>
  <c r="W90" i="10"/>
  <c r="V90" i="10"/>
  <c r="U90" i="10"/>
  <c r="T90" i="10"/>
  <c r="S90" i="10"/>
  <c r="R90" i="10"/>
  <c r="Q90" i="10"/>
  <c r="P90" i="10"/>
  <c r="O90" i="10"/>
  <c r="Z90" i="10" s="1"/>
  <c r="N90" i="10"/>
  <c r="X90" i="10" s="1"/>
  <c r="Y90" i="10" s="1"/>
  <c r="W89" i="10"/>
  <c r="V89" i="10"/>
  <c r="U89" i="10"/>
  <c r="T89" i="10"/>
  <c r="S89" i="10"/>
  <c r="R89" i="10"/>
  <c r="Q89" i="10"/>
  <c r="P89" i="10"/>
  <c r="O89" i="10"/>
  <c r="Z89" i="10" s="1"/>
  <c r="N89" i="10"/>
  <c r="W88" i="10"/>
  <c r="V88" i="10"/>
  <c r="U88" i="10"/>
  <c r="T88" i="10"/>
  <c r="S88" i="10"/>
  <c r="R88" i="10"/>
  <c r="Q88" i="10"/>
  <c r="P88" i="10"/>
  <c r="O88" i="10"/>
  <c r="Z88" i="10" s="1"/>
  <c r="N88" i="10"/>
  <c r="X88" i="10" s="1"/>
  <c r="Y88" i="10" s="1"/>
  <c r="W87" i="10"/>
  <c r="V87" i="10"/>
  <c r="U87" i="10"/>
  <c r="T87" i="10"/>
  <c r="S87" i="10"/>
  <c r="R87" i="10"/>
  <c r="Q87" i="10"/>
  <c r="P87" i="10"/>
  <c r="O87" i="10"/>
  <c r="Z87" i="10" s="1"/>
  <c r="N87" i="10"/>
  <c r="W86" i="10"/>
  <c r="V86" i="10"/>
  <c r="U86" i="10"/>
  <c r="T86" i="10"/>
  <c r="S86" i="10"/>
  <c r="R86" i="10"/>
  <c r="Q86" i="10"/>
  <c r="P86" i="10"/>
  <c r="O86" i="10"/>
  <c r="Z86" i="10" s="1"/>
  <c r="N86" i="10"/>
  <c r="W85" i="10"/>
  <c r="V85" i="10"/>
  <c r="U85" i="10"/>
  <c r="T85" i="10"/>
  <c r="S85" i="10"/>
  <c r="R85" i="10"/>
  <c r="Q85" i="10"/>
  <c r="P85" i="10"/>
  <c r="O85" i="10"/>
  <c r="Z85" i="10" s="1"/>
  <c r="N85" i="10"/>
  <c r="W84" i="10"/>
  <c r="V84" i="10"/>
  <c r="U84" i="10"/>
  <c r="T84" i="10"/>
  <c r="S84" i="10"/>
  <c r="R84" i="10"/>
  <c r="Q84" i="10"/>
  <c r="P84" i="10"/>
  <c r="O84" i="10"/>
  <c r="Z84" i="10" s="1"/>
  <c r="N84" i="10"/>
  <c r="X84" i="10" s="1"/>
  <c r="Y84" i="10" s="1"/>
  <c r="W83" i="10"/>
  <c r="V83" i="10"/>
  <c r="U83" i="10"/>
  <c r="T83" i="10"/>
  <c r="S83" i="10"/>
  <c r="R83" i="10"/>
  <c r="Q83" i="10"/>
  <c r="P83" i="10"/>
  <c r="O83" i="10"/>
  <c r="Z83" i="10" s="1"/>
  <c r="N83" i="10"/>
  <c r="X83" i="10" s="1"/>
  <c r="Y83" i="10" s="1"/>
  <c r="W82" i="10"/>
  <c r="V82" i="10"/>
  <c r="U82" i="10"/>
  <c r="T82" i="10"/>
  <c r="S82" i="10"/>
  <c r="R82" i="10"/>
  <c r="Q82" i="10"/>
  <c r="P82" i="10"/>
  <c r="O82" i="10"/>
  <c r="Z82" i="10" s="1"/>
  <c r="N82" i="10"/>
  <c r="W81" i="10"/>
  <c r="V81" i="10"/>
  <c r="U81" i="10"/>
  <c r="T81" i="10"/>
  <c r="S81" i="10"/>
  <c r="R81" i="10"/>
  <c r="Q81" i="10"/>
  <c r="P81" i="10"/>
  <c r="O81" i="10"/>
  <c r="Z81" i="10" s="1"/>
  <c r="N81" i="10"/>
  <c r="X81" i="10" s="1"/>
  <c r="Y81" i="10" s="1"/>
  <c r="W80" i="10"/>
  <c r="V80" i="10"/>
  <c r="U80" i="10"/>
  <c r="T80" i="10"/>
  <c r="S80" i="10"/>
  <c r="R80" i="10"/>
  <c r="Q80" i="10"/>
  <c r="P80" i="10"/>
  <c r="O80" i="10"/>
  <c r="Z80" i="10" s="1"/>
  <c r="N80" i="10"/>
  <c r="W79" i="10"/>
  <c r="V79" i="10"/>
  <c r="U79" i="10"/>
  <c r="T79" i="10"/>
  <c r="S79" i="10"/>
  <c r="R79" i="10"/>
  <c r="Q79" i="10"/>
  <c r="P79" i="10"/>
  <c r="O79" i="10"/>
  <c r="Z79" i="10" s="1"/>
  <c r="N79" i="10"/>
  <c r="W78" i="10"/>
  <c r="V78" i="10"/>
  <c r="U78" i="10"/>
  <c r="T78" i="10"/>
  <c r="S78" i="10"/>
  <c r="R78" i="10"/>
  <c r="Q78" i="10"/>
  <c r="P78" i="10"/>
  <c r="O78" i="10"/>
  <c r="Z78" i="10" s="1"/>
  <c r="N78" i="10"/>
  <c r="W77" i="10"/>
  <c r="V77" i="10"/>
  <c r="U77" i="10"/>
  <c r="T77" i="10"/>
  <c r="S77" i="10"/>
  <c r="R77" i="10"/>
  <c r="Q77" i="10"/>
  <c r="P77" i="10"/>
  <c r="O77" i="10"/>
  <c r="Z77" i="10" s="1"/>
  <c r="N77" i="10"/>
  <c r="W76" i="10"/>
  <c r="V76" i="10"/>
  <c r="U76" i="10"/>
  <c r="T76" i="10"/>
  <c r="S76" i="10"/>
  <c r="R76" i="10"/>
  <c r="Q76" i="10"/>
  <c r="P76" i="10"/>
  <c r="O76" i="10"/>
  <c r="Z76" i="10" s="1"/>
  <c r="N76" i="10"/>
  <c r="W75" i="10"/>
  <c r="V75" i="10"/>
  <c r="U75" i="10"/>
  <c r="T75" i="10"/>
  <c r="S75" i="10"/>
  <c r="R75" i="10"/>
  <c r="Q75" i="10"/>
  <c r="P75" i="10"/>
  <c r="O75" i="10"/>
  <c r="Z75" i="10" s="1"/>
  <c r="N75" i="10"/>
  <c r="X75" i="10" s="1"/>
  <c r="Y75" i="10" s="1"/>
  <c r="W74" i="10"/>
  <c r="V74" i="10"/>
  <c r="U74" i="10"/>
  <c r="T74" i="10"/>
  <c r="S74" i="10"/>
  <c r="R74" i="10"/>
  <c r="Q74" i="10"/>
  <c r="P74" i="10"/>
  <c r="O74" i="10"/>
  <c r="Z74" i="10" s="1"/>
  <c r="N74" i="10"/>
  <c r="W73" i="10"/>
  <c r="V73" i="10"/>
  <c r="U73" i="10"/>
  <c r="T73" i="10"/>
  <c r="S73" i="10"/>
  <c r="R73" i="10"/>
  <c r="Q73" i="10"/>
  <c r="P73" i="10"/>
  <c r="O73" i="10"/>
  <c r="Z73" i="10" s="1"/>
  <c r="N73" i="10"/>
  <c r="W72" i="10"/>
  <c r="V72" i="10"/>
  <c r="U72" i="10"/>
  <c r="T72" i="10"/>
  <c r="S72" i="10"/>
  <c r="R72" i="10"/>
  <c r="Q72" i="10"/>
  <c r="P72" i="10"/>
  <c r="O72" i="10"/>
  <c r="Z72" i="10" s="1"/>
  <c r="N72" i="10"/>
  <c r="W71" i="10"/>
  <c r="V71" i="10"/>
  <c r="U71" i="10"/>
  <c r="T71" i="10"/>
  <c r="S71" i="10"/>
  <c r="R71" i="10"/>
  <c r="Q71" i="10"/>
  <c r="P71" i="10"/>
  <c r="O71" i="10"/>
  <c r="Z71" i="10" s="1"/>
  <c r="N71" i="10"/>
  <c r="W70" i="10"/>
  <c r="V70" i="10"/>
  <c r="U70" i="10"/>
  <c r="T70" i="10"/>
  <c r="S70" i="10"/>
  <c r="R70" i="10"/>
  <c r="Q70" i="10"/>
  <c r="P70" i="10"/>
  <c r="O70" i="10"/>
  <c r="Z70" i="10" s="1"/>
  <c r="N70" i="10"/>
  <c r="X70" i="10" s="1"/>
  <c r="Y70" i="10" s="1"/>
  <c r="W69" i="10"/>
  <c r="V69" i="10"/>
  <c r="U69" i="10"/>
  <c r="T69" i="10"/>
  <c r="S69" i="10"/>
  <c r="R69" i="10"/>
  <c r="Q69" i="10"/>
  <c r="P69" i="10"/>
  <c r="O69" i="10"/>
  <c r="Z69" i="10" s="1"/>
  <c r="N69" i="10"/>
  <c r="W68" i="10"/>
  <c r="V68" i="10"/>
  <c r="U68" i="10"/>
  <c r="T68" i="10"/>
  <c r="S68" i="10"/>
  <c r="R68" i="10"/>
  <c r="Q68" i="10"/>
  <c r="P68" i="10"/>
  <c r="O68" i="10"/>
  <c r="Z68" i="10" s="1"/>
  <c r="N68" i="10"/>
  <c r="W67" i="10"/>
  <c r="V67" i="10"/>
  <c r="U67" i="10"/>
  <c r="T67" i="10"/>
  <c r="S67" i="10"/>
  <c r="R67" i="10"/>
  <c r="Q67" i="10"/>
  <c r="P67" i="10"/>
  <c r="O67" i="10"/>
  <c r="Z67" i="10" s="1"/>
  <c r="N67" i="10"/>
  <c r="X67" i="10" s="1"/>
  <c r="Y67" i="10" s="1"/>
  <c r="AL101" i="15"/>
  <c r="AK101" i="15"/>
  <c r="AJ101" i="15"/>
  <c r="AI101" i="15"/>
  <c r="AH101" i="15"/>
  <c r="AG101" i="15"/>
  <c r="AF101" i="15"/>
  <c r="AE101" i="15"/>
  <c r="AD101" i="15"/>
  <c r="AC101" i="15"/>
  <c r="AB101" i="15"/>
  <c r="AA101" i="15"/>
  <c r="Z101" i="15"/>
  <c r="AM101" i="15" s="1"/>
  <c r="W101" i="15"/>
  <c r="V101" i="15"/>
  <c r="U101" i="15" s="1"/>
  <c r="T101" i="15"/>
  <c r="AL100" i="15"/>
  <c r="AK100" i="15"/>
  <c r="AJ100" i="15"/>
  <c r="AI100" i="15"/>
  <c r="AH100" i="15"/>
  <c r="AG100" i="15"/>
  <c r="AF100" i="15"/>
  <c r="AE100" i="15"/>
  <c r="AD100" i="15"/>
  <c r="AC100" i="15"/>
  <c r="AB100" i="15"/>
  <c r="AA100" i="15"/>
  <c r="Z100" i="15"/>
  <c r="AM100" i="15" s="1"/>
  <c r="W100" i="15"/>
  <c r="V100" i="15"/>
  <c r="U100" i="15" s="1"/>
  <c r="T100" i="15"/>
  <c r="AL99" i="15"/>
  <c r="AK99" i="15"/>
  <c r="AJ99" i="15"/>
  <c r="AI99" i="15"/>
  <c r="AH99" i="15"/>
  <c r="AG99" i="15"/>
  <c r="AF99" i="15"/>
  <c r="AE99" i="15"/>
  <c r="AD99" i="15"/>
  <c r="AC99" i="15"/>
  <c r="AB99" i="15"/>
  <c r="AA99" i="15"/>
  <c r="AM99" i="15" s="1"/>
  <c r="Z99" i="15"/>
  <c r="W99" i="15"/>
  <c r="V99" i="15"/>
  <c r="U99" i="15" s="1"/>
  <c r="T99" i="15"/>
  <c r="AL98" i="15"/>
  <c r="AK98" i="15"/>
  <c r="AJ98" i="15"/>
  <c r="AI98" i="15"/>
  <c r="AH98" i="15"/>
  <c r="AG98" i="15"/>
  <c r="AF98" i="15"/>
  <c r="AE98" i="15"/>
  <c r="AD98" i="15"/>
  <c r="AC98" i="15"/>
  <c r="AB98" i="15"/>
  <c r="AA98" i="15"/>
  <c r="AM98" i="15" s="1"/>
  <c r="Z98" i="15"/>
  <c r="W98" i="15"/>
  <c r="V98" i="15"/>
  <c r="U98" i="15" s="1"/>
  <c r="T98" i="15"/>
  <c r="AL97" i="15"/>
  <c r="AK97" i="15"/>
  <c r="AJ97" i="15"/>
  <c r="AI97" i="15"/>
  <c r="AH97" i="15"/>
  <c r="AG97" i="15"/>
  <c r="AF97" i="15"/>
  <c r="AE97" i="15"/>
  <c r="AD97" i="15"/>
  <c r="AC97" i="15"/>
  <c r="AB97" i="15"/>
  <c r="AA97" i="15"/>
  <c r="Z97" i="15"/>
  <c r="AM97" i="15" s="1"/>
  <c r="W97" i="15"/>
  <c r="V97" i="15"/>
  <c r="U97" i="15" s="1"/>
  <c r="T97" i="15"/>
  <c r="AL96" i="15"/>
  <c r="AK96" i="15"/>
  <c r="AJ96" i="15"/>
  <c r="AI96" i="15"/>
  <c r="AH96" i="15"/>
  <c r="AG96" i="15"/>
  <c r="AF96" i="15"/>
  <c r="AE96" i="15"/>
  <c r="AD96" i="15"/>
  <c r="AC96" i="15"/>
  <c r="AB96" i="15"/>
  <c r="AA96" i="15"/>
  <c r="Z96" i="15"/>
  <c r="AM96" i="15" s="1"/>
  <c r="W96" i="15"/>
  <c r="V96" i="15"/>
  <c r="U96" i="15" s="1"/>
  <c r="T96" i="15"/>
  <c r="AL95" i="15"/>
  <c r="AK95" i="15"/>
  <c r="AJ95" i="15"/>
  <c r="AI95" i="15"/>
  <c r="AH95" i="15"/>
  <c r="AG95" i="15"/>
  <c r="AF95" i="15"/>
  <c r="AE95" i="15"/>
  <c r="AD95" i="15"/>
  <c r="AC95" i="15"/>
  <c r="AB95" i="15"/>
  <c r="AA95" i="15"/>
  <c r="Z95" i="15"/>
  <c r="AM95" i="15" s="1"/>
  <c r="W95" i="15"/>
  <c r="V95" i="15"/>
  <c r="U95" i="15" s="1"/>
  <c r="T95" i="15"/>
  <c r="AL94" i="15"/>
  <c r="AK94" i="15"/>
  <c r="AJ94" i="15"/>
  <c r="AI94" i="15"/>
  <c r="AH94" i="15"/>
  <c r="AG94" i="15"/>
  <c r="AF94" i="15"/>
  <c r="AE94" i="15"/>
  <c r="AD94" i="15"/>
  <c r="AC94" i="15"/>
  <c r="AB94" i="15"/>
  <c r="AA94" i="15"/>
  <c r="AM94" i="15" s="1"/>
  <c r="Z94" i="15"/>
  <c r="W94" i="15"/>
  <c r="V94" i="15"/>
  <c r="U94" i="15" s="1"/>
  <c r="T94" i="15"/>
  <c r="AL93" i="15"/>
  <c r="AK93" i="15"/>
  <c r="AJ93" i="15"/>
  <c r="AI93" i="15"/>
  <c r="AH93" i="15"/>
  <c r="AG93" i="15"/>
  <c r="AF93" i="15"/>
  <c r="AE93" i="15"/>
  <c r="AD93" i="15"/>
  <c r="AC93" i="15"/>
  <c r="AB93" i="15"/>
  <c r="AA93" i="15"/>
  <c r="Z93" i="15"/>
  <c r="AM93" i="15" s="1"/>
  <c r="W93" i="15"/>
  <c r="V93" i="15"/>
  <c r="U93" i="15" s="1"/>
  <c r="T93" i="15"/>
  <c r="AL92" i="15"/>
  <c r="AK92" i="15"/>
  <c r="AJ92" i="15"/>
  <c r="AI92" i="15"/>
  <c r="AH92" i="15"/>
  <c r="AG92" i="15"/>
  <c r="AF92" i="15"/>
  <c r="AE92" i="15"/>
  <c r="AD92" i="15"/>
  <c r="AC92" i="15"/>
  <c r="AB92" i="15"/>
  <c r="AA92" i="15"/>
  <c r="AM92" i="15" s="1"/>
  <c r="Z92" i="15"/>
  <c r="W92" i="15"/>
  <c r="V92" i="15"/>
  <c r="U92" i="15" s="1"/>
  <c r="T92" i="15"/>
  <c r="AL91" i="15"/>
  <c r="AK91" i="15"/>
  <c r="AJ91" i="15"/>
  <c r="AI91" i="15"/>
  <c r="AH91" i="15"/>
  <c r="AG91" i="15"/>
  <c r="AF91" i="15"/>
  <c r="AE91" i="15"/>
  <c r="AD91" i="15"/>
  <c r="AC91" i="15"/>
  <c r="AB91" i="15"/>
  <c r="AA91" i="15"/>
  <c r="AM91" i="15" s="1"/>
  <c r="Z91" i="15"/>
  <c r="W91" i="15"/>
  <c r="V91" i="15"/>
  <c r="U91" i="15" s="1"/>
  <c r="T91" i="15"/>
  <c r="AL90" i="15"/>
  <c r="AK90" i="15"/>
  <c r="AJ90" i="15"/>
  <c r="AI90" i="15"/>
  <c r="AH90" i="15"/>
  <c r="AG90" i="15"/>
  <c r="AF90" i="15"/>
  <c r="AE90" i="15"/>
  <c r="AD90" i="15"/>
  <c r="AC90" i="15"/>
  <c r="AB90" i="15"/>
  <c r="AA90" i="15"/>
  <c r="AM90" i="15" s="1"/>
  <c r="Z90" i="15"/>
  <c r="W90" i="15"/>
  <c r="V90" i="15"/>
  <c r="U90" i="15" s="1"/>
  <c r="T90" i="15"/>
  <c r="AL89" i="15"/>
  <c r="AK89" i="15"/>
  <c r="AJ89" i="15"/>
  <c r="AI89" i="15"/>
  <c r="AH89" i="15"/>
  <c r="AG89" i="15"/>
  <c r="AF89" i="15"/>
  <c r="AE89" i="15"/>
  <c r="AD89" i="15"/>
  <c r="AC89" i="15"/>
  <c r="AB89" i="15"/>
  <c r="AA89" i="15"/>
  <c r="Z89" i="15"/>
  <c r="AM89" i="15" s="1"/>
  <c r="W89" i="15"/>
  <c r="V89" i="15"/>
  <c r="U89" i="15" s="1"/>
  <c r="T89" i="15"/>
  <c r="AL88" i="15"/>
  <c r="AK88" i="15"/>
  <c r="AJ88" i="15"/>
  <c r="AI88" i="15"/>
  <c r="AH88" i="15"/>
  <c r="AG88" i="15"/>
  <c r="AF88" i="15"/>
  <c r="AE88" i="15"/>
  <c r="AD88" i="15"/>
  <c r="AC88" i="15"/>
  <c r="AB88" i="15"/>
  <c r="AA88" i="15"/>
  <c r="AM88" i="15" s="1"/>
  <c r="Z88" i="15"/>
  <c r="W88" i="15"/>
  <c r="V88" i="15"/>
  <c r="U88" i="15" s="1"/>
  <c r="T88" i="15"/>
  <c r="AL87" i="15"/>
  <c r="AK87" i="15"/>
  <c r="AJ87" i="15"/>
  <c r="AI87" i="15"/>
  <c r="AH87" i="15"/>
  <c r="AG87" i="15"/>
  <c r="AF87" i="15"/>
  <c r="AE87" i="15"/>
  <c r="AD87" i="15"/>
  <c r="AC87" i="15"/>
  <c r="AB87" i="15"/>
  <c r="AA87" i="15"/>
  <c r="Z87" i="15"/>
  <c r="AM87" i="15" s="1"/>
  <c r="W87" i="15"/>
  <c r="V87" i="15"/>
  <c r="U87" i="15" s="1"/>
  <c r="T87" i="15"/>
  <c r="AL86" i="15"/>
  <c r="AK86" i="15"/>
  <c r="AJ86" i="15"/>
  <c r="AI86" i="15"/>
  <c r="AH86" i="15"/>
  <c r="AG86" i="15"/>
  <c r="AF86" i="15"/>
  <c r="AE86" i="15"/>
  <c r="AD86" i="15"/>
  <c r="AC86" i="15"/>
  <c r="AB86" i="15"/>
  <c r="AA86" i="15"/>
  <c r="Z86" i="15"/>
  <c r="AM86" i="15" s="1"/>
  <c r="W86" i="15"/>
  <c r="V86" i="15"/>
  <c r="U86" i="15" s="1"/>
  <c r="T86" i="15"/>
  <c r="AL85" i="15"/>
  <c r="AK85" i="15"/>
  <c r="AJ85" i="15"/>
  <c r="AI85" i="15"/>
  <c r="AH85" i="15"/>
  <c r="AG85" i="15"/>
  <c r="AF85" i="15"/>
  <c r="AE85" i="15"/>
  <c r="AD85" i="15"/>
  <c r="AC85" i="15"/>
  <c r="AB85" i="15"/>
  <c r="AA85" i="15"/>
  <c r="Z85" i="15"/>
  <c r="AM85" i="15" s="1"/>
  <c r="W85" i="15"/>
  <c r="V85" i="15"/>
  <c r="U85" i="15" s="1"/>
  <c r="T85" i="15"/>
  <c r="AL84" i="15"/>
  <c r="AK84" i="15"/>
  <c r="AJ84" i="15"/>
  <c r="AI84" i="15"/>
  <c r="AH84" i="15"/>
  <c r="AG84" i="15"/>
  <c r="AF84" i="15"/>
  <c r="AE84" i="15"/>
  <c r="AD84" i="15"/>
  <c r="AC84" i="15"/>
  <c r="AB84" i="15"/>
  <c r="AA84" i="15"/>
  <c r="AM84" i="15" s="1"/>
  <c r="Z84" i="15"/>
  <c r="W84" i="15"/>
  <c r="V84" i="15"/>
  <c r="U84" i="15" s="1"/>
  <c r="T84" i="15"/>
  <c r="AL83" i="15"/>
  <c r="AK83" i="15"/>
  <c r="AJ83" i="15"/>
  <c r="AI83" i="15"/>
  <c r="AH83" i="15"/>
  <c r="AG83" i="15"/>
  <c r="AF83" i="15"/>
  <c r="AE83" i="15"/>
  <c r="AD83" i="15"/>
  <c r="AC83" i="15"/>
  <c r="AB83" i="15"/>
  <c r="AA83" i="15"/>
  <c r="Z83" i="15"/>
  <c r="AM83" i="15" s="1"/>
  <c r="W83" i="15"/>
  <c r="V83" i="15"/>
  <c r="U83" i="15" s="1"/>
  <c r="T83" i="15"/>
  <c r="AL82" i="15"/>
  <c r="AK82" i="15"/>
  <c r="AJ82" i="15"/>
  <c r="AI82" i="15"/>
  <c r="AH82" i="15"/>
  <c r="AG82" i="15"/>
  <c r="AF82" i="15"/>
  <c r="AE82" i="15"/>
  <c r="AD82" i="15"/>
  <c r="AC82" i="15"/>
  <c r="AB82" i="15"/>
  <c r="AA82" i="15"/>
  <c r="AM82" i="15" s="1"/>
  <c r="Z82" i="15"/>
  <c r="W82" i="15"/>
  <c r="V82" i="15"/>
  <c r="U82" i="15" s="1"/>
  <c r="T82" i="15"/>
  <c r="AL81" i="15"/>
  <c r="AK81" i="15"/>
  <c r="AJ81" i="15"/>
  <c r="AI81" i="15"/>
  <c r="AH81" i="15"/>
  <c r="AG81" i="15"/>
  <c r="AF81" i="15"/>
  <c r="AE81" i="15"/>
  <c r="AD81" i="15"/>
  <c r="AC81" i="15"/>
  <c r="AB81" i="15"/>
  <c r="AA81" i="15"/>
  <c r="AM81" i="15" s="1"/>
  <c r="Z81" i="15"/>
  <c r="W81" i="15"/>
  <c r="V81" i="15"/>
  <c r="U81" i="15" s="1"/>
  <c r="T81" i="15"/>
  <c r="AL80" i="15"/>
  <c r="AK80" i="15"/>
  <c r="AJ80" i="15"/>
  <c r="AI80" i="15"/>
  <c r="AH80" i="15"/>
  <c r="AG80" i="15"/>
  <c r="AF80" i="15"/>
  <c r="AE80" i="15"/>
  <c r="AD80" i="15"/>
  <c r="AC80" i="15"/>
  <c r="AB80" i="15"/>
  <c r="AA80" i="15"/>
  <c r="AM80" i="15" s="1"/>
  <c r="Z80" i="15"/>
  <c r="W80" i="15"/>
  <c r="V80" i="15"/>
  <c r="U80" i="15" s="1"/>
  <c r="T80" i="15"/>
  <c r="AL79" i="15"/>
  <c r="AK79" i="15"/>
  <c r="AJ79" i="15"/>
  <c r="AI79" i="15"/>
  <c r="AH79" i="15"/>
  <c r="AG79" i="15"/>
  <c r="AF79" i="15"/>
  <c r="AE79" i="15"/>
  <c r="AD79" i="15"/>
  <c r="AC79" i="15"/>
  <c r="AB79" i="15"/>
  <c r="AA79" i="15"/>
  <c r="Z79" i="15"/>
  <c r="AM79" i="15" s="1"/>
  <c r="W79" i="15"/>
  <c r="V79" i="15"/>
  <c r="U79" i="15" s="1"/>
  <c r="T79" i="15"/>
  <c r="AL78" i="15"/>
  <c r="AK78" i="15"/>
  <c r="AJ78" i="15"/>
  <c r="AI78" i="15"/>
  <c r="AH78" i="15"/>
  <c r="AG78" i="15"/>
  <c r="AF78" i="15"/>
  <c r="AE78" i="15"/>
  <c r="AD78" i="15"/>
  <c r="AC78" i="15"/>
  <c r="AB78" i="15"/>
  <c r="AA78" i="15"/>
  <c r="Z78" i="15"/>
  <c r="AM78" i="15" s="1"/>
  <c r="W78" i="15"/>
  <c r="V78" i="15"/>
  <c r="U78" i="15" s="1"/>
  <c r="T78" i="15"/>
  <c r="AL77" i="15"/>
  <c r="AK77" i="15"/>
  <c r="AJ77" i="15"/>
  <c r="AI77" i="15"/>
  <c r="AH77" i="15"/>
  <c r="AG77" i="15"/>
  <c r="AF77" i="15"/>
  <c r="AE77" i="15"/>
  <c r="AD77" i="15"/>
  <c r="AC77" i="15"/>
  <c r="AB77" i="15"/>
  <c r="AA77" i="15"/>
  <c r="Z77" i="15"/>
  <c r="AM77" i="15" s="1"/>
  <c r="W77" i="15"/>
  <c r="V77" i="15"/>
  <c r="U77" i="15" s="1"/>
  <c r="T77" i="15"/>
  <c r="AL76" i="15"/>
  <c r="AK76" i="15"/>
  <c r="AJ76" i="15"/>
  <c r="AI76" i="15"/>
  <c r="AH76" i="15"/>
  <c r="AG76" i="15"/>
  <c r="AF76" i="15"/>
  <c r="AE76" i="15"/>
  <c r="AD76" i="15"/>
  <c r="AC76" i="15"/>
  <c r="AB76" i="15"/>
  <c r="AA76" i="15"/>
  <c r="Z76" i="15"/>
  <c r="AM76" i="15" s="1"/>
  <c r="W76" i="15"/>
  <c r="V76" i="15"/>
  <c r="U76" i="15" s="1"/>
  <c r="T76" i="15"/>
  <c r="AL75" i="15"/>
  <c r="AK75" i="15"/>
  <c r="AJ75" i="15"/>
  <c r="AI75" i="15"/>
  <c r="AH75" i="15"/>
  <c r="AG75" i="15"/>
  <c r="AF75" i="15"/>
  <c r="AE75" i="15"/>
  <c r="AD75" i="15"/>
  <c r="AC75" i="15"/>
  <c r="AB75" i="15"/>
  <c r="AA75" i="15"/>
  <c r="AM75" i="15" s="1"/>
  <c r="Z75" i="15"/>
  <c r="W75" i="15"/>
  <c r="V75" i="15"/>
  <c r="U75" i="15" s="1"/>
  <c r="T75" i="15"/>
  <c r="AL74" i="15"/>
  <c r="AK74" i="15"/>
  <c r="AJ74" i="15"/>
  <c r="AI74" i="15"/>
  <c r="AH74" i="15"/>
  <c r="AG74" i="15"/>
  <c r="AF74" i="15"/>
  <c r="AE74" i="15"/>
  <c r="AD74" i="15"/>
  <c r="AC74" i="15"/>
  <c r="AB74" i="15"/>
  <c r="AA74" i="15"/>
  <c r="AM74" i="15" s="1"/>
  <c r="Z74" i="15"/>
  <c r="W74" i="15"/>
  <c r="V74" i="15"/>
  <c r="U74" i="15" s="1"/>
  <c r="T74" i="15"/>
  <c r="AL73" i="15"/>
  <c r="AK73" i="15"/>
  <c r="AJ73" i="15"/>
  <c r="AI73" i="15"/>
  <c r="AH73" i="15"/>
  <c r="AG73" i="15"/>
  <c r="AF73" i="15"/>
  <c r="AE73" i="15"/>
  <c r="AD73" i="15"/>
  <c r="AC73" i="15"/>
  <c r="AB73" i="15"/>
  <c r="AA73" i="15"/>
  <c r="Z73" i="15"/>
  <c r="AM73" i="15" s="1"/>
  <c r="W73" i="15"/>
  <c r="V73" i="15"/>
  <c r="U73" i="15" s="1"/>
  <c r="T73" i="15"/>
  <c r="AL72" i="15"/>
  <c r="AK72" i="15"/>
  <c r="AJ72" i="15"/>
  <c r="AI72" i="15"/>
  <c r="AH72" i="15"/>
  <c r="AG72" i="15"/>
  <c r="AF72" i="15"/>
  <c r="AE72" i="15"/>
  <c r="AD72" i="15"/>
  <c r="AC72" i="15"/>
  <c r="AB72" i="15"/>
  <c r="AA72" i="15"/>
  <c r="Z72" i="15"/>
  <c r="AM72" i="15" s="1"/>
  <c r="W72" i="15"/>
  <c r="V72" i="15"/>
  <c r="U72" i="15" s="1"/>
  <c r="T72" i="15"/>
  <c r="AL71" i="15"/>
  <c r="AK71" i="15"/>
  <c r="AJ71" i="15"/>
  <c r="AI71" i="15"/>
  <c r="AH71" i="15"/>
  <c r="AG71" i="15"/>
  <c r="AF71" i="15"/>
  <c r="AE71" i="15"/>
  <c r="AD71" i="15"/>
  <c r="AC71" i="15"/>
  <c r="AB71" i="15"/>
  <c r="AA71" i="15"/>
  <c r="Z71" i="15"/>
  <c r="AM71" i="15" s="1"/>
  <c r="W71" i="15"/>
  <c r="V71" i="15"/>
  <c r="U71" i="15" s="1"/>
  <c r="T71" i="15"/>
  <c r="AL70" i="15"/>
  <c r="AK70" i="15"/>
  <c r="AJ70" i="15"/>
  <c r="AI70" i="15"/>
  <c r="AH70" i="15"/>
  <c r="AG70" i="15"/>
  <c r="AF70" i="15"/>
  <c r="AE70" i="15"/>
  <c r="AD70" i="15"/>
  <c r="AC70" i="15"/>
  <c r="AB70" i="15"/>
  <c r="AA70" i="15"/>
  <c r="Z70" i="15"/>
  <c r="AM70" i="15" s="1"/>
  <c r="W70" i="15"/>
  <c r="V70" i="15"/>
  <c r="U70" i="15" s="1"/>
  <c r="T70" i="15"/>
  <c r="AL69" i="15"/>
  <c r="AK69" i="15"/>
  <c r="AJ69" i="15"/>
  <c r="AI69" i="15"/>
  <c r="AH69" i="15"/>
  <c r="AG69" i="15"/>
  <c r="AF69" i="15"/>
  <c r="AE69" i="15"/>
  <c r="AD69" i="15"/>
  <c r="AC69" i="15"/>
  <c r="AB69" i="15"/>
  <c r="AA69" i="15"/>
  <c r="AM69" i="15" s="1"/>
  <c r="Z69" i="15"/>
  <c r="W69" i="15"/>
  <c r="V69" i="15"/>
  <c r="U69" i="15" s="1"/>
  <c r="T69" i="15"/>
  <c r="AL68" i="15"/>
  <c r="AK68" i="15"/>
  <c r="AJ68" i="15"/>
  <c r="AI68" i="15"/>
  <c r="AH68" i="15"/>
  <c r="AG68" i="15"/>
  <c r="AF68" i="15"/>
  <c r="AE68" i="15"/>
  <c r="AD68" i="15"/>
  <c r="AC68" i="15"/>
  <c r="AB68" i="15"/>
  <c r="AA68" i="15"/>
  <c r="Z68" i="15"/>
  <c r="AM68" i="15" s="1"/>
  <c r="W68" i="15"/>
  <c r="V68" i="15"/>
  <c r="U68" i="15" s="1"/>
  <c r="T68" i="15"/>
  <c r="AL67" i="15"/>
  <c r="AK67" i="15"/>
  <c r="AJ67" i="15"/>
  <c r="AI67" i="15"/>
  <c r="AH67" i="15"/>
  <c r="AG67" i="15"/>
  <c r="AF67" i="15"/>
  <c r="AE67" i="15"/>
  <c r="AD67" i="15"/>
  <c r="AC67" i="15"/>
  <c r="AB67" i="15"/>
  <c r="AA67" i="15"/>
  <c r="AM67" i="15" s="1"/>
  <c r="Z67" i="15"/>
  <c r="W67" i="15"/>
  <c r="V67" i="15"/>
  <c r="U67" i="15" s="1"/>
  <c r="T67" i="15"/>
  <c r="AJ101" i="3"/>
  <c r="AI101" i="3"/>
  <c r="AH101" i="3"/>
  <c r="AG101" i="3"/>
  <c r="AF101" i="3"/>
  <c r="AE101" i="3"/>
  <c r="AD101" i="3"/>
  <c r="AC101" i="3"/>
  <c r="AB101" i="3"/>
  <c r="AA101" i="3"/>
  <c r="Z101" i="3"/>
  <c r="Y101" i="3"/>
  <c r="AK101" i="3" s="1"/>
  <c r="V101" i="3"/>
  <c r="U101" i="3"/>
  <c r="T101" i="3" s="1"/>
  <c r="S101" i="3"/>
  <c r="AJ100" i="3"/>
  <c r="AI100" i="3"/>
  <c r="AH100" i="3"/>
  <c r="AG100" i="3"/>
  <c r="AF100" i="3"/>
  <c r="AE100" i="3"/>
  <c r="AD100" i="3"/>
  <c r="AC100" i="3"/>
  <c r="AB100" i="3"/>
  <c r="AA100" i="3"/>
  <c r="Z100" i="3"/>
  <c r="Y100" i="3"/>
  <c r="AK100" i="3" s="1"/>
  <c r="V100" i="3"/>
  <c r="U100" i="3"/>
  <c r="T100" i="3" s="1"/>
  <c r="S100" i="3"/>
  <c r="AJ99" i="3"/>
  <c r="AI99" i="3"/>
  <c r="AH99" i="3"/>
  <c r="AG99" i="3"/>
  <c r="AF99" i="3"/>
  <c r="AE99" i="3"/>
  <c r="AD99" i="3"/>
  <c r="AC99" i="3"/>
  <c r="AB99" i="3"/>
  <c r="AA99" i="3"/>
  <c r="Z99" i="3"/>
  <c r="Y99" i="3"/>
  <c r="AK99" i="3" s="1"/>
  <c r="V99" i="3"/>
  <c r="U99" i="3"/>
  <c r="T99" i="3" s="1"/>
  <c r="S99" i="3"/>
  <c r="AJ98" i="3"/>
  <c r="AI98" i="3"/>
  <c r="AH98" i="3"/>
  <c r="AG98" i="3"/>
  <c r="AF98" i="3"/>
  <c r="AE98" i="3"/>
  <c r="AD98" i="3"/>
  <c r="AC98" i="3"/>
  <c r="AB98" i="3"/>
  <c r="AA98" i="3"/>
  <c r="Z98" i="3"/>
  <c r="Y98" i="3"/>
  <c r="AK98" i="3" s="1"/>
  <c r="V98" i="3"/>
  <c r="U98" i="3"/>
  <c r="T98" i="3" s="1"/>
  <c r="S98" i="3"/>
  <c r="AJ97" i="3"/>
  <c r="AI97" i="3"/>
  <c r="AH97" i="3"/>
  <c r="AG97" i="3"/>
  <c r="AF97" i="3"/>
  <c r="AE97" i="3"/>
  <c r="AD97" i="3"/>
  <c r="AC97" i="3"/>
  <c r="AB97" i="3"/>
  <c r="AA97" i="3"/>
  <c r="Z97" i="3"/>
  <c r="Y97" i="3"/>
  <c r="AK97" i="3" s="1"/>
  <c r="V97" i="3"/>
  <c r="U97" i="3"/>
  <c r="T97" i="3" s="1"/>
  <c r="S97" i="3"/>
  <c r="AJ96" i="3"/>
  <c r="AI96" i="3"/>
  <c r="AH96" i="3"/>
  <c r="AG96" i="3"/>
  <c r="AF96" i="3"/>
  <c r="AE96" i="3"/>
  <c r="AD96" i="3"/>
  <c r="AC96" i="3"/>
  <c r="AB96" i="3"/>
  <c r="AA96" i="3"/>
  <c r="Z96" i="3"/>
  <c r="Y96" i="3"/>
  <c r="AK96" i="3" s="1"/>
  <c r="V96" i="3"/>
  <c r="U96" i="3"/>
  <c r="T96" i="3" s="1"/>
  <c r="S96" i="3"/>
  <c r="AJ95" i="3"/>
  <c r="AI95" i="3"/>
  <c r="AH95" i="3"/>
  <c r="AG95" i="3"/>
  <c r="AF95" i="3"/>
  <c r="AE95" i="3"/>
  <c r="AD95" i="3"/>
  <c r="AC95" i="3"/>
  <c r="AB95" i="3"/>
  <c r="AA95" i="3"/>
  <c r="Z95" i="3"/>
  <c r="Y95" i="3"/>
  <c r="AK95" i="3" s="1"/>
  <c r="V95" i="3"/>
  <c r="U95" i="3"/>
  <c r="T95" i="3" s="1"/>
  <c r="S95" i="3"/>
  <c r="AJ94" i="3"/>
  <c r="AI94" i="3"/>
  <c r="AH94" i="3"/>
  <c r="AG94" i="3"/>
  <c r="AF94" i="3"/>
  <c r="AE94" i="3"/>
  <c r="AD94" i="3"/>
  <c r="AC94" i="3"/>
  <c r="AB94" i="3"/>
  <c r="AA94" i="3"/>
  <c r="Z94" i="3"/>
  <c r="Y94" i="3"/>
  <c r="AK94" i="3" s="1"/>
  <c r="V94" i="3"/>
  <c r="U94" i="3"/>
  <c r="T94" i="3" s="1"/>
  <c r="S94" i="3"/>
  <c r="AJ93" i="3"/>
  <c r="AI93" i="3"/>
  <c r="AH93" i="3"/>
  <c r="AG93" i="3"/>
  <c r="AF93" i="3"/>
  <c r="AE93" i="3"/>
  <c r="AD93" i="3"/>
  <c r="AC93" i="3"/>
  <c r="AB93" i="3"/>
  <c r="AA93" i="3"/>
  <c r="Z93" i="3"/>
  <c r="Y93" i="3"/>
  <c r="AK93" i="3" s="1"/>
  <c r="V93" i="3"/>
  <c r="U93" i="3"/>
  <c r="T93" i="3" s="1"/>
  <c r="S93" i="3"/>
  <c r="AJ92" i="3"/>
  <c r="AI92" i="3"/>
  <c r="AH92" i="3"/>
  <c r="AG92" i="3"/>
  <c r="AF92" i="3"/>
  <c r="AE92" i="3"/>
  <c r="AD92" i="3"/>
  <c r="AC92" i="3"/>
  <c r="AB92" i="3"/>
  <c r="AA92" i="3"/>
  <c r="Z92" i="3"/>
  <c r="Y92" i="3"/>
  <c r="AK92" i="3" s="1"/>
  <c r="V92" i="3"/>
  <c r="U92" i="3"/>
  <c r="T92" i="3" s="1"/>
  <c r="S92" i="3"/>
  <c r="AJ91" i="3"/>
  <c r="AI91" i="3"/>
  <c r="AH91" i="3"/>
  <c r="AG91" i="3"/>
  <c r="AF91" i="3"/>
  <c r="AE91" i="3"/>
  <c r="AD91" i="3"/>
  <c r="AC91" i="3"/>
  <c r="AB91" i="3"/>
  <c r="AA91" i="3"/>
  <c r="Z91" i="3"/>
  <c r="Y91" i="3"/>
  <c r="AK91" i="3" s="1"/>
  <c r="V91" i="3"/>
  <c r="U91" i="3"/>
  <c r="T91" i="3" s="1"/>
  <c r="S91" i="3"/>
  <c r="AJ90" i="3"/>
  <c r="AI90" i="3"/>
  <c r="AH90" i="3"/>
  <c r="AG90" i="3"/>
  <c r="AF90" i="3"/>
  <c r="AE90" i="3"/>
  <c r="AD90" i="3"/>
  <c r="AC90" i="3"/>
  <c r="AB90" i="3"/>
  <c r="AA90" i="3"/>
  <c r="Z90" i="3"/>
  <c r="Y90" i="3"/>
  <c r="AK90" i="3" s="1"/>
  <c r="V90" i="3"/>
  <c r="U90" i="3"/>
  <c r="T90" i="3" s="1"/>
  <c r="S90" i="3"/>
  <c r="AJ89" i="3"/>
  <c r="AI89" i="3"/>
  <c r="AH89" i="3"/>
  <c r="AG89" i="3"/>
  <c r="AF89" i="3"/>
  <c r="AE89" i="3"/>
  <c r="AD89" i="3"/>
  <c r="AC89" i="3"/>
  <c r="AB89" i="3"/>
  <c r="AA89" i="3"/>
  <c r="Z89" i="3"/>
  <c r="Y89" i="3"/>
  <c r="AK89" i="3" s="1"/>
  <c r="V89" i="3"/>
  <c r="U89" i="3"/>
  <c r="T89" i="3" s="1"/>
  <c r="S89" i="3"/>
  <c r="AJ88" i="3"/>
  <c r="AI88" i="3"/>
  <c r="AH88" i="3"/>
  <c r="AG88" i="3"/>
  <c r="AF88" i="3"/>
  <c r="AE88" i="3"/>
  <c r="AD88" i="3"/>
  <c r="AC88" i="3"/>
  <c r="AB88" i="3"/>
  <c r="AA88" i="3"/>
  <c r="Z88" i="3"/>
  <c r="Y88" i="3"/>
  <c r="AK88" i="3" s="1"/>
  <c r="V88" i="3"/>
  <c r="U88" i="3"/>
  <c r="T88" i="3" s="1"/>
  <c r="S88" i="3"/>
  <c r="AJ87" i="3"/>
  <c r="AI87" i="3"/>
  <c r="AH87" i="3"/>
  <c r="AG87" i="3"/>
  <c r="AF87" i="3"/>
  <c r="AE87" i="3"/>
  <c r="AD87" i="3"/>
  <c r="AC87" i="3"/>
  <c r="AB87" i="3"/>
  <c r="AA87" i="3"/>
  <c r="Z87" i="3"/>
  <c r="Y87" i="3"/>
  <c r="AK87" i="3" s="1"/>
  <c r="V87" i="3"/>
  <c r="U87" i="3"/>
  <c r="T87" i="3" s="1"/>
  <c r="S87" i="3"/>
  <c r="AJ86" i="3"/>
  <c r="AI86" i="3"/>
  <c r="AH86" i="3"/>
  <c r="AG86" i="3"/>
  <c r="AF86" i="3"/>
  <c r="AE86" i="3"/>
  <c r="AD86" i="3"/>
  <c r="AC86" i="3"/>
  <c r="AB86" i="3"/>
  <c r="AA86" i="3"/>
  <c r="Z86" i="3"/>
  <c r="Y86" i="3"/>
  <c r="AK86" i="3" s="1"/>
  <c r="V86" i="3"/>
  <c r="U86" i="3"/>
  <c r="T86" i="3" s="1"/>
  <c r="S86" i="3"/>
  <c r="AJ85" i="3"/>
  <c r="AI85" i="3"/>
  <c r="AH85" i="3"/>
  <c r="AG85" i="3"/>
  <c r="AF85" i="3"/>
  <c r="AE85" i="3"/>
  <c r="AD85" i="3"/>
  <c r="AC85" i="3"/>
  <c r="AB85" i="3"/>
  <c r="AA85" i="3"/>
  <c r="Z85" i="3"/>
  <c r="Y85" i="3"/>
  <c r="AK85" i="3" s="1"/>
  <c r="V85" i="3"/>
  <c r="U85" i="3"/>
  <c r="T85" i="3" s="1"/>
  <c r="S85" i="3"/>
  <c r="AJ84" i="3"/>
  <c r="AI84" i="3"/>
  <c r="AH84" i="3"/>
  <c r="AG84" i="3"/>
  <c r="AF84" i="3"/>
  <c r="AE84" i="3"/>
  <c r="AD84" i="3"/>
  <c r="AC84" i="3"/>
  <c r="AB84" i="3"/>
  <c r="AA84" i="3"/>
  <c r="Z84" i="3"/>
  <c r="Y84" i="3"/>
  <c r="AK84" i="3" s="1"/>
  <c r="V84" i="3"/>
  <c r="U84" i="3"/>
  <c r="T84" i="3" s="1"/>
  <c r="S84" i="3"/>
  <c r="AJ83" i="3"/>
  <c r="AI83" i="3"/>
  <c r="AH83" i="3"/>
  <c r="AG83" i="3"/>
  <c r="AF83" i="3"/>
  <c r="AE83" i="3"/>
  <c r="AD83" i="3"/>
  <c r="AC83" i="3"/>
  <c r="AB83" i="3"/>
  <c r="AA83" i="3"/>
  <c r="Z83" i="3"/>
  <c r="Y83" i="3"/>
  <c r="AK83" i="3" s="1"/>
  <c r="V83" i="3"/>
  <c r="U83" i="3"/>
  <c r="T83" i="3" s="1"/>
  <c r="S83" i="3"/>
  <c r="AJ82" i="3"/>
  <c r="AI82" i="3"/>
  <c r="AH82" i="3"/>
  <c r="AG82" i="3"/>
  <c r="AF82" i="3"/>
  <c r="AE82" i="3"/>
  <c r="AD82" i="3"/>
  <c r="AC82" i="3"/>
  <c r="AB82" i="3"/>
  <c r="AA82" i="3"/>
  <c r="Z82" i="3"/>
  <c r="Y82" i="3"/>
  <c r="AK82" i="3" s="1"/>
  <c r="V82" i="3"/>
  <c r="U82" i="3"/>
  <c r="T82" i="3" s="1"/>
  <c r="S82" i="3"/>
  <c r="AJ81" i="3"/>
  <c r="AI81" i="3"/>
  <c r="AH81" i="3"/>
  <c r="AG81" i="3"/>
  <c r="AF81" i="3"/>
  <c r="AE81" i="3"/>
  <c r="AD81" i="3"/>
  <c r="AC81" i="3"/>
  <c r="AB81" i="3"/>
  <c r="AA81" i="3"/>
  <c r="Z81" i="3"/>
  <c r="Y81" i="3"/>
  <c r="AK81" i="3" s="1"/>
  <c r="V81" i="3"/>
  <c r="U81" i="3"/>
  <c r="T81" i="3" s="1"/>
  <c r="S81" i="3"/>
  <c r="AJ80" i="3"/>
  <c r="AI80" i="3"/>
  <c r="AH80" i="3"/>
  <c r="AG80" i="3"/>
  <c r="AF80" i="3"/>
  <c r="AE80" i="3"/>
  <c r="AD80" i="3"/>
  <c r="AC80" i="3"/>
  <c r="AB80" i="3"/>
  <c r="AA80" i="3"/>
  <c r="Z80" i="3"/>
  <c r="Y80" i="3"/>
  <c r="AK80" i="3" s="1"/>
  <c r="V80" i="3"/>
  <c r="U80" i="3"/>
  <c r="T80" i="3" s="1"/>
  <c r="S80" i="3"/>
  <c r="AJ79" i="3"/>
  <c r="AI79" i="3"/>
  <c r="AH79" i="3"/>
  <c r="AG79" i="3"/>
  <c r="AF79" i="3"/>
  <c r="AE79" i="3"/>
  <c r="AD79" i="3"/>
  <c r="AC79" i="3"/>
  <c r="AB79" i="3"/>
  <c r="AA79" i="3"/>
  <c r="Z79" i="3"/>
  <c r="Y79" i="3"/>
  <c r="AK79" i="3" s="1"/>
  <c r="V79" i="3"/>
  <c r="U79" i="3"/>
  <c r="T79" i="3" s="1"/>
  <c r="S79" i="3"/>
  <c r="AJ78" i="3"/>
  <c r="AI78" i="3"/>
  <c r="AH78" i="3"/>
  <c r="AG78" i="3"/>
  <c r="AF78" i="3"/>
  <c r="AE78" i="3"/>
  <c r="AD78" i="3"/>
  <c r="AC78" i="3"/>
  <c r="AB78" i="3"/>
  <c r="AA78" i="3"/>
  <c r="Z78" i="3"/>
  <c r="Y78" i="3"/>
  <c r="AK78" i="3" s="1"/>
  <c r="V78" i="3"/>
  <c r="U78" i="3"/>
  <c r="T78" i="3" s="1"/>
  <c r="S78" i="3"/>
  <c r="AJ77" i="3"/>
  <c r="AI77" i="3"/>
  <c r="AH77" i="3"/>
  <c r="AG77" i="3"/>
  <c r="AF77" i="3"/>
  <c r="AE77" i="3"/>
  <c r="AD77" i="3"/>
  <c r="AC77" i="3"/>
  <c r="AB77" i="3"/>
  <c r="AA77" i="3"/>
  <c r="Z77" i="3"/>
  <c r="Y77" i="3"/>
  <c r="AK77" i="3" s="1"/>
  <c r="V77" i="3"/>
  <c r="U77" i="3"/>
  <c r="T77" i="3" s="1"/>
  <c r="S77" i="3"/>
  <c r="AJ76" i="3"/>
  <c r="AI76" i="3"/>
  <c r="AH76" i="3"/>
  <c r="AG76" i="3"/>
  <c r="AF76" i="3"/>
  <c r="AE76" i="3"/>
  <c r="AD76" i="3"/>
  <c r="AC76" i="3"/>
  <c r="AB76" i="3"/>
  <c r="AA76" i="3"/>
  <c r="Z76" i="3"/>
  <c r="Y76" i="3"/>
  <c r="AK76" i="3" s="1"/>
  <c r="V76" i="3"/>
  <c r="U76" i="3"/>
  <c r="T76" i="3" s="1"/>
  <c r="S76" i="3"/>
  <c r="AJ75" i="3"/>
  <c r="AI75" i="3"/>
  <c r="AH75" i="3"/>
  <c r="AG75" i="3"/>
  <c r="AF75" i="3"/>
  <c r="AE75" i="3"/>
  <c r="AD75" i="3"/>
  <c r="AC75" i="3"/>
  <c r="AB75" i="3"/>
  <c r="AA75" i="3"/>
  <c r="Z75" i="3"/>
  <c r="Y75" i="3"/>
  <c r="AK75" i="3" s="1"/>
  <c r="V75" i="3"/>
  <c r="U75" i="3"/>
  <c r="T75" i="3" s="1"/>
  <c r="S75" i="3"/>
  <c r="AJ74" i="3"/>
  <c r="AI74" i="3"/>
  <c r="AH74" i="3"/>
  <c r="AG74" i="3"/>
  <c r="AF74" i="3"/>
  <c r="AE74" i="3"/>
  <c r="AD74" i="3"/>
  <c r="AC74" i="3"/>
  <c r="AB74" i="3"/>
  <c r="AA74" i="3"/>
  <c r="Z74" i="3"/>
  <c r="Y74" i="3"/>
  <c r="AK74" i="3" s="1"/>
  <c r="V74" i="3"/>
  <c r="U74" i="3"/>
  <c r="T74" i="3" s="1"/>
  <c r="S74" i="3"/>
  <c r="AJ73" i="3"/>
  <c r="AI73" i="3"/>
  <c r="AH73" i="3"/>
  <c r="AG73" i="3"/>
  <c r="AF73" i="3"/>
  <c r="AE73" i="3"/>
  <c r="AD73" i="3"/>
  <c r="AC73" i="3"/>
  <c r="AB73" i="3"/>
  <c r="AA73" i="3"/>
  <c r="Z73" i="3"/>
  <c r="Y73" i="3"/>
  <c r="AK73" i="3" s="1"/>
  <c r="V73" i="3"/>
  <c r="U73" i="3"/>
  <c r="T73" i="3" s="1"/>
  <c r="S73" i="3"/>
  <c r="AJ72" i="3"/>
  <c r="AI72" i="3"/>
  <c r="AH72" i="3"/>
  <c r="AG72" i="3"/>
  <c r="AF72" i="3"/>
  <c r="AE72" i="3"/>
  <c r="AD72" i="3"/>
  <c r="AC72" i="3"/>
  <c r="AB72" i="3"/>
  <c r="AA72" i="3"/>
  <c r="Z72" i="3"/>
  <c r="Y72" i="3"/>
  <c r="AK72" i="3" s="1"/>
  <c r="V72" i="3"/>
  <c r="U72" i="3"/>
  <c r="T72" i="3" s="1"/>
  <c r="S72" i="3"/>
  <c r="AJ71" i="3"/>
  <c r="AI71" i="3"/>
  <c r="AH71" i="3"/>
  <c r="AG71" i="3"/>
  <c r="AF71" i="3"/>
  <c r="AE71" i="3"/>
  <c r="AD71" i="3"/>
  <c r="AC71" i="3"/>
  <c r="AB71" i="3"/>
  <c r="AA71" i="3"/>
  <c r="Z71" i="3"/>
  <c r="Y71" i="3"/>
  <c r="AK71" i="3" s="1"/>
  <c r="V71" i="3"/>
  <c r="U71" i="3"/>
  <c r="T71" i="3" s="1"/>
  <c r="S71" i="3"/>
  <c r="AJ70" i="3"/>
  <c r="AI70" i="3"/>
  <c r="AH70" i="3"/>
  <c r="AG70" i="3"/>
  <c r="AF70" i="3"/>
  <c r="AE70" i="3"/>
  <c r="AD70" i="3"/>
  <c r="AC70" i="3"/>
  <c r="AB70" i="3"/>
  <c r="AA70" i="3"/>
  <c r="Z70" i="3"/>
  <c r="Y70" i="3"/>
  <c r="AK70" i="3" s="1"/>
  <c r="V70" i="3"/>
  <c r="U70" i="3"/>
  <c r="T70" i="3" s="1"/>
  <c r="S70" i="3"/>
  <c r="AJ69" i="3"/>
  <c r="AI69" i="3"/>
  <c r="AH69" i="3"/>
  <c r="AG69" i="3"/>
  <c r="AF69" i="3"/>
  <c r="AE69" i="3"/>
  <c r="AD69" i="3"/>
  <c r="AC69" i="3"/>
  <c r="AB69" i="3"/>
  <c r="AA69" i="3"/>
  <c r="Z69" i="3"/>
  <c r="Y69" i="3"/>
  <c r="AK69" i="3" s="1"/>
  <c r="V69" i="3"/>
  <c r="U69" i="3"/>
  <c r="T69" i="3" s="1"/>
  <c r="S69" i="3"/>
  <c r="AJ68" i="3"/>
  <c r="AI68" i="3"/>
  <c r="AH68" i="3"/>
  <c r="AG68" i="3"/>
  <c r="AF68" i="3"/>
  <c r="AE68" i="3"/>
  <c r="AD68" i="3"/>
  <c r="AC68" i="3"/>
  <c r="AB68" i="3"/>
  <c r="AA68" i="3"/>
  <c r="Z68" i="3"/>
  <c r="Y68" i="3"/>
  <c r="AK68" i="3" s="1"/>
  <c r="V68" i="3"/>
  <c r="U68" i="3"/>
  <c r="T68" i="3" s="1"/>
  <c r="S68" i="3"/>
  <c r="AJ67" i="3"/>
  <c r="AI67" i="3"/>
  <c r="AH67" i="3"/>
  <c r="AG67" i="3"/>
  <c r="AF67" i="3"/>
  <c r="AE67" i="3"/>
  <c r="AD67" i="3"/>
  <c r="AC67" i="3"/>
  <c r="AB67" i="3"/>
  <c r="AA67" i="3"/>
  <c r="Z67" i="3"/>
  <c r="Y67" i="3"/>
  <c r="AK67" i="3" s="1"/>
  <c r="V67" i="3"/>
  <c r="U67" i="3"/>
  <c r="T67" i="3" s="1"/>
  <c r="S67" i="3"/>
  <c r="AJ101" i="14"/>
  <c r="AI101" i="14"/>
  <c r="AH101" i="14"/>
  <c r="AG101" i="14"/>
  <c r="AF101" i="14"/>
  <c r="AE101" i="14"/>
  <c r="AD101" i="14"/>
  <c r="AC101" i="14"/>
  <c r="AB101" i="14"/>
  <c r="AA101" i="14"/>
  <c r="Z101" i="14"/>
  <c r="Y101" i="14"/>
  <c r="AK101" i="14" s="1"/>
  <c r="V101" i="14"/>
  <c r="U101" i="14"/>
  <c r="T101" i="14" s="1"/>
  <c r="S101" i="14"/>
  <c r="AJ100" i="14"/>
  <c r="AI100" i="14"/>
  <c r="AH100" i="14"/>
  <c r="AG100" i="14"/>
  <c r="AF100" i="14"/>
  <c r="AE100" i="14"/>
  <c r="AD100" i="14"/>
  <c r="AC100" i="14"/>
  <c r="AB100" i="14"/>
  <c r="AA100" i="14"/>
  <c r="Z100" i="14"/>
  <c r="Y100" i="14"/>
  <c r="AK100" i="14" s="1"/>
  <c r="V100" i="14"/>
  <c r="U100" i="14"/>
  <c r="T100" i="14" s="1"/>
  <c r="S100" i="14"/>
  <c r="AJ99" i="14"/>
  <c r="AI99" i="14"/>
  <c r="AH99" i="14"/>
  <c r="AG99" i="14"/>
  <c r="AF99" i="14"/>
  <c r="AE99" i="14"/>
  <c r="AD99" i="14"/>
  <c r="AC99" i="14"/>
  <c r="AB99" i="14"/>
  <c r="AA99" i="14"/>
  <c r="Z99" i="14"/>
  <c r="Y99" i="14"/>
  <c r="AK99" i="14" s="1"/>
  <c r="V99" i="14"/>
  <c r="U99" i="14"/>
  <c r="T99" i="14" s="1"/>
  <c r="S99" i="14"/>
  <c r="AJ98" i="14"/>
  <c r="AI98" i="14"/>
  <c r="AH98" i="14"/>
  <c r="AG98" i="14"/>
  <c r="AF98" i="14"/>
  <c r="AE98" i="14"/>
  <c r="AD98" i="14"/>
  <c r="AC98" i="14"/>
  <c r="AB98" i="14"/>
  <c r="AA98" i="14"/>
  <c r="Z98" i="14"/>
  <c r="Y98" i="14"/>
  <c r="AK98" i="14" s="1"/>
  <c r="V98" i="14"/>
  <c r="U98" i="14"/>
  <c r="T98" i="14" s="1"/>
  <c r="S98" i="14"/>
  <c r="AJ97" i="14"/>
  <c r="AI97" i="14"/>
  <c r="AH97" i="14"/>
  <c r="AG97" i="14"/>
  <c r="AF97" i="14"/>
  <c r="AE97" i="14"/>
  <c r="AD97" i="14"/>
  <c r="AC97" i="14"/>
  <c r="AB97" i="14"/>
  <c r="AA97" i="14"/>
  <c r="Z97" i="14"/>
  <c r="Y97" i="14"/>
  <c r="AK97" i="14" s="1"/>
  <c r="V97" i="14"/>
  <c r="U97" i="14"/>
  <c r="T97" i="14" s="1"/>
  <c r="S97" i="14"/>
  <c r="AJ96" i="14"/>
  <c r="AI96" i="14"/>
  <c r="AH96" i="14"/>
  <c r="AG96" i="14"/>
  <c r="AF96" i="14"/>
  <c r="AE96" i="14"/>
  <c r="AD96" i="14"/>
  <c r="AC96" i="14"/>
  <c r="AB96" i="14"/>
  <c r="AA96" i="14"/>
  <c r="Z96" i="14"/>
  <c r="Y96" i="14"/>
  <c r="AK96" i="14" s="1"/>
  <c r="V96" i="14"/>
  <c r="U96" i="14"/>
  <c r="T96" i="14" s="1"/>
  <c r="S96" i="14"/>
  <c r="AJ95" i="14"/>
  <c r="AI95" i="14"/>
  <c r="AH95" i="14"/>
  <c r="AG95" i="14"/>
  <c r="AF95" i="14"/>
  <c r="AE95" i="14"/>
  <c r="AD95" i="14"/>
  <c r="AC95" i="14"/>
  <c r="AB95" i="14"/>
  <c r="AA95" i="14"/>
  <c r="Z95" i="14"/>
  <c r="Y95" i="14"/>
  <c r="AK95" i="14" s="1"/>
  <c r="V95" i="14"/>
  <c r="U95" i="14"/>
  <c r="T95" i="14" s="1"/>
  <c r="S95" i="14"/>
  <c r="AJ94" i="14"/>
  <c r="AI94" i="14"/>
  <c r="AH94" i="14"/>
  <c r="AG94" i="14"/>
  <c r="AF94" i="14"/>
  <c r="AE94" i="14"/>
  <c r="AD94" i="14"/>
  <c r="AC94" i="14"/>
  <c r="AB94" i="14"/>
  <c r="AA94" i="14"/>
  <c r="Z94" i="14"/>
  <c r="Y94" i="14"/>
  <c r="AK94" i="14" s="1"/>
  <c r="V94" i="14"/>
  <c r="U94" i="14"/>
  <c r="T94" i="14" s="1"/>
  <c r="S94" i="14"/>
  <c r="AJ93" i="14"/>
  <c r="AI93" i="14"/>
  <c r="AH93" i="14"/>
  <c r="AG93" i="14"/>
  <c r="AF93" i="14"/>
  <c r="AE93" i="14"/>
  <c r="AD93" i="14"/>
  <c r="AC93" i="14"/>
  <c r="AB93" i="14"/>
  <c r="AA93" i="14"/>
  <c r="Z93" i="14"/>
  <c r="Y93" i="14"/>
  <c r="AK93" i="14" s="1"/>
  <c r="V93" i="14"/>
  <c r="U93" i="14"/>
  <c r="T93" i="14" s="1"/>
  <c r="S93" i="14"/>
  <c r="AJ92" i="14"/>
  <c r="AI92" i="14"/>
  <c r="AH92" i="14"/>
  <c r="AG92" i="14"/>
  <c r="AF92" i="14"/>
  <c r="AE92" i="14"/>
  <c r="AD92" i="14"/>
  <c r="AC92" i="14"/>
  <c r="AB92" i="14"/>
  <c r="AA92" i="14"/>
  <c r="Z92" i="14"/>
  <c r="Y92" i="14"/>
  <c r="AK92" i="14" s="1"/>
  <c r="V92" i="14"/>
  <c r="U92" i="14"/>
  <c r="T92" i="14" s="1"/>
  <c r="S92" i="14"/>
  <c r="AJ91" i="14"/>
  <c r="AI91" i="14"/>
  <c r="AH91" i="14"/>
  <c r="AG91" i="14"/>
  <c r="AF91" i="14"/>
  <c r="AE91" i="14"/>
  <c r="AD91" i="14"/>
  <c r="AC91" i="14"/>
  <c r="AB91" i="14"/>
  <c r="AA91" i="14"/>
  <c r="Z91" i="14"/>
  <c r="Y91" i="14"/>
  <c r="AK91" i="14" s="1"/>
  <c r="V91" i="14"/>
  <c r="U91" i="14"/>
  <c r="T91" i="14" s="1"/>
  <c r="S91" i="14"/>
  <c r="AJ90" i="14"/>
  <c r="AI90" i="14"/>
  <c r="AH90" i="14"/>
  <c r="AG90" i="14"/>
  <c r="AF90" i="14"/>
  <c r="AE90" i="14"/>
  <c r="AD90" i="14"/>
  <c r="AC90" i="14"/>
  <c r="AB90" i="14"/>
  <c r="AA90" i="14"/>
  <c r="Z90" i="14"/>
  <c r="Y90" i="14"/>
  <c r="AK90" i="14" s="1"/>
  <c r="V90" i="14"/>
  <c r="U90" i="14"/>
  <c r="T90" i="14" s="1"/>
  <c r="S90" i="14"/>
  <c r="AJ89" i="14"/>
  <c r="AI89" i="14"/>
  <c r="AH89" i="14"/>
  <c r="AG89" i="14"/>
  <c r="AF89" i="14"/>
  <c r="AE89" i="14"/>
  <c r="AD89" i="14"/>
  <c r="AC89" i="14"/>
  <c r="AB89" i="14"/>
  <c r="AA89" i="14"/>
  <c r="Z89" i="14"/>
  <c r="Y89" i="14"/>
  <c r="AK89" i="14" s="1"/>
  <c r="V89" i="14"/>
  <c r="U89" i="14"/>
  <c r="T89" i="14" s="1"/>
  <c r="S89" i="14"/>
  <c r="AJ88" i="14"/>
  <c r="AI88" i="14"/>
  <c r="AH88" i="14"/>
  <c r="AG88" i="14"/>
  <c r="AF88" i="14"/>
  <c r="AE88" i="14"/>
  <c r="AD88" i="14"/>
  <c r="AC88" i="14"/>
  <c r="AB88" i="14"/>
  <c r="AA88" i="14"/>
  <c r="Z88" i="14"/>
  <c r="Y88" i="14"/>
  <c r="AK88" i="14" s="1"/>
  <c r="V88" i="14"/>
  <c r="U88" i="14"/>
  <c r="T88" i="14" s="1"/>
  <c r="S88" i="14"/>
  <c r="AJ87" i="14"/>
  <c r="AI87" i="14"/>
  <c r="AH87" i="14"/>
  <c r="AG87" i="14"/>
  <c r="AF87" i="14"/>
  <c r="AE87" i="14"/>
  <c r="AD87" i="14"/>
  <c r="AC87" i="14"/>
  <c r="AB87" i="14"/>
  <c r="AA87" i="14"/>
  <c r="Z87" i="14"/>
  <c r="Y87" i="14"/>
  <c r="AK87" i="14" s="1"/>
  <c r="V87" i="14"/>
  <c r="U87" i="14"/>
  <c r="T87" i="14" s="1"/>
  <c r="S87" i="14"/>
  <c r="AJ86" i="14"/>
  <c r="AI86" i="14"/>
  <c r="AH86" i="14"/>
  <c r="AG86" i="14"/>
  <c r="AF86" i="14"/>
  <c r="AE86" i="14"/>
  <c r="AD86" i="14"/>
  <c r="AC86" i="14"/>
  <c r="AB86" i="14"/>
  <c r="AA86" i="14"/>
  <c r="Z86" i="14"/>
  <c r="Y86" i="14"/>
  <c r="AK86" i="14" s="1"/>
  <c r="V86" i="14"/>
  <c r="U86" i="14"/>
  <c r="T86" i="14" s="1"/>
  <c r="S86" i="14"/>
  <c r="AJ85" i="14"/>
  <c r="AI85" i="14"/>
  <c r="AH85" i="14"/>
  <c r="AG85" i="14"/>
  <c r="AF85" i="14"/>
  <c r="AE85" i="14"/>
  <c r="AD85" i="14"/>
  <c r="AC85" i="14"/>
  <c r="AB85" i="14"/>
  <c r="AA85" i="14"/>
  <c r="Z85" i="14"/>
  <c r="Y85" i="14"/>
  <c r="AK85" i="14" s="1"/>
  <c r="V85" i="14"/>
  <c r="U85" i="14"/>
  <c r="T85" i="14" s="1"/>
  <c r="S85" i="14"/>
  <c r="AJ84" i="14"/>
  <c r="AI84" i="14"/>
  <c r="AH84" i="14"/>
  <c r="AG84" i="14"/>
  <c r="AF84" i="14"/>
  <c r="AE84" i="14"/>
  <c r="AD84" i="14"/>
  <c r="AC84" i="14"/>
  <c r="AB84" i="14"/>
  <c r="AA84" i="14"/>
  <c r="Z84" i="14"/>
  <c r="Y84" i="14"/>
  <c r="AK84" i="14" s="1"/>
  <c r="V84" i="14"/>
  <c r="U84" i="14"/>
  <c r="T84" i="14" s="1"/>
  <c r="S84" i="14"/>
  <c r="AJ83" i="14"/>
  <c r="AI83" i="14"/>
  <c r="AH83" i="14"/>
  <c r="AG83" i="14"/>
  <c r="AF83" i="14"/>
  <c r="AE83" i="14"/>
  <c r="AD83" i="14"/>
  <c r="AC83" i="14"/>
  <c r="AB83" i="14"/>
  <c r="AA83" i="14"/>
  <c r="Z83" i="14"/>
  <c r="Y83" i="14"/>
  <c r="AK83" i="14" s="1"/>
  <c r="V83" i="14"/>
  <c r="U83" i="14"/>
  <c r="T83" i="14" s="1"/>
  <c r="S83" i="14"/>
  <c r="AJ82" i="14"/>
  <c r="AI82" i="14"/>
  <c r="AH82" i="14"/>
  <c r="AG82" i="14"/>
  <c r="AF82" i="14"/>
  <c r="AE82" i="14"/>
  <c r="AD82" i="14"/>
  <c r="AC82" i="14"/>
  <c r="AB82" i="14"/>
  <c r="AA82" i="14"/>
  <c r="Z82" i="14"/>
  <c r="Y82" i="14"/>
  <c r="AK82" i="14" s="1"/>
  <c r="V82" i="14"/>
  <c r="U82" i="14"/>
  <c r="T82" i="14" s="1"/>
  <c r="S82" i="14"/>
  <c r="AJ81" i="14"/>
  <c r="AI81" i="14"/>
  <c r="AH81" i="14"/>
  <c r="AG81" i="14"/>
  <c r="AF81" i="14"/>
  <c r="AE81" i="14"/>
  <c r="AD81" i="14"/>
  <c r="AC81" i="14"/>
  <c r="AB81" i="14"/>
  <c r="AA81" i="14"/>
  <c r="Z81" i="14"/>
  <c r="Y81" i="14"/>
  <c r="AK81" i="14" s="1"/>
  <c r="V81" i="14"/>
  <c r="U81" i="14"/>
  <c r="T81" i="14" s="1"/>
  <c r="S81" i="14"/>
  <c r="AJ80" i="14"/>
  <c r="AI80" i="14"/>
  <c r="AH80" i="14"/>
  <c r="AG80" i="14"/>
  <c r="AF80" i="14"/>
  <c r="AE80" i="14"/>
  <c r="AD80" i="14"/>
  <c r="AC80" i="14"/>
  <c r="AB80" i="14"/>
  <c r="AA80" i="14"/>
  <c r="Z80" i="14"/>
  <c r="Y80" i="14"/>
  <c r="AK80" i="14" s="1"/>
  <c r="V80" i="14"/>
  <c r="U80" i="14"/>
  <c r="T80" i="14" s="1"/>
  <c r="S80" i="14"/>
  <c r="AJ79" i="14"/>
  <c r="AI79" i="14"/>
  <c r="AH79" i="14"/>
  <c r="AG79" i="14"/>
  <c r="AF79" i="14"/>
  <c r="AE79" i="14"/>
  <c r="AD79" i="14"/>
  <c r="AC79" i="14"/>
  <c r="AB79" i="14"/>
  <c r="AA79" i="14"/>
  <c r="Z79" i="14"/>
  <c r="Y79" i="14"/>
  <c r="AK79" i="14" s="1"/>
  <c r="V79" i="14"/>
  <c r="U79" i="14"/>
  <c r="T79" i="14" s="1"/>
  <c r="S79" i="14"/>
  <c r="AJ78" i="14"/>
  <c r="AI78" i="14"/>
  <c r="AH78" i="14"/>
  <c r="AG78" i="14"/>
  <c r="AF78" i="14"/>
  <c r="AE78" i="14"/>
  <c r="AD78" i="14"/>
  <c r="AC78" i="14"/>
  <c r="AB78" i="14"/>
  <c r="AA78" i="14"/>
  <c r="Z78" i="14"/>
  <c r="Y78" i="14"/>
  <c r="AK78" i="14" s="1"/>
  <c r="V78" i="14"/>
  <c r="U78" i="14"/>
  <c r="T78" i="14" s="1"/>
  <c r="S78" i="14"/>
  <c r="AJ77" i="14"/>
  <c r="AI77" i="14"/>
  <c r="AH77" i="14"/>
  <c r="AG77" i="14"/>
  <c r="AF77" i="14"/>
  <c r="AE77" i="14"/>
  <c r="AD77" i="14"/>
  <c r="AC77" i="14"/>
  <c r="AB77" i="14"/>
  <c r="AA77" i="14"/>
  <c r="Z77" i="14"/>
  <c r="Y77" i="14"/>
  <c r="AK77" i="14" s="1"/>
  <c r="V77" i="14"/>
  <c r="U77" i="14"/>
  <c r="T77" i="14" s="1"/>
  <c r="S77" i="14"/>
  <c r="AJ76" i="14"/>
  <c r="AI76" i="14"/>
  <c r="AH76" i="14"/>
  <c r="AG76" i="14"/>
  <c r="AF76" i="14"/>
  <c r="AE76" i="14"/>
  <c r="AD76" i="14"/>
  <c r="AC76" i="14"/>
  <c r="AB76" i="14"/>
  <c r="AA76" i="14"/>
  <c r="Z76" i="14"/>
  <c r="Y76" i="14"/>
  <c r="AK76" i="14" s="1"/>
  <c r="V76" i="14"/>
  <c r="U76" i="14"/>
  <c r="T76" i="14" s="1"/>
  <c r="S76" i="14"/>
  <c r="AJ75" i="14"/>
  <c r="AI75" i="14"/>
  <c r="AH75" i="14"/>
  <c r="AG75" i="14"/>
  <c r="AF75" i="14"/>
  <c r="AE75" i="14"/>
  <c r="AD75" i="14"/>
  <c r="AC75" i="14"/>
  <c r="AB75" i="14"/>
  <c r="AA75" i="14"/>
  <c r="Z75" i="14"/>
  <c r="Y75" i="14"/>
  <c r="AK75" i="14" s="1"/>
  <c r="V75" i="14"/>
  <c r="U75" i="14"/>
  <c r="T75" i="14" s="1"/>
  <c r="S75" i="14"/>
  <c r="AJ74" i="14"/>
  <c r="AI74" i="14"/>
  <c r="AH74" i="14"/>
  <c r="AG74" i="14"/>
  <c r="AF74" i="14"/>
  <c r="AE74" i="14"/>
  <c r="AD74" i="14"/>
  <c r="AC74" i="14"/>
  <c r="AB74" i="14"/>
  <c r="AA74" i="14"/>
  <c r="Z74" i="14"/>
  <c r="Y74" i="14"/>
  <c r="AK74" i="14" s="1"/>
  <c r="V74" i="14"/>
  <c r="U74" i="14"/>
  <c r="T74" i="14" s="1"/>
  <c r="S74" i="14"/>
  <c r="AJ73" i="14"/>
  <c r="AI73" i="14"/>
  <c r="AH73" i="14"/>
  <c r="AG73" i="14"/>
  <c r="AF73" i="14"/>
  <c r="AE73" i="14"/>
  <c r="AD73" i="14"/>
  <c r="AC73" i="14"/>
  <c r="AB73" i="14"/>
  <c r="AA73" i="14"/>
  <c r="Z73" i="14"/>
  <c r="Y73" i="14"/>
  <c r="AK73" i="14" s="1"/>
  <c r="V73" i="14"/>
  <c r="U73" i="14"/>
  <c r="T73" i="14" s="1"/>
  <c r="S73" i="14"/>
  <c r="AJ72" i="14"/>
  <c r="AI72" i="14"/>
  <c r="AH72" i="14"/>
  <c r="AG72" i="14"/>
  <c r="AF72" i="14"/>
  <c r="AE72" i="14"/>
  <c r="AD72" i="14"/>
  <c r="AC72" i="14"/>
  <c r="AB72" i="14"/>
  <c r="AA72" i="14"/>
  <c r="Z72" i="14"/>
  <c r="Y72" i="14"/>
  <c r="AK72" i="14" s="1"/>
  <c r="V72" i="14"/>
  <c r="U72" i="14"/>
  <c r="T72" i="14" s="1"/>
  <c r="S72" i="14"/>
  <c r="AJ71" i="14"/>
  <c r="AI71" i="14"/>
  <c r="AH71" i="14"/>
  <c r="AG71" i="14"/>
  <c r="AF71" i="14"/>
  <c r="AE71" i="14"/>
  <c r="AD71" i="14"/>
  <c r="AC71" i="14"/>
  <c r="AB71" i="14"/>
  <c r="AA71" i="14"/>
  <c r="Z71" i="14"/>
  <c r="Y71" i="14"/>
  <c r="AK71" i="14" s="1"/>
  <c r="V71" i="14"/>
  <c r="U71" i="14"/>
  <c r="T71" i="14" s="1"/>
  <c r="S71" i="14"/>
  <c r="AJ70" i="14"/>
  <c r="AI70" i="14"/>
  <c r="AH70" i="14"/>
  <c r="AG70" i="14"/>
  <c r="AF70" i="14"/>
  <c r="AE70" i="14"/>
  <c r="AD70" i="14"/>
  <c r="AC70" i="14"/>
  <c r="AB70" i="14"/>
  <c r="AA70" i="14"/>
  <c r="Z70" i="14"/>
  <c r="Y70" i="14"/>
  <c r="AK70" i="14" s="1"/>
  <c r="V70" i="14"/>
  <c r="U70" i="14"/>
  <c r="T70" i="14" s="1"/>
  <c r="S70" i="14"/>
  <c r="AJ69" i="14"/>
  <c r="AI69" i="14"/>
  <c r="AH69" i="14"/>
  <c r="AG69" i="14"/>
  <c r="AF69" i="14"/>
  <c r="AE69" i="14"/>
  <c r="AD69" i="14"/>
  <c r="AC69" i="14"/>
  <c r="AB69" i="14"/>
  <c r="AA69" i="14"/>
  <c r="Z69" i="14"/>
  <c r="Y69" i="14"/>
  <c r="AK69" i="14" s="1"/>
  <c r="V69" i="14"/>
  <c r="U69" i="14"/>
  <c r="T69" i="14" s="1"/>
  <c r="S69" i="14"/>
  <c r="AJ68" i="14"/>
  <c r="AI68" i="14"/>
  <c r="AH68" i="14"/>
  <c r="AG68" i="14"/>
  <c r="AF68" i="14"/>
  <c r="AE68" i="14"/>
  <c r="AD68" i="14"/>
  <c r="AC68" i="14"/>
  <c r="AB68" i="14"/>
  <c r="AA68" i="14"/>
  <c r="Z68" i="14"/>
  <c r="Y68" i="14"/>
  <c r="AK68" i="14" s="1"/>
  <c r="V68" i="14"/>
  <c r="U68" i="14"/>
  <c r="T68" i="14" s="1"/>
  <c r="S68" i="14"/>
  <c r="AJ67" i="14"/>
  <c r="AI67" i="14"/>
  <c r="AH67" i="14"/>
  <c r="AG67" i="14"/>
  <c r="AF67" i="14"/>
  <c r="AE67" i="14"/>
  <c r="AD67" i="14"/>
  <c r="AC67" i="14"/>
  <c r="AB67" i="14"/>
  <c r="AA67" i="14"/>
  <c r="Z67" i="14"/>
  <c r="Y67" i="14"/>
  <c r="AK67" i="14" s="1"/>
  <c r="V67" i="14"/>
  <c r="U67" i="14"/>
  <c r="T67" i="14" s="1"/>
  <c r="S67" i="14"/>
  <c r="AU103" i="13"/>
  <c r="AT103" i="13"/>
  <c r="AS103" i="13"/>
  <c r="AR103" i="13"/>
  <c r="AQ103" i="13"/>
  <c r="AP103" i="13"/>
  <c r="AO103" i="13"/>
  <c r="AN103" i="13"/>
  <c r="AM103" i="13"/>
  <c r="AL103" i="13"/>
  <c r="AK103" i="13"/>
  <c r="AJ103" i="13"/>
  <c r="AI103" i="13"/>
  <c r="H103" i="13"/>
  <c r="AU102" i="13"/>
  <c r="AT102" i="13"/>
  <c r="AS102" i="13"/>
  <c r="AR102" i="13"/>
  <c r="AQ102" i="13"/>
  <c r="AP102" i="13"/>
  <c r="AO102" i="13"/>
  <c r="AN102" i="13"/>
  <c r="AM102" i="13"/>
  <c r="AL102" i="13"/>
  <c r="AK102" i="13"/>
  <c r="AJ102" i="13"/>
  <c r="AI102" i="13"/>
  <c r="H102" i="13"/>
  <c r="AU101" i="13"/>
  <c r="AT101" i="13"/>
  <c r="AS101" i="13"/>
  <c r="AR101" i="13"/>
  <c r="AQ101" i="13"/>
  <c r="AP101" i="13"/>
  <c r="AO101" i="13"/>
  <c r="AN101" i="13"/>
  <c r="AM101" i="13"/>
  <c r="AL101" i="13"/>
  <c r="AK101" i="13"/>
  <c r="AJ101" i="13"/>
  <c r="AI101" i="13"/>
  <c r="H101" i="13"/>
  <c r="AU100" i="13"/>
  <c r="AT100" i="13"/>
  <c r="AS100" i="13"/>
  <c r="AR100" i="13"/>
  <c r="AQ100" i="13"/>
  <c r="AP100" i="13"/>
  <c r="AO100" i="13"/>
  <c r="AN100" i="13"/>
  <c r="AM100" i="13"/>
  <c r="AL100" i="13"/>
  <c r="AK100" i="13"/>
  <c r="AJ100" i="13"/>
  <c r="AI100" i="13"/>
  <c r="H100" i="13"/>
  <c r="AU99" i="13"/>
  <c r="AT99" i="13"/>
  <c r="AS99" i="13"/>
  <c r="AR99" i="13"/>
  <c r="AQ99" i="13"/>
  <c r="AP99" i="13"/>
  <c r="AO99" i="13"/>
  <c r="AN99" i="13"/>
  <c r="AM99" i="13"/>
  <c r="AL99" i="13"/>
  <c r="AK99" i="13"/>
  <c r="AJ99" i="13"/>
  <c r="AI99" i="13"/>
  <c r="H99" i="13"/>
  <c r="AU98" i="13"/>
  <c r="AT98" i="13"/>
  <c r="AS98" i="13"/>
  <c r="AR98" i="13"/>
  <c r="AQ98" i="13"/>
  <c r="AP98" i="13"/>
  <c r="AO98" i="13"/>
  <c r="AN98" i="13"/>
  <c r="AM98" i="13"/>
  <c r="AL98" i="13"/>
  <c r="AK98" i="13"/>
  <c r="AJ98" i="13"/>
  <c r="AI98" i="13"/>
  <c r="H98" i="13"/>
  <c r="AU97" i="13"/>
  <c r="AT97" i="13"/>
  <c r="AS97" i="13"/>
  <c r="AR97" i="13"/>
  <c r="AQ97" i="13"/>
  <c r="AP97" i="13"/>
  <c r="AO97" i="13"/>
  <c r="AN97" i="13"/>
  <c r="AM97" i="13"/>
  <c r="AL97" i="13"/>
  <c r="AK97" i="13"/>
  <c r="AJ97" i="13"/>
  <c r="AI97" i="13"/>
  <c r="H97" i="13"/>
  <c r="AU96" i="13"/>
  <c r="AT96" i="13"/>
  <c r="AS96" i="13"/>
  <c r="AR96" i="13"/>
  <c r="AQ96" i="13"/>
  <c r="AP96" i="13"/>
  <c r="AO96" i="13"/>
  <c r="AN96" i="13"/>
  <c r="AM96" i="13"/>
  <c r="AL96" i="13"/>
  <c r="AK96" i="13"/>
  <c r="AJ96" i="13"/>
  <c r="AI96" i="13"/>
  <c r="H96" i="13"/>
  <c r="AU95" i="13"/>
  <c r="AT95" i="13"/>
  <c r="AS95" i="13"/>
  <c r="AR95" i="13"/>
  <c r="AQ95" i="13"/>
  <c r="AP95" i="13"/>
  <c r="AO95" i="13"/>
  <c r="AN95" i="13"/>
  <c r="AM95" i="13"/>
  <c r="AL95" i="13"/>
  <c r="AK95" i="13"/>
  <c r="AJ95" i="13"/>
  <c r="AI95" i="13"/>
  <c r="H95" i="13"/>
  <c r="AU94" i="13"/>
  <c r="AT94" i="13"/>
  <c r="AS94" i="13"/>
  <c r="AR94" i="13"/>
  <c r="AQ94" i="13"/>
  <c r="AP94" i="13"/>
  <c r="AO94" i="13"/>
  <c r="AN94" i="13"/>
  <c r="AM94" i="13"/>
  <c r="AL94" i="13"/>
  <c r="AK94" i="13"/>
  <c r="AJ94" i="13"/>
  <c r="AI94" i="13"/>
  <c r="H94" i="13"/>
  <c r="AU93" i="13"/>
  <c r="AT93" i="13"/>
  <c r="AS93" i="13"/>
  <c r="AR93" i="13"/>
  <c r="AQ93" i="13"/>
  <c r="AP93" i="13"/>
  <c r="AO93" i="13"/>
  <c r="AN93" i="13"/>
  <c r="AM93" i="13"/>
  <c r="AL93" i="13"/>
  <c r="AK93" i="13"/>
  <c r="AJ93" i="13"/>
  <c r="AI93" i="13"/>
  <c r="H93" i="13"/>
  <c r="AU92" i="13"/>
  <c r="AT92" i="13"/>
  <c r="AS92" i="13"/>
  <c r="AR92" i="13"/>
  <c r="AQ92" i="13"/>
  <c r="AP92" i="13"/>
  <c r="AO92" i="13"/>
  <c r="AN92" i="13"/>
  <c r="AM92" i="13"/>
  <c r="AL92" i="13"/>
  <c r="AK92" i="13"/>
  <c r="AJ92" i="13"/>
  <c r="AI92" i="13"/>
  <c r="H92" i="13"/>
  <c r="AU91" i="13"/>
  <c r="AT91" i="13"/>
  <c r="AS91" i="13"/>
  <c r="AR91" i="13"/>
  <c r="AQ91" i="13"/>
  <c r="AP91" i="13"/>
  <c r="AO91" i="13"/>
  <c r="AN91" i="13"/>
  <c r="AM91" i="13"/>
  <c r="AL91" i="13"/>
  <c r="AK91" i="13"/>
  <c r="AJ91" i="13"/>
  <c r="AI91" i="13"/>
  <c r="H91" i="13"/>
  <c r="AU90" i="13"/>
  <c r="AT90" i="13"/>
  <c r="AS90" i="13"/>
  <c r="AR90" i="13"/>
  <c r="AQ90" i="13"/>
  <c r="AP90" i="13"/>
  <c r="AO90" i="13"/>
  <c r="AN90" i="13"/>
  <c r="AM90" i="13"/>
  <c r="AL90" i="13"/>
  <c r="AK90" i="13"/>
  <c r="AJ90" i="13"/>
  <c r="AI90" i="13"/>
  <c r="H90" i="13"/>
  <c r="AU89" i="13"/>
  <c r="AT89" i="13"/>
  <c r="AS89" i="13"/>
  <c r="AR89" i="13"/>
  <c r="AQ89" i="13"/>
  <c r="AP89" i="13"/>
  <c r="AO89" i="13"/>
  <c r="AN89" i="13"/>
  <c r="AM89" i="13"/>
  <c r="AL89" i="13"/>
  <c r="AK89" i="13"/>
  <c r="AJ89" i="13"/>
  <c r="AI89" i="13"/>
  <c r="H89" i="13"/>
  <c r="AU88" i="13"/>
  <c r="AT88" i="13"/>
  <c r="AS88" i="13"/>
  <c r="AR88" i="13"/>
  <c r="AQ88" i="13"/>
  <c r="AP88" i="13"/>
  <c r="AO88" i="13"/>
  <c r="AN88" i="13"/>
  <c r="AM88" i="13"/>
  <c r="AL88" i="13"/>
  <c r="AK88" i="13"/>
  <c r="AJ88" i="13"/>
  <c r="AI88" i="13"/>
  <c r="H88" i="13"/>
  <c r="AU87" i="13"/>
  <c r="AT87" i="13"/>
  <c r="AS87" i="13"/>
  <c r="AR87" i="13"/>
  <c r="AQ87" i="13"/>
  <c r="AP87" i="13"/>
  <c r="AO87" i="13"/>
  <c r="AN87" i="13"/>
  <c r="AM87" i="13"/>
  <c r="AL87" i="13"/>
  <c r="AK87" i="13"/>
  <c r="AJ87" i="13"/>
  <c r="AI87" i="13"/>
  <c r="H87" i="13"/>
  <c r="AU86" i="13"/>
  <c r="AT86" i="13"/>
  <c r="AS86" i="13"/>
  <c r="AR86" i="13"/>
  <c r="AQ86" i="13"/>
  <c r="AP86" i="13"/>
  <c r="AO86" i="13"/>
  <c r="AN86" i="13"/>
  <c r="AM86" i="13"/>
  <c r="AL86" i="13"/>
  <c r="AK86" i="13"/>
  <c r="AJ86" i="13"/>
  <c r="AI86" i="13"/>
  <c r="H86" i="13"/>
  <c r="AU85" i="13"/>
  <c r="AT85" i="13"/>
  <c r="AS85" i="13"/>
  <c r="AR85" i="13"/>
  <c r="AQ85" i="13"/>
  <c r="AP85" i="13"/>
  <c r="AO85" i="13"/>
  <c r="AN85" i="13"/>
  <c r="AM85" i="13"/>
  <c r="AL85" i="13"/>
  <c r="AK85" i="13"/>
  <c r="AJ85" i="13"/>
  <c r="AI85" i="13"/>
  <c r="H85" i="13"/>
  <c r="AU84" i="13"/>
  <c r="AT84" i="13"/>
  <c r="AS84" i="13"/>
  <c r="AR84" i="13"/>
  <c r="AQ84" i="13"/>
  <c r="AP84" i="13"/>
  <c r="AO84" i="13"/>
  <c r="AN84" i="13"/>
  <c r="AM84" i="13"/>
  <c r="AL84" i="13"/>
  <c r="AK84" i="13"/>
  <c r="AJ84" i="13"/>
  <c r="AI84" i="13"/>
  <c r="H84" i="13"/>
  <c r="AU83" i="13"/>
  <c r="AT83" i="13"/>
  <c r="AS83" i="13"/>
  <c r="AR83" i="13"/>
  <c r="AQ83" i="13"/>
  <c r="AP83" i="13"/>
  <c r="AO83" i="13"/>
  <c r="AN83" i="13"/>
  <c r="AM83" i="13"/>
  <c r="AL83" i="13"/>
  <c r="AK83" i="13"/>
  <c r="AJ83" i="13"/>
  <c r="AI83" i="13"/>
  <c r="H83" i="13"/>
  <c r="AU82" i="13"/>
  <c r="AT82" i="13"/>
  <c r="AS82" i="13"/>
  <c r="AR82" i="13"/>
  <c r="AQ82" i="13"/>
  <c r="AP82" i="13"/>
  <c r="AO82" i="13"/>
  <c r="AN82" i="13"/>
  <c r="AM82" i="13"/>
  <c r="AL82" i="13"/>
  <c r="AK82" i="13"/>
  <c r="AJ82" i="13"/>
  <c r="AI82" i="13"/>
  <c r="H82" i="13"/>
  <c r="AU81" i="13"/>
  <c r="AT81" i="13"/>
  <c r="AS81" i="13"/>
  <c r="AR81" i="13"/>
  <c r="AQ81" i="13"/>
  <c r="AP81" i="13"/>
  <c r="AO81" i="13"/>
  <c r="AN81" i="13"/>
  <c r="AM81" i="13"/>
  <c r="AL81" i="13"/>
  <c r="AK81" i="13"/>
  <c r="AJ81" i="13"/>
  <c r="AI81" i="13"/>
  <c r="H81" i="13"/>
  <c r="AU80" i="13"/>
  <c r="AT80" i="13"/>
  <c r="AS80" i="13"/>
  <c r="AR80" i="13"/>
  <c r="AQ80" i="13"/>
  <c r="AP80" i="13"/>
  <c r="AO80" i="13"/>
  <c r="AN80" i="13"/>
  <c r="AM80" i="13"/>
  <c r="AL80" i="13"/>
  <c r="AK80" i="13"/>
  <c r="AJ80" i="13"/>
  <c r="AI80" i="13"/>
  <c r="H80" i="13"/>
  <c r="AU79" i="13"/>
  <c r="AT79" i="13"/>
  <c r="AS79" i="13"/>
  <c r="AR79" i="13"/>
  <c r="AQ79" i="13"/>
  <c r="AP79" i="13"/>
  <c r="AO79" i="13"/>
  <c r="AN79" i="13"/>
  <c r="AM79" i="13"/>
  <c r="AL79" i="13"/>
  <c r="AK79" i="13"/>
  <c r="AJ79" i="13"/>
  <c r="AI79" i="13"/>
  <c r="H79" i="13"/>
  <c r="AU78" i="13"/>
  <c r="AT78" i="13"/>
  <c r="AS78" i="13"/>
  <c r="AR78" i="13"/>
  <c r="AQ78" i="13"/>
  <c r="AP78" i="13"/>
  <c r="AO78" i="13"/>
  <c r="AN78" i="13"/>
  <c r="AM78" i="13"/>
  <c r="AL78" i="13"/>
  <c r="AK78" i="13"/>
  <c r="AJ78" i="13"/>
  <c r="AI78" i="13"/>
  <c r="H78" i="13"/>
  <c r="AU77" i="13"/>
  <c r="AT77" i="13"/>
  <c r="AS77" i="13"/>
  <c r="AR77" i="13"/>
  <c r="AQ77" i="13"/>
  <c r="AP77" i="13"/>
  <c r="AO77" i="13"/>
  <c r="AN77" i="13"/>
  <c r="AM77" i="13"/>
  <c r="AL77" i="13"/>
  <c r="AK77" i="13"/>
  <c r="AJ77" i="13"/>
  <c r="AI77" i="13"/>
  <c r="H77" i="13"/>
  <c r="AU76" i="13"/>
  <c r="AT76" i="13"/>
  <c r="AS76" i="13"/>
  <c r="AR76" i="13"/>
  <c r="AQ76" i="13"/>
  <c r="AP76" i="13"/>
  <c r="AO76" i="13"/>
  <c r="AN76" i="13"/>
  <c r="AM76" i="13"/>
  <c r="AL76" i="13"/>
  <c r="AK76" i="13"/>
  <c r="AJ76" i="13"/>
  <c r="AI76" i="13"/>
  <c r="H76" i="13"/>
  <c r="AU75" i="13"/>
  <c r="AT75" i="13"/>
  <c r="AS75" i="13"/>
  <c r="AR75" i="13"/>
  <c r="AQ75" i="13"/>
  <c r="AP75" i="13"/>
  <c r="AO75" i="13"/>
  <c r="AN75" i="13"/>
  <c r="AM75" i="13"/>
  <c r="AL75" i="13"/>
  <c r="AK75" i="13"/>
  <c r="AJ75" i="13"/>
  <c r="AI75" i="13"/>
  <c r="H75" i="13"/>
  <c r="AU74" i="13"/>
  <c r="AT74" i="13"/>
  <c r="AS74" i="13"/>
  <c r="AR74" i="13"/>
  <c r="AQ74" i="13"/>
  <c r="AP74" i="13"/>
  <c r="AO74" i="13"/>
  <c r="AN74" i="13"/>
  <c r="AM74" i="13"/>
  <c r="AL74" i="13"/>
  <c r="AK74" i="13"/>
  <c r="AJ74" i="13"/>
  <c r="AI74" i="13"/>
  <c r="H74" i="13"/>
  <c r="AU73" i="13"/>
  <c r="AT73" i="13"/>
  <c r="AS73" i="13"/>
  <c r="AR73" i="13"/>
  <c r="AQ73" i="13"/>
  <c r="AP73" i="13"/>
  <c r="AO73" i="13"/>
  <c r="AN73" i="13"/>
  <c r="AM73" i="13"/>
  <c r="AL73" i="13"/>
  <c r="AK73" i="13"/>
  <c r="AJ73" i="13"/>
  <c r="AI73" i="13"/>
  <c r="H73" i="13"/>
  <c r="AU72" i="13"/>
  <c r="AT72" i="13"/>
  <c r="AS72" i="13"/>
  <c r="AR72" i="13"/>
  <c r="AQ72" i="13"/>
  <c r="AP72" i="13"/>
  <c r="AO72" i="13"/>
  <c r="AN72" i="13"/>
  <c r="AM72" i="13"/>
  <c r="AL72" i="13"/>
  <c r="AK72" i="13"/>
  <c r="AJ72" i="13"/>
  <c r="AI72" i="13"/>
  <c r="H72" i="13"/>
  <c r="AU71" i="13"/>
  <c r="AT71" i="13"/>
  <c r="AS71" i="13"/>
  <c r="AR71" i="13"/>
  <c r="AQ71" i="13"/>
  <c r="AP71" i="13"/>
  <c r="AO71" i="13"/>
  <c r="AN71" i="13"/>
  <c r="AM71" i="13"/>
  <c r="AL71" i="13"/>
  <c r="AK71" i="13"/>
  <c r="AJ71" i="13"/>
  <c r="AI71" i="13"/>
  <c r="H71" i="13"/>
  <c r="AU70" i="13"/>
  <c r="AT70" i="13"/>
  <c r="AS70" i="13"/>
  <c r="AR70" i="13"/>
  <c r="AQ70" i="13"/>
  <c r="AP70" i="13"/>
  <c r="AO70" i="13"/>
  <c r="AN70" i="13"/>
  <c r="AM70" i="13"/>
  <c r="AL70" i="13"/>
  <c r="AK70" i="13"/>
  <c r="AJ70" i="13"/>
  <c r="AI70" i="13"/>
  <c r="H70" i="13"/>
  <c r="AU69" i="13"/>
  <c r="AT69" i="13"/>
  <c r="AS69" i="13"/>
  <c r="AR69" i="13"/>
  <c r="AQ69" i="13"/>
  <c r="AP69" i="13"/>
  <c r="AO69" i="13"/>
  <c r="AN69" i="13"/>
  <c r="AM69" i="13"/>
  <c r="AL69" i="13"/>
  <c r="AK69" i="13"/>
  <c r="AJ69" i="13"/>
  <c r="AI69" i="13"/>
  <c r="H69" i="13"/>
  <c r="X101" i="10" l="1"/>
  <c r="Y101" i="10" s="1"/>
  <c r="X100" i="10"/>
  <c r="Y100" i="10" s="1"/>
  <c r="X99" i="10"/>
  <c r="Y99" i="10" s="1"/>
  <c r="X98" i="10"/>
  <c r="Y98" i="10" s="1"/>
  <c r="X96" i="10"/>
  <c r="Y96" i="10" s="1"/>
  <c r="X95" i="10"/>
  <c r="Y95" i="10" s="1"/>
  <c r="X94" i="10"/>
  <c r="Y94" i="10" s="1"/>
  <c r="X92" i="10"/>
  <c r="Y92" i="10" s="1"/>
  <c r="X91" i="10"/>
  <c r="Y91" i="10" s="1"/>
  <c r="X89" i="10"/>
  <c r="Y89" i="10" s="1"/>
  <c r="X87" i="10"/>
  <c r="Y87" i="10" s="1"/>
  <c r="X86" i="10"/>
  <c r="Y86" i="10" s="1"/>
  <c r="X85" i="10"/>
  <c r="Y85" i="10" s="1"/>
  <c r="X82" i="10"/>
  <c r="Y82" i="10" s="1"/>
  <c r="X80" i="10"/>
  <c r="Y80" i="10" s="1"/>
  <c r="X79" i="10"/>
  <c r="Y79" i="10" s="1"/>
  <c r="X78" i="10"/>
  <c r="Y78" i="10" s="1"/>
  <c r="X77" i="10"/>
  <c r="Y77" i="10" s="1"/>
  <c r="X76" i="10"/>
  <c r="Y76" i="10" s="1"/>
  <c r="X74" i="10"/>
  <c r="Y74" i="10" s="1"/>
  <c r="X73" i="10"/>
  <c r="Y73" i="10" s="1"/>
  <c r="X72" i="10"/>
  <c r="Y72" i="10" s="1"/>
  <c r="X71" i="10"/>
  <c r="Y71" i="10" s="1"/>
  <c r="X69" i="10"/>
  <c r="Y69" i="10" s="1"/>
  <c r="X68" i="10"/>
  <c r="Y68" i="10" s="1"/>
  <c r="X99" i="15"/>
  <c r="Y99" i="15" s="1"/>
  <c r="X101" i="15"/>
  <c r="Y101" i="15" s="1"/>
  <c r="X100" i="15"/>
  <c r="Y100" i="15" s="1"/>
  <c r="X98" i="15"/>
  <c r="Y98" i="15" s="1"/>
  <c r="X97" i="15"/>
  <c r="Y97" i="15" s="1"/>
  <c r="X96" i="15"/>
  <c r="Y96" i="15" s="1"/>
  <c r="X94" i="15"/>
  <c r="Y94" i="15" s="1"/>
  <c r="X95" i="15"/>
  <c r="Y95" i="15" s="1"/>
  <c r="X93" i="15"/>
  <c r="Y93" i="15" s="1"/>
  <c r="X92" i="15"/>
  <c r="Y92" i="15" s="1"/>
  <c r="X91" i="15"/>
  <c r="Y91" i="15" s="1"/>
  <c r="X90" i="15"/>
  <c r="Y90" i="15" s="1"/>
  <c r="X88" i="15"/>
  <c r="Y88" i="15" s="1"/>
  <c r="X89" i="15"/>
  <c r="Y89" i="15" s="1"/>
  <c r="X87" i="15"/>
  <c r="Y87" i="15" s="1"/>
  <c r="X86" i="15"/>
  <c r="Y86" i="15" s="1"/>
  <c r="X84" i="15"/>
  <c r="Y84" i="15" s="1"/>
  <c r="X85" i="15"/>
  <c r="Y85" i="15" s="1"/>
  <c r="X82" i="15"/>
  <c r="Y82" i="15" s="1"/>
  <c r="X83" i="15"/>
  <c r="Y83" i="15" s="1"/>
  <c r="X81" i="15"/>
  <c r="Y81" i="15" s="1"/>
  <c r="X80" i="15"/>
  <c r="Y80" i="15" s="1"/>
  <c r="X79" i="15"/>
  <c r="Y79" i="15" s="1"/>
  <c r="X75" i="15"/>
  <c r="Y75" i="15" s="1"/>
  <c r="X76" i="15"/>
  <c r="Y76" i="15" s="1"/>
  <c r="X78" i="15"/>
  <c r="Y78" i="15" s="1"/>
  <c r="X77" i="15"/>
  <c r="Y77" i="15" s="1"/>
  <c r="X74" i="15"/>
  <c r="Y74" i="15" s="1"/>
  <c r="X73" i="15"/>
  <c r="Y73" i="15" s="1"/>
  <c r="X71" i="15"/>
  <c r="Y71" i="15" s="1"/>
  <c r="X72" i="15"/>
  <c r="Y72" i="15" s="1"/>
  <c r="X69" i="15"/>
  <c r="Y69" i="15" s="1"/>
  <c r="X70" i="15"/>
  <c r="Y70" i="15" s="1"/>
  <c r="X67" i="15"/>
  <c r="Y67" i="15" s="1"/>
  <c r="X68" i="15"/>
  <c r="Y68" i="15" s="1"/>
  <c r="W95" i="3"/>
  <c r="X95" i="3" s="1"/>
  <c r="W101" i="3"/>
  <c r="X101" i="3" s="1"/>
  <c r="W97" i="3"/>
  <c r="X97" i="3" s="1"/>
  <c r="W98" i="3"/>
  <c r="X98" i="3" s="1"/>
  <c r="W99" i="3"/>
  <c r="X99" i="3" s="1"/>
  <c r="W100" i="3"/>
  <c r="X100" i="3" s="1"/>
  <c r="W96" i="3"/>
  <c r="X96" i="3" s="1"/>
  <c r="W94" i="3"/>
  <c r="X94" i="3" s="1"/>
  <c r="W93" i="3"/>
  <c r="X93" i="3" s="1"/>
  <c r="W92" i="3"/>
  <c r="X92" i="3" s="1"/>
  <c r="W87" i="3"/>
  <c r="X87" i="3" s="1"/>
  <c r="W91" i="3"/>
  <c r="X91" i="3" s="1"/>
  <c r="W90" i="3"/>
  <c r="X90" i="3" s="1"/>
  <c r="W86" i="3"/>
  <c r="X86" i="3" s="1"/>
  <c r="W89" i="3"/>
  <c r="X89" i="3" s="1"/>
  <c r="W88" i="3"/>
  <c r="X88" i="3" s="1"/>
  <c r="W83" i="3"/>
  <c r="X83" i="3" s="1"/>
  <c r="W85" i="3"/>
  <c r="X85" i="3" s="1"/>
  <c r="W84" i="3"/>
  <c r="X84" i="3" s="1"/>
  <c r="W74" i="3"/>
  <c r="X74" i="3" s="1"/>
  <c r="W82" i="3"/>
  <c r="X82" i="3" s="1"/>
  <c r="W81" i="3"/>
  <c r="X81" i="3" s="1"/>
  <c r="W76" i="3"/>
  <c r="X76" i="3" s="1"/>
  <c r="W77" i="3"/>
  <c r="X77" i="3" s="1"/>
  <c r="W78" i="3"/>
  <c r="X78" i="3" s="1"/>
  <c r="W79" i="3"/>
  <c r="X79" i="3" s="1"/>
  <c r="W80" i="3"/>
  <c r="X80" i="3" s="1"/>
  <c r="W75" i="3"/>
  <c r="X75" i="3" s="1"/>
  <c r="W70" i="3"/>
  <c r="X70" i="3" s="1"/>
  <c r="W71" i="3"/>
  <c r="X71" i="3" s="1"/>
  <c r="W73" i="3"/>
  <c r="X73" i="3" s="1"/>
  <c r="W69" i="3"/>
  <c r="X69" i="3" s="1"/>
  <c r="W72" i="3"/>
  <c r="X72" i="3" s="1"/>
  <c r="W68" i="3"/>
  <c r="X68" i="3" s="1"/>
  <c r="W67" i="3"/>
  <c r="X67" i="3" s="1"/>
  <c r="W101" i="14"/>
  <c r="X101" i="14" s="1"/>
  <c r="W99" i="14"/>
  <c r="X99" i="14" s="1"/>
  <c r="W100" i="14"/>
  <c r="X100" i="14" s="1"/>
  <c r="W95" i="14"/>
  <c r="X95" i="14" s="1"/>
  <c r="W98" i="14"/>
  <c r="X98" i="14" s="1"/>
  <c r="W97" i="14"/>
  <c r="X97" i="14" s="1"/>
  <c r="W93" i="14"/>
  <c r="X93" i="14" s="1"/>
  <c r="W96" i="14"/>
  <c r="X96" i="14" s="1"/>
  <c r="W87" i="14"/>
  <c r="X87" i="14" s="1"/>
  <c r="W91" i="14"/>
  <c r="X91" i="14" s="1"/>
  <c r="W94" i="14"/>
  <c r="X94" i="14" s="1"/>
  <c r="W90" i="14"/>
  <c r="X90" i="14" s="1"/>
  <c r="W92" i="14"/>
  <c r="X92" i="14" s="1"/>
  <c r="W85" i="14"/>
  <c r="X85" i="14" s="1"/>
  <c r="W89" i="14"/>
  <c r="X89" i="14" s="1"/>
  <c r="W88" i="14"/>
  <c r="X88" i="14" s="1"/>
  <c r="W82" i="14"/>
  <c r="X82" i="14" s="1"/>
  <c r="W86" i="14"/>
  <c r="X86" i="14" s="1"/>
  <c r="W81" i="14"/>
  <c r="X81" i="14" s="1"/>
  <c r="W84" i="14"/>
  <c r="X84" i="14" s="1"/>
  <c r="W83" i="14"/>
  <c r="X83" i="14" s="1"/>
  <c r="W77" i="14"/>
  <c r="X77" i="14" s="1"/>
  <c r="W78" i="14"/>
  <c r="X78" i="14" s="1"/>
  <c r="W80" i="14"/>
  <c r="X80" i="14" s="1"/>
  <c r="W75" i="14"/>
  <c r="X75" i="14" s="1"/>
  <c r="W79" i="14"/>
  <c r="X79" i="14" s="1"/>
  <c r="W74" i="14"/>
  <c r="X74" i="14" s="1"/>
  <c r="W72" i="14"/>
  <c r="X72" i="14" s="1"/>
  <c r="W76" i="14"/>
  <c r="X76" i="14" s="1"/>
  <c r="W70" i="14"/>
  <c r="X70" i="14" s="1"/>
  <c r="W73" i="14"/>
  <c r="X73" i="14" s="1"/>
  <c r="W68" i="14"/>
  <c r="X68" i="14" s="1"/>
  <c r="W69" i="14"/>
  <c r="X69" i="14" s="1"/>
  <c r="W71" i="14"/>
  <c r="X71" i="14" s="1"/>
  <c r="W67" i="14"/>
  <c r="X67" i="14" s="1"/>
  <c r="V67" i="6"/>
  <c r="V68" i="6"/>
  <c r="V69" i="6"/>
  <c r="V70" i="6"/>
  <c r="V71" i="6"/>
  <c r="V72" i="6"/>
  <c r="V73" i="6"/>
  <c r="V74" i="6"/>
  <c r="V75" i="6"/>
  <c r="V76" i="6"/>
  <c r="V77" i="6"/>
  <c r="V78" i="6"/>
  <c r="V79" i="6"/>
  <c r="V80" i="6"/>
  <c r="V81" i="6"/>
  <c r="V82" i="6"/>
  <c r="V83" i="6"/>
  <c r="V84" i="6"/>
  <c r="V85" i="6"/>
  <c r="V86" i="6"/>
  <c r="V87" i="6"/>
  <c r="V88" i="6"/>
  <c r="V89" i="6"/>
  <c r="V90" i="6"/>
  <c r="V91" i="6"/>
  <c r="V92" i="6"/>
  <c r="V93" i="6"/>
  <c r="V94" i="6"/>
  <c r="V95" i="6"/>
  <c r="V96" i="6"/>
  <c r="V97" i="6"/>
  <c r="V98" i="6"/>
  <c r="V99" i="6"/>
  <c r="V100" i="6"/>
  <c r="V101" i="6"/>
  <c r="U67" i="6"/>
  <c r="T67" i="6" s="1"/>
  <c r="U68" i="6"/>
  <c r="T68" i="6" s="1"/>
  <c r="U69" i="6"/>
  <c r="T69" i="6" s="1"/>
  <c r="U70" i="6"/>
  <c r="T70" i="6" s="1"/>
  <c r="U71" i="6"/>
  <c r="T71" i="6" s="1"/>
  <c r="U72" i="6"/>
  <c r="T72" i="6" s="1"/>
  <c r="U73" i="6"/>
  <c r="T73" i="6" s="1"/>
  <c r="U74" i="6"/>
  <c r="T74" i="6" s="1"/>
  <c r="U75" i="6"/>
  <c r="T75" i="6" s="1"/>
  <c r="U76" i="6"/>
  <c r="T76" i="6" s="1"/>
  <c r="U77" i="6"/>
  <c r="T77" i="6" s="1"/>
  <c r="U78" i="6"/>
  <c r="T78" i="6" s="1"/>
  <c r="U79" i="6"/>
  <c r="T79" i="6" s="1"/>
  <c r="U80" i="6"/>
  <c r="T80" i="6" s="1"/>
  <c r="U81" i="6"/>
  <c r="T81" i="6" s="1"/>
  <c r="U82" i="6"/>
  <c r="T82" i="6" s="1"/>
  <c r="U83" i="6"/>
  <c r="T83" i="6" s="1"/>
  <c r="U84" i="6"/>
  <c r="T84" i="6" s="1"/>
  <c r="U85" i="6"/>
  <c r="T85" i="6" s="1"/>
  <c r="U86" i="6"/>
  <c r="T86" i="6" s="1"/>
  <c r="U87" i="6"/>
  <c r="T87" i="6" s="1"/>
  <c r="U88" i="6"/>
  <c r="T88" i="6" s="1"/>
  <c r="U89" i="6"/>
  <c r="T89" i="6" s="1"/>
  <c r="U90" i="6"/>
  <c r="T90" i="6" s="1"/>
  <c r="U91" i="6"/>
  <c r="T91" i="6" s="1"/>
  <c r="U92" i="6"/>
  <c r="T92" i="6" s="1"/>
  <c r="U93" i="6"/>
  <c r="T93" i="6" s="1"/>
  <c r="U94" i="6"/>
  <c r="T94" i="6" s="1"/>
  <c r="U95" i="6"/>
  <c r="T95" i="6" s="1"/>
  <c r="U96" i="6"/>
  <c r="T96" i="6" s="1"/>
  <c r="U97" i="6"/>
  <c r="T97" i="6" s="1"/>
  <c r="U98" i="6"/>
  <c r="T98" i="6" s="1"/>
  <c r="U99" i="6"/>
  <c r="T99" i="6" s="1"/>
  <c r="U100" i="6"/>
  <c r="T100" i="6" s="1"/>
  <c r="U101" i="6"/>
  <c r="T101" i="6" s="1"/>
  <c r="S67" i="6"/>
  <c r="S68" i="6"/>
  <c r="S69" i="6"/>
  <c r="S70" i="6"/>
  <c r="S71" i="6"/>
  <c r="S72" i="6"/>
  <c r="S73" i="6"/>
  <c r="S74" i="6"/>
  <c r="S75" i="6"/>
  <c r="S76" i="6"/>
  <c r="S77" i="6"/>
  <c r="S78" i="6"/>
  <c r="S79" i="6"/>
  <c r="S80" i="6"/>
  <c r="S81" i="6"/>
  <c r="S82" i="6"/>
  <c r="S83" i="6"/>
  <c r="S84" i="6"/>
  <c r="S85" i="6"/>
  <c r="S86" i="6"/>
  <c r="S87" i="6"/>
  <c r="S88" i="6"/>
  <c r="S89" i="6"/>
  <c r="S90" i="6"/>
  <c r="S91" i="6"/>
  <c r="S92" i="6"/>
  <c r="S93" i="6"/>
  <c r="S94" i="6"/>
  <c r="S95" i="6"/>
  <c r="S96" i="6"/>
  <c r="S97" i="6"/>
  <c r="S98" i="6"/>
  <c r="S99" i="6"/>
  <c r="S100" i="6"/>
  <c r="S101" i="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C67" i="2"/>
  <c r="P67" i="2" s="1"/>
  <c r="C68" i="2"/>
  <c r="P68" i="2" s="1"/>
  <c r="C69" i="2"/>
  <c r="P69" i="2" s="1"/>
  <c r="C70" i="2"/>
  <c r="P70" i="2" s="1"/>
  <c r="C71" i="2"/>
  <c r="P71" i="2" s="1"/>
  <c r="C72" i="2"/>
  <c r="P72" i="2" s="1"/>
  <c r="C73" i="2"/>
  <c r="P73" i="2" s="1"/>
  <c r="C74" i="2"/>
  <c r="P74" i="2" s="1"/>
  <c r="C75" i="2"/>
  <c r="P75" i="2" s="1"/>
  <c r="C76" i="2"/>
  <c r="P76" i="2" s="1"/>
  <c r="C77" i="2"/>
  <c r="P77" i="2" s="1"/>
  <c r="C78" i="2"/>
  <c r="P78" i="2" s="1"/>
  <c r="C79" i="2"/>
  <c r="P79" i="2" s="1"/>
  <c r="C80" i="2"/>
  <c r="P80" i="2" s="1"/>
  <c r="C81" i="2"/>
  <c r="P81" i="2" s="1"/>
  <c r="C82" i="2"/>
  <c r="P82" i="2" s="1"/>
  <c r="C83" i="2"/>
  <c r="P83" i="2" s="1"/>
  <c r="C84" i="2"/>
  <c r="P84" i="2" s="1"/>
  <c r="C85" i="2"/>
  <c r="P85" i="2" s="1"/>
  <c r="C86" i="2"/>
  <c r="P86" i="2" s="1"/>
  <c r="C87" i="2"/>
  <c r="P87" i="2" s="1"/>
  <c r="C88" i="2"/>
  <c r="P88" i="2" s="1"/>
  <c r="C89" i="2"/>
  <c r="P89" i="2" s="1"/>
  <c r="C90" i="2"/>
  <c r="P90" i="2" s="1"/>
  <c r="C91" i="2"/>
  <c r="P91" i="2" s="1"/>
  <c r="C92" i="2"/>
  <c r="P92" i="2" s="1"/>
  <c r="C93" i="2"/>
  <c r="P93" i="2" s="1"/>
  <c r="C94" i="2"/>
  <c r="P94" i="2" s="1"/>
  <c r="C95" i="2"/>
  <c r="P95" i="2" s="1"/>
  <c r="C96" i="2"/>
  <c r="P96" i="2" s="1"/>
  <c r="C97" i="2"/>
  <c r="P97" i="2" s="1"/>
  <c r="C98" i="2"/>
  <c r="P98" i="2" s="1"/>
  <c r="C99" i="2"/>
  <c r="P99" i="2" s="1"/>
  <c r="C100" i="2"/>
  <c r="P100" i="2" s="1"/>
  <c r="C101" i="2"/>
  <c r="P101" i="2" s="1"/>
  <c r="R98" i="16" l="1"/>
  <c r="R94" i="16"/>
  <c r="R90" i="16"/>
  <c r="R86" i="16"/>
  <c r="R82" i="16"/>
  <c r="R78" i="16"/>
  <c r="R74" i="16"/>
  <c r="R70" i="16"/>
  <c r="W84" i="6"/>
  <c r="X84" i="6" s="1"/>
  <c r="R98" i="2"/>
  <c r="R94" i="2"/>
  <c r="R90" i="2"/>
  <c r="R86" i="2"/>
  <c r="R82" i="2"/>
  <c r="R78" i="2"/>
  <c r="R74" i="2"/>
  <c r="R70" i="2"/>
  <c r="R101" i="16"/>
  <c r="R93" i="16"/>
  <c r="R101" i="2"/>
  <c r="W68" i="6"/>
  <c r="X68" i="6" s="1"/>
  <c r="R97" i="2"/>
  <c r="R93" i="2"/>
  <c r="R89" i="2"/>
  <c r="R85" i="2"/>
  <c r="R81" i="2"/>
  <c r="R77" i="2"/>
  <c r="R73" i="2"/>
  <c r="R69" i="2"/>
  <c r="R97" i="16"/>
  <c r="R89" i="16"/>
  <c r="R85" i="16"/>
  <c r="R81" i="16"/>
  <c r="R77" i="16"/>
  <c r="R73" i="16"/>
  <c r="R69" i="16"/>
  <c r="R99" i="2"/>
  <c r="R95" i="2"/>
  <c r="R91" i="2"/>
  <c r="R87" i="2"/>
  <c r="R83" i="2"/>
  <c r="R79" i="2"/>
  <c r="R75" i="2"/>
  <c r="R71" i="2"/>
  <c r="R67" i="2"/>
  <c r="R100" i="2"/>
  <c r="R96" i="2"/>
  <c r="R92" i="2"/>
  <c r="R88" i="2"/>
  <c r="R84" i="2"/>
  <c r="R80" i="2"/>
  <c r="R76" i="2"/>
  <c r="R72" i="2"/>
  <c r="R68" i="2"/>
  <c r="R99" i="16"/>
  <c r="R95" i="16"/>
  <c r="R91" i="16"/>
  <c r="R87" i="16"/>
  <c r="R83" i="16"/>
  <c r="R79" i="16"/>
  <c r="R75" i="16"/>
  <c r="R71" i="16"/>
  <c r="R67" i="16"/>
  <c r="R100" i="16"/>
  <c r="R96" i="16"/>
  <c r="R92" i="16"/>
  <c r="R88" i="16"/>
  <c r="R84" i="16"/>
  <c r="R80" i="16"/>
  <c r="R76" i="16"/>
  <c r="R72" i="16"/>
  <c r="R68" i="16"/>
  <c r="W100" i="6"/>
  <c r="X100" i="6" s="1"/>
  <c r="W96" i="6"/>
  <c r="X96" i="6" s="1"/>
  <c r="W92" i="6"/>
  <c r="X92" i="6" s="1"/>
  <c r="W88" i="6"/>
  <c r="X88" i="6" s="1"/>
  <c r="W80" i="6"/>
  <c r="X80" i="6" s="1"/>
  <c r="W76" i="6"/>
  <c r="X76" i="6" s="1"/>
  <c r="W72" i="6"/>
  <c r="X72" i="6" s="1"/>
  <c r="W98" i="6"/>
  <c r="X98" i="6" s="1"/>
  <c r="W94" i="6"/>
  <c r="X94" i="6" s="1"/>
  <c r="W90" i="6"/>
  <c r="X90" i="6" s="1"/>
  <c r="W86" i="6"/>
  <c r="X86" i="6" s="1"/>
  <c r="W82" i="6"/>
  <c r="X82" i="6" s="1"/>
  <c r="W78" i="6"/>
  <c r="X78" i="6" s="1"/>
  <c r="W74" i="6"/>
  <c r="X74" i="6" s="1"/>
  <c r="W70" i="6"/>
  <c r="X70" i="6" s="1"/>
  <c r="W99" i="6"/>
  <c r="X99" i="6" s="1"/>
  <c r="W95" i="6"/>
  <c r="X95" i="6" s="1"/>
  <c r="W91" i="6"/>
  <c r="X91" i="6" s="1"/>
  <c r="W87" i="6"/>
  <c r="X87" i="6" s="1"/>
  <c r="W83" i="6"/>
  <c r="X83" i="6" s="1"/>
  <c r="W79" i="6"/>
  <c r="X79" i="6" s="1"/>
  <c r="W75" i="6"/>
  <c r="X75" i="6" s="1"/>
  <c r="W71" i="6"/>
  <c r="X71" i="6" s="1"/>
  <c r="W67" i="6"/>
  <c r="X67" i="6" s="1"/>
  <c r="W101" i="6"/>
  <c r="X101" i="6" s="1"/>
  <c r="W97" i="6"/>
  <c r="X97" i="6" s="1"/>
  <c r="W93" i="6"/>
  <c r="X93" i="6" s="1"/>
  <c r="W89" i="6"/>
  <c r="X89" i="6" s="1"/>
  <c r="W85" i="6"/>
  <c r="X85" i="6" s="1"/>
  <c r="W81" i="6"/>
  <c r="X81" i="6" s="1"/>
  <c r="W77" i="6"/>
  <c r="X77" i="6" s="1"/>
  <c r="W73" i="6"/>
  <c r="X73" i="6" s="1"/>
  <c r="W69" i="6"/>
  <c r="X69" i="6" s="1"/>
  <c r="Q103" i="16"/>
  <c r="Q102" i="16"/>
  <c r="Q66" i="16"/>
  <c r="Q103" i="2"/>
  <c r="Q102" i="2"/>
  <c r="Q66" i="2"/>
  <c r="O103" i="2"/>
  <c r="N103" i="2"/>
  <c r="M103" i="2"/>
  <c r="L103" i="2"/>
  <c r="K103" i="2"/>
  <c r="J103" i="2"/>
  <c r="I103" i="2"/>
  <c r="H103" i="2"/>
  <c r="G103" i="2"/>
  <c r="F103" i="2"/>
  <c r="E103" i="2"/>
  <c r="D103" i="2"/>
  <c r="C103" i="2"/>
  <c r="O102" i="2"/>
  <c r="N102" i="2"/>
  <c r="M102" i="2"/>
  <c r="L102" i="2"/>
  <c r="K102" i="2"/>
  <c r="J102" i="2"/>
  <c r="I102" i="2"/>
  <c r="H102" i="2"/>
  <c r="G102" i="2"/>
  <c r="F102" i="2"/>
  <c r="E102" i="2"/>
  <c r="D102" i="2"/>
  <c r="C102" i="2"/>
  <c r="O66" i="2"/>
  <c r="N66" i="2"/>
  <c r="M66" i="2"/>
  <c r="L66" i="2"/>
  <c r="K66" i="2"/>
  <c r="J66" i="2"/>
  <c r="I66" i="2"/>
  <c r="H66" i="2"/>
  <c r="G66" i="2"/>
  <c r="F66" i="2"/>
  <c r="E66" i="2"/>
  <c r="D66" i="2"/>
  <c r="C66" i="2"/>
  <c r="O65" i="2"/>
  <c r="N65" i="2"/>
  <c r="M65" i="2"/>
  <c r="O62" i="2"/>
  <c r="O52" i="2"/>
  <c r="N52" i="2"/>
  <c r="O51" i="2"/>
  <c r="N51" i="2"/>
  <c r="O43" i="2"/>
  <c r="N43" i="2"/>
  <c r="M43" i="2"/>
  <c r="O39" i="2"/>
  <c r="N39" i="2"/>
  <c r="M39" i="2"/>
  <c r="O34" i="2"/>
  <c r="N34" i="2"/>
  <c r="M34" i="2"/>
  <c r="O30" i="2"/>
  <c r="N30" i="2"/>
  <c r="M30" i="2"/>
  <c r="O21" i="2"/>
  <c r="N21" i="2"/>
  <c r="M21" i="2"/>
  <c r="O20" i="2"/>
  <c r="N20" i="2"/>
  <c r="O19" i="2"/>
  <c r="N19" i="2"/>
  <c r="L13" i="2"/>
  <c r="L9" i="2"/>
  <c r="BN65" i="1" l="1"/>
  <c r="BN66" i="1"/>
  <c r="BN67" i="1"/>
  <c r="BN68" i="1"/>
  <c r="BN69" i="1"/>
  <c r="BN70" i="1"/>
  <c r="BN71" i="1"/>
  <c r="BN72" i="1"/>
  <c r="BN73" i="1"/>
  <c r="BN74" i="1"/>
  <c r="BN75" i="1"/>
  <c r="BN76" i="1"/>
  <c r="BN77" i="1"/>
  <c r="BN78" i="1"/>
  <c r="BN79" i="1"/>
  <c r="BN80" i="1"/>
  <c r="BN81" i="1"/>
  <c r="BN82" i="1"/>
  <c r="BN83" i="1"/>
  <c r="BN84" i="1"/>
  <c r="BN85" i="1"/>
  <c r="BN86" i="1"/>
  <c r="BN87" i="1"/>
  <c r="BN88" i="1"/>
  <c r="BN89" i="1"/>
  <c r="BN90" i="1"/>
  <c r="BN91" i="1"/>
  <c r="BN92" i="1"/>
  <c r="BN93" i="1"/>
  <c r="BN94" i="1"/>
  <c r="BN95" i="1"/>
  <c r="BN96" i="1"/>
  <c r="BN97" i="1"/>
  <c r="BN98" i="1"/>
  <c r="BN99" i="1"/>
  <c r="BN100" i="1"/>
  <c r="BN101" i="1"/>
  <c r="BN102"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97" i="1"/>
  <c r="BM98" i="1"/>
  <c r="BM99" i="1"/>
  <c r="BM100" i="1"/>
  <c r="BM101" i="1"/>
  <c r="BM102"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G65" i="1"/>
  <c r="BG66" i="1"/>
  <c r="BG67" i="1"/>
  <c r="BG68" i="1"/>
  <c r="BG69" i="1"/>
  <c r="BG70" i="1"/>
  <c r="BG71" i="1"/>
  <c r="BG72" i="1"/>
  <c r="BG73" i="1"/>
  <c r="BG74" i="1"/>
  <c r="BG75" i="1"/>
  <c r="BG76" i="1"/>
  <c r="BG77" i="1"/>
  <c r="BG78" i="1"/>
  <c r="BG79" i="1"/>
  <c r="BG80" i="1"/>
  <c r="BG81" i="1"/>
  <c r="BG82" i="1"/>
  <c r="BG83" i="1"/>
  <c r="BG84" i="1"/>
  <c r="BG85" i="1"/>
  <c r="BG86" i="1"/>
  <c r="BG87" i="1"/>
  <c r="BG88" i="1"/>
  <c r="BG89" i="1"/>
  <c r="BG90" i="1"/>
  <c r="BG91" i="1"/>
  <c r="BG92" i="1"/>
  <c r="BG93" i="1"/>
  <c r="BG94" i="1"/>
  <c r="BG95" i="1"/>
  <c r="BG96" i="1"/>
  <c r="BG97" i="1"/>
  <c r="BG98" i="1"/>
  <c r="BG99" i="1"/>
  <c r="BG100" i="1"/>
  <c r="BG101" i="1"/>
  <c r="BG102" i="1"/>
  <c r="BF65" i="1"/>
  <c r="BF66" i="1"/>
  <c r="BF67" i="1"/>
  <c r="BF68" i="1"/>
  <c r="BF69" i="1"/>
  <c r="BF70" i="1"/>
  <c r="BF71" i="1"/>
  <c r="BF72" i="1"/>
  <c r="BF73" i="1"/>
  <c r="BF74" i="1"/>
  <c r="BF75" i="1"/>
  <c r="BF76" i="1"/>
  <c r="BF77" i="1"/>
  <c r="BF78" i="1"/>
  <c r="BF79" i="1"/>
  <c r="BF80" i="1"/>
  <c r="BF81" i="1"/>
  <c r="BF82" i="1"/>
  <c r="BF83" i="1"/>
  <c r="BF84" i="1"/>
  <c r="BF85" i="1"/>
  <c r="BF86" i="1"/>
  <c r="BF87" i="1"/>
  <c r="BF88" i="1"/>
  <c r="BF89" i="1"/>
  <c r="BF90" i="1"/>
  <c r="BF91" i="1"/>
  <c r="BF92" i="1"/>
  <c r="BF93" i="1"/>
  <c r="BF94" i="1"/>
  <c r="BF95" i="1"/>
  <c r="BF96" i="1"/>
  <c r="BF97" i="1"/>
  <c r="BF98" i="1"/>
  <c r="BF99" i="1"/>
  <c r="BF100" i="1"/>
  <c r="BF101" i="1"/>
  <c r="BF102" i="1"/>
  <c r="BE65" i="1"/>
  <c r="BE66" i="1"/>
  <c r="BE67" i="1"/>
  <c r="BE68" i="1"/>
  <c r="BE69" i="1"/>
  <c r="BE70" i="1"/>
  <c r="BE71" i="1"/>
  <c r="BE72" i="1"/>
  <c r="BE73" i="1"/>
  <c r="BE74" i="1"/>
  <c r="BE75" i="1"/>
  <c r="BE76" i="1"/>
  <c r="BE77" i="1"/>
  <c r="BE78" i="1"/>
  <c r="BE79" i="1"/>
  <c r="BE80" i="1"/>
  <c r="BE81" i="1"/>
  <c r="BE82" i="1"/>
  <c r="BE83" i="1"/>
  <c r="BE84" i="1"/>
  <c r="BE85" i="1"/>
  <c r="BE86" i="1"/>
  <c r="BE87" i="1"/>
  <c r="BE88" i="1"/>
  <c r="BE89" i="1"/>
  <c r="BE90" i="1"/>
  <c r="BE91" i="1"/>
  <c r="BE92" i="1"/>
  <c r="BE93" i="1"/>
  <c r="BE94" i="1"/>
  <c r="BE95" i="1"/>
  <c r="BE96" i="1"/>
  <c r="BE97" i="1"/>
  <c r="BE98" i="1"/>
  <c r="BE99" i="1"/>
  <c r="BE100" i="1"/>
  <c r="BE101" i="1"/>
  <c r="BE102" i="1"/>
  <c r="AZ65" i="1"/>
  <c r="AZ66" i="1"/>
  <c r="AZ67" i="1"/>
  <c r="AZ68" i="1"/>
  <c r="AZ69" i="1"/>
  <c r="AZ70" i="1"/>
  <c r="AZ71" i="1"/>
  <c r="AZ72" i="1"/>
  <c r="AZ73" i="1"/>
  <c r="AZ74" i="1"/>
  <c r="AZ75" i="1"/>
  <c r="AZ76" i="1"/>
  <c r="AZ77" i="1"/>
  <c r="AZ78" i="1"/>
  <c r="AZ79" i="1"/>
  <c r="AZ80" i="1"/>
  <c r="AZ81" i="1"/>
  <c r="AZ82" i="1"/>
  <c r="AZ83" i="1"/>
  <c r="AZ84" i="1"/>
  <c r="AZ85" i="1"/>
  <c r="AZ86" i="1"/>
  <c r="AZ87" i="1"/>
  <c r="AZ88" i="1"/>
  <c r="AZ89" i="1"/>
  <c r="AZ90" i="1"/>
  <c r="AZ91" i="1"/>
  <c r="AZ92" i="1"/>
  <c r="AZ93" i="1"/>
  <c r="AZ94" i="1"/>
  <c r="AZ95" i="1"/>
  <c r="AZ96" i="1"/>
  <c r="AZ97" i="1"/>
  <c r="AZ98" i="1"/>
  <c r="AZ99" i="1"/>
  <c r="AZ100" i="1"/>
  <c r="AZ101" i="1"/>
  <c r="AZ102" i="1"/>
  <c r="AY65" i="1"/>
  <c r="AY66" i="1"/>
  <c r="AY67" i="1"/>
  <c r="AY68" i="1"/>
  <c r="AY69" i="1"/>
  <c r="AY70" i="1"/>
  <c r="AY71" i="1"/>
  <c r="AY72" i="1"/>
  <c r="AY73" i="1"/>
  <c r="AY74" i="1"/>
  <c r="AY75" i="1"/>
  <c r="AY76" i="1"/>
  <c r="AY77" i="1"/>
  <c r="AY78" i="1"/>
  <c r="AY79" i="1"/>
  <c r="AY80" i="1"/>
  <c r="AY81" i="1"/>
  <c r="AY82" i="1"/>
  <c r="AY83" i="1"/>
  <c r="AY84" i="1"/>
  <c r="AY85" i="1"/>
  <c r="AY86" i="1"/>
  <c r="AY87" i="1"/>
  <c r="AY88" i="1"/>
  <c r="AY89" i="1"/>
  <c r="AY90" i="1"/>
  <c r="AY91" i="1"/>
  <c r="AY92" i="1"/>
  <c r="AY93" i="1"/>
  <c r="AY94" i="1"/>
  <c r="AY95" i="1"/>
  <c r="AY96" i="1"/>
  <c r="AY97" i="1"/>
  <c r="AY98" i="1"/>
  <c r="AY99" i="1"/>
  <c r="AY100" i="1"/>
  <c r="AY101" i="1"/>
  <c r="AY102"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99" i="1"/>
  <c r="AX100" i="1"/>
  <c r="AX101" i="1"/>
  <c r="AX102" i="1"/>
  <c r="AQ65" i="1"/>
  <c r="AQ66" i="1"/>
  <c r="AQ67" i="1"/>
  <c r="AQ68" i="1"/>
  <c r="AQ69" i="1"/>
  <c r="AQ70" i="1"/>
  <c r="AQ71" i="1"/>
  <c r="AQ72" i="1"/>
  <c r="AQ73" i="1"/>
  <c r="AQ74" i="1"/>
  <c r="AQ75" i="1"/>
  <c r="AQ76" i="1"/>
  <c r="AQ77" i="1"/>
  <c r="AQ78" i="1"/>
  <c r="AQ79" i="1"/>
  <c r="AQ80" i="1"/>
  <c r="AQ81" i="1"/>
  <c r="AQ82" i="1"/>
  <c r="AQ83" i="1"/>
  <c r="AQ84" i="1"/>
  <c r="AQ85" i="1"/>
  <c r="AQ86" i="1"/>
  <c r="AQ87" i="1"/>
  <c r="AQ88" i="1"/>
  <c r="AQ89" i="1"/>
  <c r="AQ90" i="1"/>
  <c r="AQ91" i="1"/>
  <c r="AQ92" i="1"/>
  <c r="AQ93" i="1"/>
  <c r="AQ94" i="1"/>
  <c r="AQ95" i="1"/>
  <c r="AQ96" i="1"/>
  <c r="AQ97" i="1"/>
  <c r="AQ98" i="1"/>
  <c r="AQ99" i="1"/>
  <c r="AQ100" i="1"/>
  <c r="AQ101" i="1"/>
  <c r="AQ102" i="1"/>
  <c r="AP65" i="1"/>
  <c r="AP66" i="1"/>
  <c r="AP67" i="1"/>
  <c r="AP68" i="1"/>
  <c r="AP69" i="1"/>
  <c r="AP70" i="1"/>
  <c r="AP71" i="1"/>
  <c r="AP72" i="1"/>
  <c r="AP73" i="1"/>
  <c r="AP74" i="1"/>
  <c r="AP75" i="1"/>
  <c r="AP76" i="1"/>
  <c r="AP77" i="1"/>
  <c r="AP78" i="1"/>
  <c r="AP79" i="1"/>
  <c r="AP80" i="1"/>
  <c r="AP81" i="1"/>
  <c r="AP82" i="1"/>
  <c r="AP83" i="1"/>
  <c r="AP84" i="1"/>
  <c r="AP85" i="1"/>
  <c r="AP86" i="1"/>
  <c r="AP87" i="1"/>
  <c r="AP88" i="1"/>
  <c r="AP89" i="1"/>
  <c r="AP90" i="1"/>
  <c r="AP91" i="1"/>
  <c r="AP92" i="1"/>
  <c r="AP93" i="1"/>
  <c r="AP94" i="1"/>
  <c r="AP95" i="1"/>
  <c r="AP96" i="1"/>
  <c r="AP97" i="1"/>
  <c r="AP98" i="1"/>
  <c r="AP99" i="1"/>
  <c r="AP100" i="1"/>
  <c r="AP101" i="1"/>
  <c r="AP102"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W53"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U53"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I102" i="1"/>
  <c r="H102" i="1"/>
  <c r="G102" i="1"/>
  <c r="I101" i="1"/>
  <c r="H101" i="1"/>
  <c r="G101" i="1"/>
  <c r="I100" i="1"/>
  <c r="H100" i="1"/>
  <c r="G100" i="1"/>
  <c r="I99" i="1"/>
  <c r="H99" i="1"/>
  <c r="G99" i="1"/>
  <c r="I98" i="1"/>
  <c r="H98" i="1"/>
  <c r="G98" i="1"/>
  <c r="I97" i="1"/>
  <c r="H97" i="1"/>
  <c r="G97" i="1"/>
  <c r="I96" i="1"/>
  <c r="H96" i="1"/>
  <c r="G96" i="1"/>
  <c r="I95" i="1"/>
  <c r="H95" i="1"/>
  <c r="G95" i="1"/>
  <c r="I94" i="1"/>
  <c r="H94" i="1"/>
  <c r="G94" i="1"/>
  <c r="I93" i="1"/>
  <c r="H93" i="1"/>
  <c r="G93" i="1"/>
  <c r="I92" i="1"/>
  <c r="H92" i="1"/>
  <c r="G92" i="1"/>
  <c r="I91" i="1"/>
  <c r="H91" i="1"/>
  <c r="G91" i="1"/>
  <c r="I90" i="1"/>
  <c r="H90" i="1"/>
  <c r="G90" i="1"/>
  <c r="I89" i="1"/>
  <c r="H89" i="1"/>
  <c r="G89" i="1"/>
  <c r="I88" i="1"/>
  <c r="H88" i="1"/>
  <c r="G88" i="1"/>
  <c r="I87" i="1"/>
  <c r="H87" i="1"/>
  <c r="G87" i="1"/>
  <c r="I86" i="1"/>
  <c r="H86" i="1"/>
  <c r="G86" i="1"/>
  <c r="I85" i="1"/>
  <c r="H85" i="1"/>
  <c r="G85" i="1"/>
  <c r="I84" i="1"/>
  <c r="H84" i="1"/>
  <c r="G84" i="1"/>
  <c r="I83" i="1"/>
  <c r="H83" i="1"/>
  <c r="G83" i="1"/>
  <c r="I82" i="1"/>
  <c r="H82" i="1"/>
  <c r="G82" i="1"/>
  <c r="I81" i="1"/>
  <c r="H81" i="1"/>
  <c r="G81" i="1"/>
  <c r="I80" i="1"/>
  <c r="H80" i="1"/>
  <c r="G80" i="1"/>
  <c r="I79" i="1"/>
  <c r="H79" i="1"/>
  <c r="G79" i="1"/>
  <c r="I78" i="1"/>
  <c r="H78" i="1"/>
  <c r="G78" i="1"/>
  <c r="I77" i="1"/>
  <c r="H77" i="1"/>
  <c r="G77" i="1"/>
  <c r="I76" i="1"/>
  <c r="H76" i="1"/>
  <c r="G76" i="1"/>
  <c r="I75" i="1"/>
  <c r="H75" i="1"/>
  <c r="G75" i="1"/>
  <c r="I74" i="1"/>
  <c r="H74" i="1"/>
  <c r="G74" i="1"/>
  <c r="I73" i="1"/>
  <c r="H73" i="1"/>
  <c r="G73" i="1"/>
  <c r="I72" i="1"/>
  <c r="H72" i="1"/>
  <c r="G72" i="1"/>
  <c r="I71" i="1"/>
  <c r="H71" i="1"/>
  <c r="G71" i="1"/>
  <c r="I70" i="1"/>
  <c r="H70" i="1"/>
  <c r="G70" i="1"/>
  <c r="I69" i="1"/>
  <c r="H69" i="1"/>
  <c r="G69" i="1"/>
  <c r="I68" i="1"/>
  <c r="H68" i="1"/>
  <c r="G68" i="1"/>
  <c r="I67" i="1"/>
  <c r="H67" i="1"/>
  <c r="G67" i="1"/>
  <c r="I66" i="1"/>
  <c r="H66" i="1"/>
  <c r="G66" i="1"/>
  <c r="I65" i="1"/>
  <c r="H65" i="1"/>
  <c r="G65" i="1"/>
  <c r="J66" i="1" l="1"/>
  <c r="K66" i="1" s="1"/>
  <c r="J69" i="1"/>
  <c r="K69" i="1" s="1"/>
  <c r="J70" i="1"/>
  <c r="K70" i="1" s="1"/>
  <c r="J73" i="1"/>
  <c r="K73" i="1" s="1"/>
  <c r="J74" i="1"/>
  <c r="K74" i="1" s="1"/>
  <c r="J77" i="1"/>
  <c r="K77" i="1" s="1"/>
  <c r="J78" i="1"/>
  <c r="K78" i="1" s="1"/>
  <c r="J81" i="1"/>
  <c r="K81" i="1" s="1"/>
  <c r="J82" i="1"/>
  <c r="K82" i="1" s="1"/>
  <c r="J85" i="1"/>
  <c r="K85" i="1" s="1"/>
  <c r="J86" i="1"/>
  <c r="K86" i="1" s="1"/>
  <c r="J89" i="1"/>
  <c r="K89" i="1" s="1"/>
  <c r="J90" i="1"/>
  <c r="K90" i="1" s="1"/>
  <c r="J93" i="1"/>
  <c r="K93" i="1" s="1"/>
  <c r="J94" i="1"/>
  <c r="K94" i="1" s="1"/>
  <c r="J97" i="1"/>
  <c r="K97" i="1" s="1"/>
  <c r="J98" i="1"/>
  <c r="K98" i="1" s="1"/>
  <c r="BQ66" i="1"/>
  <c r="BQ67" i="1"/>
  <c r="BQ68" i="1"/>
  <c r="BQ69" i="1"/>
  <c r="BQ70" i="1"/>
  <c r="BQ71" i="1"/>
  <c r="BQ72" i="1"/>
  <c r="BQ73" i="1"/>
  <c r="BQ74" i="1"/>
  <c r="BQ75" i="1"/>
  <c r="BQ76" i="1"/>
  <c r="BQ77" i="1"/>
  <c r="BQ78" i="1"/>
  <c r="BQ79" i="1"/>
  <c r="BQ80" i="1"/>
  <c r="BQ81" i="1"/>
  <c r="BQ82" i="1"/>
  <c r="BQ83" i="1"/>
  <c r="BQ84" i="1"/>
  <c r="BQ85" i="1"/>
  <c r="BQ86" i="1"/>
  <c r="BQ87" i="1"/>
  <c r="BQ88" i="1"/>
  <c r="BQ89" i="1"/>
  <c r="BQ90" i="1"/>
  <c r="BQ91" i="1"/>
  <c r="BQ92" i="1"/>
  <c r="BQ93" i="1"/>
  <c r="BQ94" i="1"/>
  <c r="BQ95" i="1"/>
  <c r="BQ96" i="1"/>
  <c r="BQ97" i="1"/>
  <c r="BQ98" i="1"/>
  <c r="BQ99" i="1"/>
  <c r="BQ100" i="1"/>
  <c r="BP66" i="1"/>
  <c r="BP67" i="1"/>
  <c r="BP68" i="1"/>
  <c r="BP69" i="1"/>
  <c r="BP70" i="1"/>
  <c r="BP71" i="1"/>
  <c r="BP72" i="1"/>
  <c r="BP73" i="1"/>
  <c r="BP74" i="1"/>
  <c r="BP75" i="1"/>
  <c r="BP76" i="1"/>
  <c r="BP77" i="1"/>
  <c r="BP78" i="1"/>
  <c r="BP79" i="1"/>
  <c r="BP80" i="1"/>
  <c r="BP81" i="1"/>
  <c r="BP82" i="1"/>
  <c r="BP83" i="1"/>
  <c r="BP84" i="1"/>
  <c r="BP85" i="1"/>
  <c r="BP86" i="1"/>
  <c r="BP87" i="1"/>
  <c r="BP88" i="1"/>
  <c r="BP89" i="1"/>
  <c r="BP90" i="1"/>
  <c r="BP91" i="1"/>
  <c r="BP92" i="1"/>
  <c r="BP93" i="1"/>
  <c r="BP94" i="1"/>
  <c r="BP95" i="1"/>
  <c r="BP96" i="1"/>
  <c r="BP97" i="1"/>
  <c r="BP98" i="1"/>
  <c r="BP99" i="1"/>
  <c r="BP100" i="1"/>
  <c r="BO66" i="1"/>
  <c r="BO67" i="1"/>
  <c r="BO68" i="1"/>
  <c r="BO69" i="1"/>
  <c r="BO70" i="1"/>
  <c r="BO71" i="1"/>
  <c r="BO72" i="1"/>
  <c r="BO73" i="1"/>
  <c r="BO74" i="1"/>
  <c r="BO75" i="1"/>
  <c r="BO76" i="1"/>
  <c r="BO77" i="1"/>
  <c r="BO78" i="1"/>
  <c r="BO79" i="1"/>
  <c r="BO80" i="1"/>
  <c r="BO81" i="1"/>
  <c r="BO82" i="1"/>
  <c r="BO83" i="1"/>
  <c r="BO84" i="1"/>
  <c r="BO85" i="1"/>
  <c r="BO86" i="1"/>
  <c r="BO87" i="1"/>
  <c r="BO88" i="1"/>
  <c r="BO89" i="1"/>
  <c r="BO90" i="1"/>
  <c r="BO91" i="1"/>
  <c r="BO92" i="1"/>
  <c r="BO93" i="1"/>
  <c r="BO94" i="1"/>
  <c r="BO95" i="1"/>
  <c r="BO96" i="1"/>
  <c r="BO97" i="1"/>
  <c r="BO98" i="1"/>
  <c r="BO99" i="1"/>
  <c r="BO100" i="1"/>
  <c r="BJ66" i="1"/>
  <c r="BJ67" i="1"/>
  <c r="BJ68" i="1"/>
  <c r="BJ69" i="1"/>
  <c r="BJ70" i="1"/>
  <c r="BJ71" i="1"/>
  <c r="BJ72" i="1"/>
  <c r="BJ73" i="1"/>
  <c r="BJ74" i="1"/>
  <c r="BJ75" i="1"/>
  <c r="BJ76" i="1"/>
  <c r="BJ77" i="1"/>
  <c r="BJ78" i="1"/>
  <c r="BJ79" i="1"/>
  <c r="BJ80" i="1"/>
  <c r="BJ81" i="1"/>
  <c r="BJ82" i="1"/>
  <c r="BJ83" i="1"/>
  <c r="BJ84" i="1"/>
  <c r="BJ85" i="1"/>
  <c r="BJ86" i="1"/>
  <c r="BJ87" i="1"/>
  <c r="BJ88" i="1"/>
  <c r="BJ89" i="1"/>
  <c r="BJ90" i="1"/>
  <c r="BJ91" i="1"/>
  <c r="BJ92" i="1"/>
  <c r="BJ93" i="1"/>
  <c r="BJ94" i="1"/>
  <c r="BJ95" i="1"/>
  <c r="BJ96" i="1"/>
  <c r="BJ97" i="1"/>
  <c r="BJ98" i="1"/>
  <c r="BJ99" i="1"/>
  <c r="BJ100"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H66" i="1"/>
  <c r="BH67" i="1"/>
  <c r="BH68" i="1"/>
  <c r="BH69" i="1"/>
  <c r="BH70" i="1"/>
  <c r="BH71" i="1"/>
  <c r="BH72" i="1"/>
  <c r="BH73" i="1"/>
  <c r="BH74" i="1"/>
  <c r="BH75" i="1"/>
  <c r="BH76" i="1"/>
  <c r="BH77" i="1"/>
  <c r="BH78" i="1"/>
  <c r="BH79" i="1"/>
  <c r="BH80" i="1"/>
  <c r="BH81" i="1"/>
  <c r="BH82" i="1"/>
  <c r="BH83" i="1"/>
  <c r="BH84" i="1"/>
  <c r="BH85" i="1"/>
  <c r="BH86" i="1"/>
  <c r="BH87" i="1"/>
  <c r="BH88" i="1"/>
  <c r="BH89" i="1"/>
  <c r="BH90" i="1"/>
  <c r="BH91" i="1"/>
  <c r="BH92" i="1"/>
  <c r="BH93" i="1"/>
  <c r="BH94" i="1"/>
  <c r="BH95" i="1"/>
  <c r="BH96" i="1"/>
  <c r="BH97" i="1"/>
  <c r="BH98" i="1"/>
  <c r="BH99" i="1"/>
  <c r="BH100" i="1"/>
  <c r="BC66" i="1"/>
  <c r="BC67" i="1"/>
  <c r="BC68" i="1"/>
  <c r="BC69" i="1"/>
  <c r="BC70" i="1"/>
  <c r="BC71" i="1"/>
  <c r="BC72" i="1"/>
  <c r="BC73" i="1"/>
  <c r="BC74" i="1"/>
  <c r="BC75" i="1"/>
  <c r="BC76" i="1"/>
  <c r="BC77" i="1"/>
  <c r="BC78" i="1"/>
  <c r="BC79" i="1"/>
  <c r="BC80" i="1"/>
  <c r="BC81" i="1"/>
  <c r="BC82" i="1"/>
  <c r="BC83" i="1"/>
  <c r="BC84" i="1"/>
  <c r="BC85" i="1"/>
  <c r="BC86" i="1"/>
  <c r="BC87" i="1"/>
  <c r="BC88" i="1"/>
  <c r="BC89" i="1"/>
  <c r="BC90" i="1"/>
  <c r="BC91" i="1"/>
  <c r="BC92" i="1"/>
  <c r="BC93" i="1"/>
  <c r="BC94" i="1"/>
  <c r="BC95" i="1"/>
  <c r="BC96" i="1"/>
  <c r="BC97" i="1"/>
  <c r="BC98" i="1"/>
  <c r="BC99" i="1"/>
  <c r="BC100" i="1"/>
  <c r="BB66" i="1"/>
  <c r="BB67" i="1"/>
  <c r="BB68" i="1"/>
  <c r="BB69" i="1"/>
  <c r="BB70" i="1"/>
  <c r="BB71" i="1"/>
  <c r="BB72" i="1"/>
  <c r="BB73" i="1"/>
  <c r="BB74" i="1"/>
  <c r="BB75" i="1"/>
  <c r="BB76" i="1"/>
  <c r="BB77" i="1"/>
  <c r="BB78" i="1"/>
  <c r="BB79" i="1"/>
  <c r="BB80" i="1"/>
  <c r="BB81" i="1"/>
  <c r="BB82" i="1"/>
  <c r="BB83" i="1"/>
  <c r="BB84" i="1"/>
  <c r="BB85" i="1"/>
  <c r="BB86" i="1"/>
  <c r="BB87" i="1"/>
  <c r="BB88" i="1"/>
  <c r="BB89" i="1"/>
  <c r="BB90" i="1"/>
  <c r="BB91" i="1"/>
  <c r="BB92" i="1"/>
  <c r="BB93" i="1"/>
  <c r="BB94" i="1"/>
  <c r="BB95" i="1"/>
  <c r="BB96" i="1"/>
  <c r="BB97" i="1"/>
  <c r="BB98" i="1"/>
  <c r="BB99" i="1"/>
  <c r="BB100" i="1"/>
  <c r="BA66" i="1"/>
  <c r="BA67" i="1"/>
  <c r="BA68" i="1"/>
  <c r="BA69" i="1"/>
  <c r="BA70" i="1"/>
  <c r="BA71" i="1"/>
  <c r="BA72" i="1"/>
  <c r="BA73" i="1"/>
  <c r="BA74" i="1"/>
  <c r="BA75" i="1"/>
  <c r="BA76" i="1"/>
  <c r="BA77" i="1"/>
  <c r="BA78" i="1"/>
  <c r="BA79" i="1"/>
  <c r="BA80" i="1"/>
  <c r="BA81" i="1"/>
  <c r="BA82" i="1"/>
  <c r="BA83" i="1"/>
  <c r="BA84" i="1"/>
  <c r="BA85" i="1"/>
  <c r="BA86" i="1"/>
  <c r="BA87" i="1"/>
  <c r="BA88" i="1"/>
  <c r="BA89" i="1"/>
  <c r="BA90" i="1"/>
  <c r="BA91" i="1"/>
  <c r="BA92" i="1"/>
  <c r="BA93" i="1"/>
  <c r="BA94" i="1"/>
  <c r="BA95" i="1"/>
  <c r="BA96" i="1"/>
  <c r="BA97" i="1"/>
  <c r="BA98" i="1"/>
  <c r="BA99" i="1"/>
  <c r="BA100" i="1"/>
  <c r="AU66" i="1"/>
  <c r="AU67" i="1"/>
  <c r="AU68" i="1"/>
  <c r="AU69" i="1"/>
  <c r="AU70" i="1"/>
  <c r="AU71" i="1"/>
  <c r="AU72" i="1"/>
  <c r="AU73" i="1"/>
  <c r="AU74" i="1"/>
  <c r="AU75" i="1"/>
  <c r="AU76" i="1"/>
  <c r="AU77" i="1"/>
  <c r="AU78" i="1"/>
  <c r="AU79" i="1"/>
  <c r="AU80" i="1"/>
  <c r="AU81" i="1"/>
  <c r="AU82" i="1"/>
  <c r="AU83" i="1"/>
  <c r="AU84" i="1"/>
  <c r="AU85" i="1"/>
  <c r="AU86" i="1"/>
  <c r="AU87" i="1"/>
  <c r="AU88" i="1"/>
  <c r="AU89" i="1"/>
  <c r="AU90" i="1"/>
  <c r="AU91" i="1"/>
  <c r="AU92" i="1"/>
  <c r="AU93" i="1"/>
  <c r="AU94" i="1"/>
  <c r="AU95" i="1"/>
  <c r="AU96" i="1"/>
  <c r="AU97" i="1"/>
  <c r="AU98" i="1"/>
  <c r="AU99" i="1"/>
  <c r="AU100" i="1"/>
  <c r="AT66" i="1"/>
  <c r="AT67" i="1"/>
  <c r="AT68" i="1"/>
  <c r="AT69"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T96" i="1"/>
  <c r="AT97" i="1"/>
  <c r="AT98" i="1"/>
  <c r="AT99" i="1"/>
  <c r="AT100" i="1"/>
  <c r="AS66" i="1"/>
  <c r="AV66" i="1" s="1"/>
  <c r="AS67" i="1"/>
  <c r="AV67" i="1" s="1"/>
  <c r="AS68" i="1"/>
  <c r="AV68" i="1" s="1"/>
  <c r="AS69" i="1"/>
  <c r="AV69" i="1" s="1"/>
  <c r="AS70" i="1"/>
  <c r="AV70" i="1" s="1"/>
  <c r="AS71" i="1"/>
  <c r="AV71" i="1" s="1"/>
  <c r="AS72" i="1"/>
  <c r="AV72" i="1" s="1"/>
  <c r="AS73" i="1"/>
  <c r="AV73" i="1" s="1"/>
  <c r="AS74" i="1"/>
  <c r="AV74" i="1" s="1"/>
  <c r="AS75" i="1"/>
  <c r="AV75" i="1" s="1"/>
  <c r="AS76" i="1"/>
  <c r="AV76" i="1" s="1"/>
  <c r="AS77" i="1"/>
  <c r="AV77" i="1" s="1"/>
  <c r="AS78" i="1"/>
  <c r="AV78" i="1" s="1"/>
  <c r="AS79" i="1"/>
  <c r="AV79" i="1" s="1"/>
  <c r="AS80" i="1"/>
  <c r="AV80" i="1" s="1"/>
  <c r="AS81" i="1"/>
  <c r="AV81" i="1" s="1"/>
  <c r="AS82" i="1"/>
  <c r="AV82" i="1" s="1"/>
  <c r="AS83" i="1"/>
  <c r="AV83" i="1" s="1"/>
  <c r="AS84" i="1"/>
  <c r="AV84" i="1" s="1"/>
  <c r="AS85" i="1"/>
  <c r="AV85" i="1" s="1"/>
  <c r="AS86" i="1"/>
  <c r="AV86" i="1" s="1"/>
  <c r="AS87" i="1"/>
  <c r="AV87" i="1" s="1"/>
  <c r="AS88" i="1"/>
  <c r="AV88" i="1" s="1"/>
  <c r="AS89" i="1"/>
  <c r="AV89" i="1" s="1"/>
  <c r="AS90" i="1"/>
  <c r="AV90" i="1" s="1"/>
  <c r="AS91" i="1"/>
  <c r="AV91" i="1" s="1"/>
  <c r="AS92" i="1"/>
  <c r="AV92" i="1" s="1"/>
  <c r="AS93" i="1"/>
  <c r="AV93" i="1" s="1"/>
  <c r="AS94" i="1"/>
  <c r="AV94" i="1" s="1"/>
  <c r="AS95" i="1"/>
  <c r="AV95" i="1" s="1"/>
  <c r="AS96" i="1"/>
  <c r="AV96" i="1" s="1"/>
  <c r="AS97" i="1"/>
  <c r="AV97" i="1" s="1"/>
  <c r="AS98" i="1"/>
  <c r="AV98" i="1" s="1"/>
  <c r="AS99" i="1"/>
  <c r="AV99" i="1" s="1"/>
  <c r="AS100" i="1"/>
  <c r="AV100" i="1" s="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98" i="1"/>
  <c r="AR99" i="1"/>
  <c r="AR100"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I66" i="1"/>
  <c r="AL66" i="1" s="1"/>
  <c r="AI67" i="1"/>
  <c r="AL67" i="1" s="1"/>
  <c r="AI68" i="1"/>
  <c r="AL68" i="1" s="1"/>
  <c r="AI69" i="1"/>
  <c r="AL69" i="1" s="1"/>
  <c r="AI70" i="1"/>
  <c r="AL70" i="1" s="1"/>
  <c r="AI71" i="1"/>
  <c r="AL71" i="1" s="1"/>
  <c r="AI72" i="1"/>
  <c r="AL72" i="1" s="1"/>
  <c r="AI73" i="1"/>
  <c r="AL73" i="1" s="1"/>
  <c r="AI74" i="1"/>
  <c r="AL74" i="1" s="1"/>
  <c r="AI75" i="1"/>
  <c r="AL75" i="1" s="1"/>
  <c r="AI76" i="1"/>
  <c r="AL76" i="1" s="1"/>
  <c r="AI77" i="1"/>
  <c r="AL77" i="1" s="1"/>
  <c r="AI78" i="1"/>
  <c r="AL78" i="1" s="1"/>
  <c r="AI79" i="1"/>
  <c r="AL79" i="1" s="1"/>
  <c r="AI80" i="1"/>
  <c r="AL80" i="1" s="1"/>
  <c r="AI81" i="1"/>
  <c r="AL81" i="1" s="1"/>
  <c r="AI82" i="1"/>
  <c r="AL82" i="1" s="1"/>
  <c r="AI83" i="1"/>
  <c r="AL83" i="1" s="1"/>
  <c r="AI84" i="1"/>
  <c r="AL84" i="1" s="1"/>
  <c r="AI85" i="1"/>
  <c r="AL85" i="1" s="1"/>
  <c r="AI86" i="1"/>
  <c r="AL86" i="1" s="1"/>
  <c r="AI87" i="1"/>
  <c r="AL87" i="1" s="1"/>
  <c r="AI88" i="1"/>
  <c r="AL88" i="1" s="1"/>
  <c r="AI89" i="1"/>
  <c r="AL89" i="1" s="1"/>
  <c r="AI90" i="1"/>
  <c r="AL90" i="1" s="1"/>
  <c r="AI91" i="1"/>
  <c r="AL91" i="1" s="1"/>
  <c r="AI92" i="1"/>
  <c r="AL92" i="1" s="1"/>
  <c r="AI93" i="1"/>
  <c r="AL93" i="1" s="1"/>
  <c r="AI94" i="1"/>
  <c r="AL94" i="1" s="1"/>
  <c r="AI95" i="1"/>
  <c r="AL95" i="1" s="1"/>
  <c r="AI96" i="1"/>
  <c r="AL96" i="1" s="1"/>
  <c r="AI97" i="1"/>
  <c r="AL97" i="1" s="1"/>
  <c r="AI98" i="1"/>
  <c r="AL98" i="1" s="1"/>
  <c r="AI99" i="1"/>
  <c r="AL99" i="1" s="1"/>
  <c r="AI100" i="1"/>
  <c r="AL100" i="1" s="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Y66" i="1"/>
  <c r="AB66" i="1" s="1"/>
  <c r="Y67" i="1"/>
  <c r="AB67" i="1" s="1"/>
  <c r="Y68" i="1"/>
  <c r="AB68" i="1" s="1"/>
  <c r="Y69" i="1"/>
  <c r="AB69" i="1" s="1"/>
  <c r="Y70" i="1"/>
  <c r="AB70" i="1" s="1"/>
  <c r="Y71" i="1"/>
  <c r="AB71" i="1" s="1"/>
  <c r="Y72" i="1"/>
  <c r="AB72" i="1" s="1"/>
  <c r="Y73" i="1"/>
  <c r="AB73" i="1" s="1"/>
  <c r="Y74" i="1"/>
  <c r="AB74" i="1" s="1"/>
  <c r="Y75" i="1"/>
  <c r="AB75" i="1" s="1"/>
  <c r="Y76" i="1"/>
  <c r="AB76" i="1" s="1"/>
  <c r="Y77" i="1"/>
  <c r="AB77" i="1" s="1"/>
  <c r="Y78" i="1"/>
  <c r="AB78" i="1" s="1"/>
  <c r="Y79" i="1"/>
  <c r="AB79" i="1" s="1"/>
  <c r="Y80" i="1"/>
  <c r="AB80" i="1" s="1"/>
  <c r="Y81" i="1"/>
  <c r="AB81" i="1" s="1"/>
  <c r="Y82" i="1"/>
  <c r="AB82" i="1" s="1"/>
  <c r="Y83" i="1"/>
  <c r="AB83" i="1" s="1"/>
  <c r="Y84" i="1"/>
  <c r="AB84" i="1" s="1"/>
  <c r="Y85" i="1"/>
  <c r="AB85" i="1" s="1"/>
  <c r="Y86" i="1"/>
  <c r="AB86" i="1" s="1"/>
  <c r="Y87" i="1"/>
  <c r="AB87" i="1" s="1"/>
  <c r="Y88" i="1"/>
  <c r="AB88" i="1" s="1"/>
  <c r="Y89" i="1"/>
  <c r="AB89" i="1" s="1"/>
  <c r="Y90" i="1"/>
  <c r="AB90" i="1" s="1"/>
  <c r="Y91" i="1"/>
  <c r="AB91" i="1" s="1"/>
  <c r="Y92" i="1"/>
  <c r="AB92" i="1" s="1"/>
  <c r="Y93" i="1"/>
  <c r="AB93" i="1" s="1"/>
  <c r="Y94" i="1"/>
  <c r="AB94" i="1" s="1"/>
  <c r="Y95" i="1"/>
  <c r="AB95" i="1" s="1"/>
  <c r="Y96" i="1"/>
  <c r="AB96" i="1" s="1"/>
  <c r="Y97" i="1"/>
  <c r="AB97" i="1" s="1"/>
  <c r="Y98" i="1"/>
  <c r="AB98" i="1" s="1"/>
  <c r="Y99" i="1"/>
  <c r="AB99" i="1" s="1"/>
  <c r="Y100" i="1"/>
  <c r="AB100" i="1" s="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J67" i="1"/>
  <c r="K67" i="1" s="1"/>
  <c r="J68" i="1"/>
  <c r="J71" i="1"/>
  <c r="K71" i="1" s="1"/>
  <c r="J72" i="1"/>
  <c r="J75" i="1"/>
  <c r="K75" i="1" s="1"/>
  <c r="J76" i="1"/>
  <c r="J79" i="1"/>
  <c r="K79" i="1" s="1"/>
  <c r="J80" i="1"/>
  <c r="J83" i="1"/>
  <c r="K83" i="1" s="1"/>
  <c r="J84" i="1"/>
  <c r="J87" i="1"/>
  <c r="K87" i="1" s="1"/>
  <c r="J88" i="1"/>
  <c r="J91" i="1"/>
  <c r="K91" i="1" s="1"/>
  <c r="J92" i="1"/>
  <c r="J95" i="1"/>
  <c r="K95" i="1" s="1"/>
  <c r="J96" i="1"/>
  <c r="J99" i="1"/>
  <c r="K99" i="1" s="1"/>
  <c r="J100" i="1"/>
  <c r="D97" i="1" l="1"/>
  <c r="D89" i="1"/>
  <c r="D81" i="1"/>
  <c r="D73" i="1"/>
  <c r="D94" i="1"/>
  <c r="D86" i="1"/>
  <c r="D78" i="1"/>
  <c r="D70" i="1"/>
  <c r="D85" i="1"/>
  <c r="D77" i="1"/>
  <c r="D69" i="1"/>
  <c r="D98" i="1"/>
  <c r="D90" i="1"/>
  <c r="D82" i="1"/>
  <c r="D74" i="1"/>
  <c r="D93" i="1"/>
  <c r="K100" i="1"/>
  <c r="D100" i="1" s="1"/>
  <c r="K92" i="1"/>
  <c r="D92" i="1" s="1"/>
  <c r="K84" i="1"/>
  <c r="D84" i="1" s="1"/>
  <c r="K76" i="1"/>
  <c r="D76" i="1" s="1"/>
  <c r="K68" i="1"/>
  <c r="D68" i="1" s="1"/>
  <c r="K96" i="1"/>
  <c r="D96" i="1" s="1"/>
  <c r="K88" i="1"/>
  <c r="D88" i="1" s="1"/>
  <c r="K80" i="1"/>
  <c r="D80" i="1" s="1"/>
  <c r="K72" i="1"/>
  <c r="D72" i="1" s="1"/>
  <c r="D99" i="1"/>
  <c r="D95" i="1"/>
  <c r="D91" i="1"/>
  <c r="D87" i="1"/>
  <c r="D83" i="1"/>
  <c r="D79" i="1"/>
  <c r="D75" i="1"/>
  <c r="D71" i="1"/>
  <c r="D67" i="1"/>
  <c r="D66" i="1"/>
  <c r="C102" i="12"/>
  <c r="C52" i="12"/>
  <c r="C59" i="12"/>
  <c r="C61" i="12"/>
  <c r="C62" i="12"/>
  <c r="C64" i="12"/>
  <c r="C57" i="12"/>
  <c r="C44" i="12"/>
  <c r="C55" i="12"/>
  <c r="C45" i="12"/>
  <c r="C63" i="12"/>
  <c r="C51" i="12"/>
  <c r="C56" i="12"/>
  <c r="C65" i="12"/>
  <c r="C101" i="12"/>
  <c r="W61" i="10" l="1"/>
  <c r="W59" i="10"/>
  <c r="W24" i="10"/>
  <c r="W103" i="10"/>
  <c r="W55" i="10"/>
  <c r="W52" i="10"/>
  <c r="W102" i="10"/>
  <c r="W51" i="10"/>
  <c r="W50" i="10"/>
  <c r="W49" i="10"/>
  <c r="W48" i="10"/>
  <c r="W45" i="10"/>
  <c r="W44" i="10"/>
  <c r="W43" i="10"/>
  <c r="W42" i="10"/>
  <c r="W41" i="10"/>
  <c r="W40" i="10"/>
  <c r="W39" i="10"/>
  <c r="W38" i="10"/>
  <c r="W37" i="10"/>
  <c r="W36" i="10"/>
  <c r="W35" i="10"/>
  <c r="W34" i="10"/>
  <c r="W33" i="10"/>
  <c r="W32" i="10"/>
  <c r="W31" i="10"/>
  <c r="W30" i="10"/>
  <c r="W29" i="10"/>
  <c r="W66" i="10"/>
  <c r="W28" i="10"/>
  <c r="W57" i="10"/>
  <c r="W27" i="10"/>
  <c r="W53" i="10"/>
  <c r="W64" i="10"/>
  <c r="W26" i="10"/>
  <c r="W25" i="10"/>
  <c r="W47" i="10"/>
  <c r="W23" i="10"/>
  <c r="W22" i="10"/>
  <c r="W21" i="10"/>
  <c r="W56" i="10"/>
  <c r="W46" i="10"/>
  <c r="W58" i="10"/>
  <c r="W65" i="10"/>
  <c r="W20" i="10"/>
  <c r="W19" i="10"/>
  <c r="W63" i="10"/>
  <c r="W18" i="10"/>
  <c r="W62" i="10"/>
  <c r="W17" i="10"/>
  <c r="W60" i="10"/>
  <c r="W16" i="10"/>
  <c r="W15" i="10"/>
  <c r="W14" i="10"/>
  <c r="W13" i="10"/>
  <c r="W12" i="10"/>
  <c r="W11" i="10"/>
  <c r="W10" i="10"/>
  <c r="W9" i="10"/>
  <c r="W8" i="10"/>
  <c r="W54" i="10"/>
  <c r="W7" i="10"/>
  <c r="W6" i="10"/>
  <c r="W5" i="10"/>
  <c r="W4" i="10"/>
  <c r="V61" i="10"/>
  <c r="V59" i="10"/>
  <c r="V24" i="10"/>
  <c r="V103" i="10"/>
  <c r="V55" i="10"/>
  <c r="V52" i="10"/>
  <c r="V102" i="10"/>
  <c r="V51" i="10"/>
  <c r="V50" i="10"/>
  <c r="V49" i="10"/>
  <c r="V48" i="10"/>
  <c r="V45" i="10"/>
  <c r="V44" i="10"/>
  <c r="V43" i="10"/>
  <c r="V42" i="10"/>
  <c r="V41" i="10"/>
  <c r="V40" i="10"/>
  <c r="V39" i="10"/>
  <c r="V38" i="10"/>
  <c r="V37" i="10"/>
  <c r="V36" i="10"/>
  <c r="V35" i="10"/>
  <c r="V34" i="10"/>
  <c r="V33" i="10"/>
  <c r="V32" i="10"/>
  <c r="V31" i="10"/>
  <c r="V30" i="10"/>
  <c r="V29" i="10"/>
  <c r="V66" i="10"/>
  <c r="V28" i="10"/>
  <c r="V57" i="10"/>
  <c r="V27" i="10"/>
  <c r="V53" i="10"/>
  <c r="V64" i="10"/>
  <c r="V26" i="10"/>
  <c r="V25" i="10"/>
  <c r="V47" i="10"/>
  <c r="V23" i="10"/>
  <c r="V22" i="10"/>
  <c r="V21" i="10"/>
  <c r="V56" i="10"/>
  <c r="V46" i="10"/>
  <c r="V58" i="10"/>
  <c r="V65" i="10"/>
  <c r="V20" i="10"/>
  <c r="V19" i="10"/>
  <c r="V63" i="10"/>
  <c r="V18" i="10"/>
  <c r="V62" i="10"/>
  <c r="V17" i="10"/>
  <c r="V60" i="10"/>
  <c r="V16" i="10"/>
  <c r="V15" i="10"/>
  <c r="V14" i="10"/>
  <c r="V13" i="10"/>
  <c r="V12" i="10"/>
  <c r="V11" i="10"/>
  <c r="V10" i="10"/>
  <c r="V9" i="10"/>
  <c r="V8" i="10"/>
  <c r="V54" i="10"/>
  <c r="V7" i="10"/>
  <c r="V6" i="10"/>
  <c r="V5" i="10"/>
  <c r="V4" i="10"/>
  <c r="U61" i="10"/>
  <c r="U59" i="10"/>
  <c r="U24" i="10"/>
  <c r="U103" i="10"/>
  <c r="U55" i="10"/>
  <c r="U52" i="10"/>
  <c r="U102" i="10"/>
  <c r="U51" i="10"/>
  <c r="U50" i="10"/>
  <c r="U49" i="10"/>
  <c r="U48" i="10"/>
  <c r="U45" i="10"/>
  <c r="U44" i="10"/>
  <c r="U43" i="10"/>
  <c r="U42" i="10"/>
  <c r="U41" i="10"/>
  <c r="U40" i="10"/>
  <c r="U39" i="10"/>
  <c r="U38" i="10"/>
  <c r="U37" i="10"/>
  <c r="U36" i="10"/>
  <c r="U35" i="10"/>
  <c r="U34" i="10"/>
  <c r="U33" i="10"/>
  <c r="U32" i="10"/>
  <c r="U31" i="10"/>
  <c r="U30" i="10"/>
  <c r="U29" i="10"/>
  <c r="U66" i="10"/>
  <c r="U28" i="10"/>
  <c r="U57" i="10"/>
  <c r="U27" i="10"/>
  <c r="U53" i="10"/>
  <c r="U64" i="10"/>
  <c r="U26" i="10"/>
  <c r="U25" i="10"/>
  <c r="U47" i="10"/>
  <c r="U23" i="10"/>
  <c r="U22" i="10"/>
  <c r="U21" i="10"/>
  <c r="U56" i="10"/>
  <c r="U46" i="10"/>
  <c r="U58" i="10"/>
  <c r="U65" i="10"/>
  <c r="U20" i="10"/>
  <c r="U19" i="10"/>
  <c r="U63" i="10"/>
  <c r="U18" i="10"/>
  <c r="U62" i="10"/>
  <c r="U17" i="10"/>
  <c r="U60" i="10"/>
  <c r="U16" i="10"/>
  <c r="U15" i="10"/>
  <c r="U14" i="10"/>
  <c r="U13" i="10"/>
  <c r="U12" i="10"/>
  <c r="U11" i="10"/>
  <c r="U10" i="10"/>
  <c r="U9" i="10"/>
  <c r="U8" i="10"/>
  <c r="U54" i="10"/>
  <c r="U7" i="10"/>
  <c r="U6" i="10"/>
  <c r="U5" i="10"/>
  <c r="U4" i="10"/>
  <c r="T61" i="10"/>
  <c r="T59" i="10"/>
  <c r="T24" i="10"/>
  <c r="T103" i="10"/>
  <c r="T55" i="10"/>
  <c r="T52" i="10"/>
  <c r="T102" i="10"/>
  <c r="T51" i="10"/>
  <c r="T50" i="10"/>
  <c r="T49" i="10"/>
  <c r="T48" i="10"/>
  <c r="T45" i="10"/>
  <c r="T44" i="10"/>
  <c r="T43" i="10"/>
  <c r="T42" i="10"/>
  <c r="T41" i="10"/>
  <c r="T40" i="10"/>
  <c r="T39" i="10"/>
  <c r="T38" i="10"/>
  <c r="T37" i="10"/>
  <c r="T36" i="10"/>
  <c r="T35" i="10"/>
  <c r="T34" i="10"/>
  <c r="T33" i="10"/>
  <c r="T32" i="10"/>
  <c r="T31" i="10"/>
  <c r="T30" i="10"/>
  <c r="T29" i="10"/>
  <c r="T66" i="10"/>
  <c r="T28" i="10"/>
  <c r="T57" i="10"/>
  <c r="T27" i="10"/>
  <c r="T53" i="10"/>
  <c r="T64" i="10"/>
  <c r="T26" i="10"/>
  <c r="T25" i="10"/>
  <c r="T47" i="10"/>
  <c r="T23" i="10"/>
  <c r="T22" i="10"/>
  <c r="T21" i="10"/>
  <c r="T56" i="10"/>
  <c r="T46" i="10"/>
  <c r="T58" i="10"/>
  <c r="T65" i="10"/>
  <c r="T20" i="10"/>
  <c r="T19" i="10"/>
  <c r="T63" i="10"/>
  <c r="T18" i="10"/>
  <c r="T62" i="10"/>
  <c r="T17" i="10"/>
  <c r="T60" i="10"/>
  <c r="T16" i="10"/>
  <c r="T15" i="10"/>
  <c r="T14" i="10"/>
  <c r="T13" i="10"/>
  <c r="T12" i="10"/>
  <c r="T11" i="10"/>
  <c r="T10" i="10"/>
  <c r="T9" i="10"/>
  <c r="T8" i="10"/>
  <c r="T54" i="10"/>
  <c r="T7" i="10"/>
  <c r="T6" i="10"/>
  <c r="T5" i="10"/>
  <c r="T4" i="10"/>
  <c r="S61" i="10"/>
  <c r="S59" i="10"/>
  <c r="S24" i="10"/>
  <c r="S103" i="10"/>
  <c r="S55" i="10"/>
  <c r="S52" i="10"/>
  <c r="S102" i="10"/>
  <c r="S51" i="10"/>
  <c r="S50" i="10"/>
  <c r="S49" i="10"/>
  <c r="S48" i="10"/>
  <c r="S45" i="10"/>
  <c r="S44" i="10"/>
  <c r="S43" i="10"/>
  <c r="S42" i="10"/>
  <c r="S41" i="10"/>
  <c r="S40" i="10"/>
  <c r="S39" i="10"/>
  <c r="S38" i="10"/>
  <c r="S37" i="10"/>
  <c r="S36" i="10"/>
  <c r="S35" i="10"/>
  <c r="S34" i="10"/>
  <c r="S33" i="10"/>
  <c r="S32" i="10"/>
  <c r="S31" i="10"/>
  <c r="S30" i="10"/>
  <c r="S29" i="10"/>
  <c r="S66" i="10"/>
  <c r="S28" i="10"/>
  <c r="S57" i="10"/>
  <c r="S27" i="10"/>
  <c r="S53" i="10"/>
  <c r="S64" i="10"/>
  <c r="S26" i="10"/>
  <c r="S25" i="10"/>
  <c r="S47" i="10"/>
  <c r="S23" i="10"/>
  <c r="S22" i="10"/>
  <c r="S21" i="10"/>
  <c r="S56" i="10"/>
  <c r="S46" i="10"/>
  <c r="S58" i="10"/>
  <c r="S65" i="10"/>
  <c r="S20" i="10"/>
  <c r="S19" i="10"/>
  <c r="S63" i="10"/>
  <c r="S18" i="10"/>
  <c r="S62" i="10"/>
  <c r="S17" i="10"/>
  <c r="S60" i="10"/>
  <c r="S16" i="10"/>
  <c r="S15" i="10"/>
  <c r="S14" i="10"/>
  <c r="S13" i="10"/>
  <c r="S12" i="10"/>
  <c r="S11" i="10"/>
  <c r="S10" i="10"/>
  <c r="S9" i="10"/>
  <c r="S8" i="10"/>
  <c r="S54" i="10"/>
  <c r="S7" i="10"/>
  <c r="S6" i="10"/>
  <c r="S5" i="10"/>
  <c r="S4" i="10"/>
  <c r="R61" i="10"/>
  <c r="R59" i="10"/>
  <c r="R24" i="10"/>
  <c r="R103" i="10"/>
  <c r="R55" i="10"/>
  <c r="R52" i="10"/>
  <c r="R102" i="10"/>
  <c r="R51" i="10"/>
  <c r="R50" i="10"/>
  <c r="R49" i="10"/>
  <c r="R48" i="10"/>
  <c r="R45" i="10"/>
  <c r="R44" i="10"/>
  <c r="R43" i="10"/>
  <c r="R42" i="10"/>
  <c r="R41" i="10"/>
  <c r="R40" i="10"/>
  <c r="R39" i="10"/>
  <c r="R38" i="10"/>
  <c r="R37" i="10"/>
  <c r="R36" i="10"/>
  <c r="R35" i="10"/>
  <c r="R34" i="10"/>
  <c r="R33" i="10"/>
  <c r="R32" i="10"/>
  <c r="R31" i="10"/>
  <c r="R30" i="10"/>
  <c r="R29" i="10"/>
  <c r="R66" i="10"/>
  <c r="R28" i="10"/>
  <c r="R57" i="10"/>
  <c r="R27" i="10"/>
  <c r="R53" i="10"/>
  <c r="R64" i="10"/>
  <c r="R26" i="10"/>
  <c r="R25" i="10"/>
  <c r="R47" i="10"/>
  <c r="R23" i="10"/>
  <c r="R22" i="10"/>
  <c r="R21" i="10"/>
  <c r="R56" i="10"/>
  <c r="R46" i="10"/>
  <c r="R58" i="10"/>
  <c r="R65" i="10"/>
  <c r="R20" i="10"/>
  <c r="R19" i="10"/>
  <c r="R63" i="10"/>
  <c r="R18" i="10"/>
  <c r="R62" i="10"/>
  <c r="R17" i="10"/>
  <c r="R60" i="10"/>
  <c r="R16" i="10"/>
  <c r="R15" i="10"/>
  <c r="R14" i="10"/>
  <c r="R13" i="10"/>
  <c r="R12" i="10"/>
  <c r="R11" i="10"/>
  <c r="R10" i="10"/>
  <c r="R9" i="10"/>
  <c r="R8" i="10"/>
  <c r="R54" i="10"/>
  <c r="R7" i="10"/>
  <c r="R6" i="10"/>
  <c r="R5" i="10"/>
  <c r="R4" i="10"/>
  <c r="Q61" i="10"/>
  <c r="Q59" i="10"/>
  <c r="Q24" i="10"/>
  <c r="Q103" i="10"/>
  <c r="Q55" i="10"/>
  <c r="Q52" i="10"/>
  <c r="Q102" i="10"/>
  <c r="Q51" i="10"/>
  <c r="Q50" i="10"/>
  <c r="Q49" i="10"/>
  <c r="Q48" i="10"/>
  <c r="Q45" i="10"/>
  <c r="Q44" i="10"/>
  <c r="Q43" i="10"/>
  <c r="Q42" i="10"/>
  <c r="Q41" i="10"/>
  <c r="Q40" i="10"/>
  <c r="Q39" i="10"/>
  <c r="Q38" i="10"/>
  <c r="Q37" i="10"/>
  <c r="Q36" i="10"/>
  <c r="Q35" i="10"/>
  <c r="Q34" i="10"/>
  <c r="Q33" i="10"/>
  <c r="Q32" i="10"/>
  <c r="Q31" i="10"/>
  <c r="Q30" i="10"/>
  <c r="Q29" i="10"/>
  <c r="Q66" i="10"/>
  <c r="Q28" i="10"/>
  <c r="Q57" i="10"/>
  <c r="Q27" i="10"/>
  <c r="Q53" i="10"/>
  <c r="Q64" i="10"/>
  <c r="Q26" i="10"/>
  <c r="Q25" i="10"/>
  <c r="Q47" i="10"/>
  <c r="Q23" i="10"/>
  <c r="Q22" i="10"/>
  <c r="Q21" i="10"/>
  <c r="Q56" i="10"/>
  <c r="Q46" i="10"/>
  <c r="Q58" i="10"/>
  <c r="Q65" i="10"/>
  <c r="Q20" i="10"/>
  <c r="Q19" i="10"/>
  <c r="Q63" i="10"/>
  <c r="Q18" i="10"/>
  <c r="Q62" i="10"/>
  <c r="Q17" i="10"/>
  <c r="Q60" i="10"/>
  <c r="Q16" i="10"/>
  <c r="Q15" i="10"/>
  <c r="Q14" i="10"/>
  <c r="Q13" i="10"/>
  <c r="Q12" i="10"/>
  <c r="Q11" i="10"/>
  <c r="Q10" i="10"/>
  <c r="Q9" i="10"/>
  <c r="Q8" i="10"/>
  <c r="Q54" i="10"/>
  <c r="Q7" i="10"/>
  <c r="Q6" i="10"/>
  <c r="Q5" i="10"/>
  <c r="Q4" i="10"/>
  <c r="P61" i="10"/>
  <c r="P59" i="10"/>
  <c r="P24" i="10"/>
  <c r="P103" i="10"/>
  <c r="P55" i="10"/>
  <c r="P52" i="10"/>
  <c r="P102" i="10"/>
  <c r="P51" i="10"/>
  <c r="P50" i="10"/>
  <c r="P49" i="10"/>
  <c r="P48" i="10"/>
  <c r="P45" i="10"/>
  <c r="P44" i="10"/>
  <c r="P43" i="10"/>
  <c r="P42" i="10"/>
  <c r="P41" i="10"/>
  <c r="P40" i="10"/>
  <c r="P39" i="10"/>
  <c r="P38" i="10"/>
  <c r="P37" i="10"/>
  <c r="P36" i="10"/>
  <c r="P35" i="10"/>
  <c r="P34" i="10"/>
  <c r="P33" i="10"/>
  <c r="P32" i="10"/>
  <c r="P31" i="10"/>
  <c r="P30" i="10"/>
  <c r="P29" i="10"/>
  <c r="P66" i="10"/>
  <c r="P28" i="10"/>
  <c r="P57" i="10"/>
  <c r="P27" i="10"/>
  <c r="P53" i="10"/>
  <c r="P64" i="10"/>
  <c r="P26" i="10"/>
  <c r="P25" i="10"/>
  <c r="P47" i="10"/>
  <c r="P23" i="10"/>
  <c r="P22" i="10"/>
  <c r="P21" i="10"/>
  <c r="P56" i="10"/>
  <c r="P46" i="10"/>
  <c r="P58" i="10"/>
  <c r="P65" i="10"/>
  <c r="P20" i="10"/>
  <c r="P19" i="10"/>
  <c r="P63" i="10"/>
  <c r="P18" i="10"/>
  <c r="P62" i="10"/>
  <c r="P17" i="10"/>
  <c r="P60" i="10"/>
  <c r="P16" i="10"/>
  <c r="P15" i="10"/>
  <c r="P14" i="10"/>
  <c r="P13" i="10"/>
  <c r="P12" i="10"/>
  <c r="P11" i="10"/>
  <c r="P10" i="10"/>
  <c r="P9" i="10"/>
  <c r="P8" i="10"/>
  <c r="P54" i="10"/>
  <c r="P7" i="10"/>
  <c r="P6" i="10"/>
  <c r="P5" i="10"/>
  <c r="P4" i="10"/>
  <c r="O61" i="10"/>
  <c r="O59" i="10"/>
  <c r="O24" i="10"/>
  <c r="O103" i="10"/>
  <c r="O55" i="10"/>
  <c r="O52" i="10"/>
  <c r="O102" i="10"/>
  <c r="O51" i="10"/>
  <c r="O50" i="10"/>
  <c r="O49" i="10"/>
  <c r="O48" i="10"/>
  <c r="O45" i="10"/>
  <c r="O44" i="10"/>
  <c r="O43" i="10"/>
  <c r="O42" i="10"/>
  <c r="O41" i="10"/>
  <c r="O40" i="10"/>
  <c r="O39" i="10"/>
  <c r="O38" i="10"/>
  <c r="O37" i="10"/>
  <c r="O36" i="10"/>
  <c r="O35" i="10"/>
  <c r="O34" i="10"/>
  <c r="O33" i="10"/>
  <c r="O32" i="10"/>
  <c r="O31" i="10"/>
  <c r="O30" i="10"/>
  <c r="O29" i="10"/>
  <c r="O66" i="10"/>
  <c r="O28" i="10"/>
  <c r="O57" i="10"/>
  <c r="O27" i="10"/>
  <c r="O53" i="10"/>
  <c r="O64" i="10"/>
  <c r="O26" i="10"/>
  <c r="O25" i="10"/>
  <c r="O47" i="10"/>
  <c r="O23" i="10"/>
  <c r="O22" i="10"/>
  <c r="O21" i="10"/>
  <c r="O56" i="10"/>
  <c r="O46" i="10"/>
  <c r="O58" i="10"/>
  <c r="O65" i="10"/>
  <c r="O20" i="10"/>
  <c r="O19" i="10"/>
  <c r="O63" i="10"/>
  <c r="O18" i="10"/>
  <c r="O62" i="10"/>
  <c r="O17" i="10"/>
  <c r="O60" i="10"/>
  <c r="O16" i="10"/>
  <c r="O15" i="10"/>
  <c r="O14" i="10"/>
  <c r="O13" i="10"/>
  <c r="O12" i="10"/>
  <c r="O11" i="10"/>
  <c r="O10" i="10"/>
  <c r="O9" i="10"/>
  <c r="O8" i="10"/>
  <c r="O54" i="10"/>
  <c r="O7" i="10"/>
  <c r="O6" i="10"/>
  <c r="O5" i="10"/>
  <c r="O4" i="10"/>
  <c r="N5" i="10"/>
  <c r="N6" i="10"/>
  <c r="N7" i="10"/>
  <c r="N54" i="10"/>
  <c r="N8" i="10"/>
  <c r="N9" i="10"/>
  <c r="N10" i="10"/>
  <c r="N11" i="10"/>
  <c r="N12" i="10"/>
  <c r="N13" i="10"/>
  <c r="N14" i="10"/>
  <c r="N15" i="10"/>
  <c r="N16" i="10"/>
  <c r="N60" i="10"/>
  <c r="N17" i="10"/>
  <c r="N62" i="10"/>
  <c r="N18" i="10"/>
  <c r="N63" i="10"/>
  <c r="N19" i="10"/>
  <c r="N20" i="10"/>
  <c r="N65" i="10"/>
  <c r="N58" i="10"/>
  <c r="N46" i="10"/>
  <c r="N56" i="10"/>
  <c r="N21" i="10"/>
  <c r="N22" i="10"/>
  <c r="N23" i="10"/>
  <c r="N47" i="10"/>
  <c r="N25" i="10"/>
  <c r="N26" i="10"/>
  <c r="N64" i="10"/>
  <c r="N53" i="10"/>
  <c r="N27" i="10"/>
  <c r="N57" i="10"/>
  <c r="N28" i="10"/>
  <c r="N66" i="10"/>
  <c r="N29" i="10"/>
  <c r="N30" i="10"/>
  <c r="N31" i="10"/>
  <c r="N32" i="10"/>
  <c r="N33" i="10"/>
  <c r="N34" i="10"/>
  <c r="N35" i="10"/>
  <c r="N36" i="10"/>
  <c r="N37" i="10"/>
  <c r="N38" i="10"/>
  <c r="N39" i="10"/>
  <c r="N40" i="10"/>
  <c r="N41" i="10"/>
  <c r="N42" i="10"/>
  <c r="N43" i="10"/>
  <c r="N44" i="10"/>
  <c r="N45" i="10"/>
  <c r="N48" i="10"/>
  <c r="N49" i="10"/>
  <c r="N50" i="10"/>
  <c r="N51" i="10"/>
  <c r="N102" i="10"/>
  <c r="N52" i="10"/>
  <c r="N55" i="10"/>
  <c r="N103" i="10"/>
  <c r="N24" i="10"/>
  <c r="N59" i="10"/>
  <c r="N61" i="10"/>
  <c r="N4" i="10"/>
  <c r="X37" i="10" l="1"/>
  <c r="X33" i="10"/>
  <c r="X29" i="10"/>
  <c r="X27" i="10"/>
  <c r="X25" i="10"/>
  <c r="X59" i="10"/>
  <c r="X39" i="10"/>
  <c r="X31" i="10"/>
  <c r="X46" i="10"/>
  <c r="X19" i="10"/>
  <c r="X17" i="10"/>
  <c r="X14" i="10"/>
  <c r="X10" i="10"/>
  <c r="X7" i="10"/>
  <c r="X5" i="10"/>
  <c r="X8" i="10"/>
  <c r="X12" i="10"/>
  <c r="X16" i="10"/>
  <c r="X18" i="10"/>
  <c r="X65" i="10"/>
  <c r="X51" i="10"/>
  <c r="X52" i="10"/>
  <c r="X43" i="10"/>
  <c r="X35" i="10"/>
  <c r="X48" i="10"/>
  <c r="X42" i="10"/>
  <c r="X38" i="10"/>
  <c r="X34" i="10"/>
  <c r="X30" i="10"/>
  <c r="X61" i="10"/>
  <c r="X55" i="10"/>
  <c r="X50" i="10"/>
  <c r="X44" i="10"/>
  <c r="X40" i="10"/>
  <c r="X36" i="10"/>
  <c r="X32" i="10"/>
  <c r="X20" i="10"/>
  <c r="X15" i="10"/>
  <c r="X11" i="10"/>
  <c r="X4" i="10"/>
  <c r="X23" i="10"/>
  <c r="X6" i="10"/>
  <c r="X9" i="10"/>
  <c r="X13" i="10"/>
  <c r="X22" i="10"/>
  <c r="X26" i="10"/>
  <c r="X24" i="10"/>
  <c r="X45" i="10"/>
  <c r="X103" i="10"/>
  <c r="Y103" i="10" s="1"/>
  <c r="X102" i="10"/>
  <c r="Y102" i="10" s="1"/>
  <c r="X66" i="10"/>
  <c r="Y66" i="10" s="1"/>
  <c r="X57" i="10"/>
  <c r="X53" i="10"/>
  <c r="X64" i="10"/>
  <c r="X47" i="10"/>
  <c r="X56" i="10"/>
  <c r="X58" i="10"/>
  <c r="X63" i="10"/>
  <c r="X62" i="10"/>
  <c r="X60" i="10"/>
  <c r="X54" i="10"/>
  <c r="X28" i="10"/>
  <c r="X49" i="10"/>
  <c r="X21" i="10"/>
  <c r="X41" i="10"/>
  <c r="Y28" i="10" l="1"/>
  <c r="BG27" i="1" s="1"/>
  <c r="BF27" i="1"/>
  <c r="Y6" i="10"/>
  <c r="BG5" i="1" s="1"/>
  <c r="BF5" i="1"/>
  <c r="Y40" i="10"/>
  <c r="BG39" i="1" s="1"/>
  <c r="BF39" i="1"/>
  <c r="Y21" i="10"/>
  <c r="BG20" i="1" s="1"/>
  <c r="BF20" i="1"/>
  <c r="Y60" i="10"/>
  <c r="BG59" i="1" s="1"/>
  <c r="BF59" i="1"/>
  <c r="Y56" i="10"/>
  <c r="BG55" i="1" s="1"/>
  <c r="BF55" i="1"/>
  <c r="Y57" i="10"/>
  <c r="BG56" i="1" s="1"/>
  <c r="BF56" i="1"/>
  <c r="Y45" i="10"/>
  <c r="BG44" i="1" s="1"/>
  <c r="BF44" i="1"/>
  <c r="Y13" i="10"/>
  <c r="BG12" i="1" s="1"/>
  <c r="BF12" i="1"/>
  <c r="Y4" i="10"/>
  <c r="BG3" i="1" s="1"/>
  <c r="BF3" i="1"/>
  <c r="Y32" i="10"/>
  <c r="BG31" i="1" s="1"/>
  <c r="BF31" i="1"/>
  <c r="Y50" i="10"/>
  <c r="BG49" i="1" s="1"/>
  <c r="BF49" i="1"/>
  <c r="Y34" i="10"/>
  <c r="BG33" i="1" s="1"/>
  <c r="BF33" i="1"/>
  <c r="Y35" i="10"/>
  <c r="BG34" i="1" s="1"/>
  <c r="BF34" i="1"/>
  <c r="Y65" i="10"/>
  <c r="BG64" i="1" s="1"/>
  <c r="BF64" i="1"/>
  <c r="Y8" i="10"/>
  <c r="BG7" i="1" s="1"/>
  <c r="BF7" i="1"/>
  <c r="Y14" i="10"/>
  <c r="BG13" i="1" s="1"/>
  <c r="BF13" i="1"/>
  <c r="Y31" i="10"/>
  <c r="BG30" i="1" s="1"/>
  <c r="BF30" i="1"/>
  <c r="Y27" i="10"/>
  <c r="BG26" i="1" s="1"/>
  <c r="BF26" i="1"/>
  <c r="Y49" i="10"/>
  <c r="BG48" i="1" s="1"/>
  <c r="BF48" i="1"/>
  <c r="Y62" i="10"/>
  <c r="BG61" i="1" s="1"/>
  <c r="BF61" i="1"/>
  <c r="Y47" i="10"/>
  <c r="BG46" i="1" s="1"/>
  <c r="BF46" i="1"/>
  <c r="Y24" i="10"/>
  <c r="BG23" i="1" s="1"/>
  <c r="BF23" i="1"/>
  <c r="Y9" i="10"/>
  <c r="BG8" i="1" s="1"/>
  <c r="BF8" i="1"/>
  <c r="Y11" i="10"/>
  <c r="BG10" i="1" s="1"/>
  <c r="BF10" i="1"/>
  <c r="Y36" i="10"/>
  <c r="BG35" i="1" s="1"/>
  <c r="BF35" i="1"/>
  <c r="Y55" i="10"/>
  <c r="BG54" i="1" s="1"/>
  <c r="BF54" i="1"/>
  <c r="Y38" i="10"/>
  <c r="BG37" i="1" s="1"/>
  <c r="BF37" i="1"/>
  <c r="Y43" i="10"/>
  <c r="BG42" i="1" s="1"/>
  <c r="BF42" i="1"/>
  <c r="Y18" i="10"/>
  <c r="BG17" i="1" s="1"/>
  <c r="BF17" i="1"/>
  <c r="Y5" i="10"/>
  <c r="BG4" i="1" s="1"/>
  <c r="BF4" i="1"/>
  <c r="Y17" i="10"/>
  <c r="BG16" i="1" s="1"/>
  <c r="BF16" i="1"/>
  <c r="Y39" i="10"/>
  <c r="BG38" i="1" s="1"/>
  <c r="BF38" i="1"/>
  <c r="Y29" i="10"/>
  <c r="BG28" i="1" s="1"/>
  <c r="BF28" i="1"/>
  <c r="Y63" i="10"/>
  <c r="BG62" i="1" s="1"/>
  <c r="BF62" i="1"/>
  <c r="Y64" i="10"/>
  <c r="BG63" i="1" s="1"/>
  <c r="BF63" i="1"/>
  <c r="Y26" i="10"/>
  <c r="BG25" i="1" s="1"/>
  <c r="BF25" i="1"/>
  <c r="Y15" i="10"/>
  <c r="BG14" i="1" s="1"/>
  <c r="BF14" i="1"/>
  <c r="Y61" i="10"/>
  <c r="BG60" i="1" s="1"/>
  <c r="BF60" i="1"/>
  <c r="Y42" i="10"/>
  <c r="BG41" i="1" s="1"/>
  <c r="BF41" i="1"/>
  <c r="Y52" i="10"/>
  <c r="BG51" i="1" s="1"/>
  <c r="BF51" i="1"/>
  <c r="Y16" i="10"/>
  <c r="BG15" i="1" s="1"/>
  <c r="BF15" i="1"/>
  <c r="Y7" i="10"/>
  <c r="BG6" i="1" s="1"/>
  <c r="BF6" i="1"/>
  <c r="Y19" i="10"/>
  <c r="BG18" i="1" s="1"/>
  <c r="BF18" i="1"/>
  <c r="Y59" i="10"/>
  <c r="BG58" i="1" s="1"/>
  <c r="BF58" i="1"/>
  <c r="Y33" i="10"/>
  <c r="BG32" i="1" s="1"/>
  <c r="BF32" i="1"/>
  <c r="Y41" i="10"/>
  <c r="BG40" i="1" s="1"/>
  <c r="BF40" i="1"/>
  <c r="Y54" i="10"/>
  <c r="BG53" i="1" s="1"/>
  <c r="BF53" i="1"/>
  <c r="Y58" i="10"/>
  <c r="BG57" i="1" s="1"/>
  <c r="BF57" i="1"/>
  <c r="Y53" i="10"/>
  <c r="BG52" i="1" s="1"/>
  <c r="BF52" i="1"/>
  <c r="Y22" i="10"/>
  <c r="BG21" i="1" s="1"/>
  <c r="BF21" i="1"/>
  <c r="Y23" i="10"/>
  <c r="BG22" i="1" s="1"/>
  <c r="BF22" i="1"/>
  <c r="Y20" i="10"/>
  <c r="BG19" i="1" s="1"/>
  <c r="BF19" i="1"/>
  <c r="Y44" i="10"/>
  <c r="BG43" i="1" s="1"/>
  <c r="BF43" i="1"/>
  <c r="Y30" i="10"/>
  <c r="BG29" i="1" s="1"/>
  <c r="BF29" i="1"/>
  <c r="Y48" i="10"/>
  <c r="BG47" i="1" s="1"/>
  <c r="BF47" i="1"/>
  <c r="Y51" i="10"/>
  <c r="BG50" i="1" s="1"/>
  <c r="BF50" i="1"/>
  <c r="Y12" i="10"/>
  <c r="BG11" i="1" s="1"/>
  <c r="BF11" i="1"/>
  <c r="Y10" i="10"/>
  <c r="BG9" i="1" s="1"/>
  <c r="BF9" i="1"/>
  <c r="Y46" i="10"/>
  <c r="BG45" i="1" s="1"/>
  <c r="BF45" i="1"/>
  <c r="Y25" i="10"/>
  <c r="BG24" i="1" s="1"/>
  <c r="BF24" i="1"/>
  <c r="Y37" i="10"/>
  <c r="BG36" i="1" s="1"/>
  <c r="BF36" i="1"/>
  <c r="S59" i="6"/>
  <c r="BM58" i="1" s="1"/>
  <c r="S52" i="6"/>
  <c r="BM51" i="1" s="1"/>
  <c r="S49" i="6"/>
  <c r="BM48" i="1" s="1"/>
  <c r="S43" i="6"/>
  <c r="BM42" i="1" s="1"/>
  <c r="S39" i="6"/>
  <c r="BM38" i="1" s="1"/>
  <c r="S103" i="6"/>
  <c r="S45" i="6"/>
  <c r="BM44" i="1" s="1"/>
  <c r="S41" i="6"/>
  <c r="BM40" i="1" s="1"/>
  <c r="S21" i="6"/>
  <c r="BM20" i="1" s="1"/>
  <c r="S18" i="6"/>
  <c r="BM17" i="1" s="1"/>
  <c r="S5" i="6"/>
  <c r="BM4" i="1" s="1"/>
  <c r="S35" i="6"/>
  <c r="BM34" i="1" s="1"/>
  <c r="S31" i="6"/>
  <c r="BM30" i="1" s="1"/>
  <c r="S28" i="6"/>
  <c r="BM27" i="1" s="1"/>
  <c r="S64" i="6"/>
  <c r="BM63" i="1" s="1"/>
  <c r="S23" i="6"/>
  <c r="BM22" i="1" s="1"/>
  <c r="S46" i="6"/>
  <c r="BM45" i="1" s="1"/>
  <c r="S19" i="6"/>
  <c r="BM18" i="1" s="1"/>
  <c r="S17" i="6"/>
  <c r="BM16" i="1" s="1"/>
  <c r="S14" i="6"/>
  <c r="BM13" i="1" s="1"/>
  <c r="S10" i="6"/>
  <c r="BM9" i="1" s="1"/>
  <c r="S7" i="6"/>
  <c r="BM6" i="1" s="1"/>
  <c r="S51" i="6"/>
  <c r="BM50" i="1" s="1"/>
  <c r="S33" i="6"/>
  <c r="BM32" i="1" s="1"/>
  <c r="S29" i="6"/>
  <c r="BM28" i="1" s="1"/>
  <c r="S25" i="6"/>
  <c r="BM24" i="1" s="1"/>
  <c r="S65" i="6"/>
  <c r="BM64" i="1" s="1"/>
  <c r="S16" i="6"/>
  <c r="BM15" i="1" s="1"/>
  <c r="S8" i="6"/>
  <c r="BM7" i="1" s="1"/>
  <c r="S37" i="6"/>
  <c r="BM36" i="1" s="1"/>
  <c r="S27" i="6"/>
  <c r="BM26" i="1" s="1"/>
  <c r="S12" i="6"/>
  <c r="BM11" i="1" s="1"/>
  <c r="S24" i="6"/>
  <c r="BM23" i="1" s="1"/>
  <c r="S102" i="6"/>
  <c r="S48" i="6"/>
  <c r="BM47" i="1" s="1"/>
  <c r="S42" i="6"/>
  <c r="BM41" i="1" s="1"/>
  <c r="S38" i="6"/>
  <c r="BM37" i="1" s="1"/>
  <c r="S34" i="6"/>
  <c r="BM33" i="1" s="1"/>
  <c r="S30" i="6"/>
  <c r="BM29" i="1" s="1"/>
  <c r="S57" i="6"/>
  <c r="BM56" i="1" s="1"/>
  <c r="S26" i="6"/>
  <c r="BM25" i="1" s="1"/>
  <c r="S22" i="6"/>
  <c r="BM21" i="1" s="1"/>
  <c r="S58" i="6"/>
  <c r="BM57" i="1" s="1"/>
  <c r="S63" i="6"/>
  <c r="BM62" i="1" s="1"/>
  <c r="S60" i="6"/>
  <c r="BM59" i="1" s="1"/>
  <c r="S13" i="6"/>
  <c r="BM12" i="1" s="1"/>
  <c r="S9" i="6"/>
  <c r="BM8" i="1" s="1"/>
  <c r="S6" i="6"/>
  <c r="BM5" i="1" s="1"/>
  <c r="S61" i="6"/>
  <c r="BM60" i="1" s="1"/>
  <c r="S55" i="6"/>
  <c r="BM54" i="1" s="1"/>
  <c r="S50" i="6"/>
  <c r="BM49" i="1" s="1"/>
  <c r="S44" i="6"/>
  <c r="BM43" i="1" s="1"/>
  <c r="S40" i="6"/>
  <c r="BM39" i="1" s="1"/>
  <c r="S36" i="6"/>
  <c r="BM35" i="1" s="1"/>
  <c r="S32" i="6"/>
  <c r="BM31" i="1" s="1"/>
  <c r="S66" i="6"/>
  <c r="S53" i="6"/>
  <c r="BM52" i="1" s="1"/>
  <c r="S47" i="6"/>
  <c r="BM46" i="1" s="1"/>
  <c r="S56" i="6"/>
  <c r="BM55" i="1" s="1"/>
  <c r="S20" i="6"/>
  <c r="BM19" i="1" s="1"/>
  <c r="S62" i="6"/>
  <c r="BM61" i="1" s="1"/>
  <c r="S15" i="6"/>
  <c r="BM14" i="1" s="1"/>
  <c r="S11" i="6"/>
  <c r="BM10" i="1" s="1"/>
  <c r="S54" i="6"/>
  <c r="BM53" i="1" s="1"/>
  <c r="S4" i="6"/>
  <c r="BM3" i="1" s="1"/>
  <c r="AU67" i="13" l="1"/>
  <c r="AT67" i="13"/>
  <c r="AS67" i="13"/>
  <c r="AR67" i="13"/>
  <c r="AQ67" i="13"/>
  <c r="AP67" i="13"/>
  <c r="AO67" i="13"/>
  <c r="AN67" i="13"/>
  <c r="AM67" i="13"/>
  <c r="AL67" i="13"/>
  <c r="AK67" i="13"/>
  <c r="AJ67" i="13"/>
  <c r="AI67" i="13"/>
  <c r="AU65" i="13"/>
  <c r="AT65" i="13"/>
  <c r="AS65" i="13"/>
  <c r="AR65" i="13"/>
  <c r="AQ65" i="13"/>
  <c r="AP65" i="13"/>
  <c r="AO65" i="13"/>
  <c r="AN65" i="13"/>
  <c r="AM65" i="13"/>
  <c r="AL65" i="13"/>
  <c r="AK65" i="13"/>
  <c r="AJ65" i="13"/>
  <c r="AI65" i="13"/>
  <c r="AU63" i="13"/>
  <c r="AT63" i="13"/>
  <c r="AS63" i="13"/>
  <c r="AR63" i="13"/>
  <c r="AQ63" i="13"/>
  <c r="AP63" i="13"/>
  <c r="AO63" i="13"/>
  <c r="AN63" i="13"/>
  <c r="AM63" i="13"/>
  <c r="AL63" i="13"/>
  <c r="AK63" i="13"/>
  <c r="AJ63" i="13"/>
  <c r="AI63" i="13"/>
  <c r="AU62" i="13"/>
  <c r="O39" i="16" s="1"/>
  <c r="AT62" i="13"/>
  <c r="N39" i="16" s="1"/>
  <c r="AS62" i="13"/>
  <c r="M39" i="16" s="1"/>
  <c r="AR62" i="13"/>
  <c r="AQ62" i="13"/>
  <c r="AP62" i="13"/>
  <c r="AO62" i="13"/>
  <c r="AN62" i="13"/>
  <c r="AM62" i="13"/>
  <c r="AL62" i="13"/>
  <c r="AK62" i="13"/>
  <c r="AJ62" i="13"/>
  <c r="AI62" i="13"/>
  <c r="AU61" i="13"/>
  <c r="AT61" i="13"/>
  <c r="AS61" i="13"/>
  <c r="AR61" i="13"/>
  <c r="AQ61" i="13"/>
  <c r="AP61" i="13"/>
  <c r="AO61" i="13"/>
  <c r="AN61" i="13"/>
  <c r="AM61" i="13"/>
  <c r="AL61" i="13"/>
  <c r="AK61" i="13"/>
  <c r="AJ61" i="13"/>
  <c r="AI61" i="13"/>
  <c r="AU60" i="13"/>
  <c r="AT60" i="13"/>
  <c r="AS60" i="13"/>
  <c r="AR60" i="13"/>
  <c r="AQ60" i="13"/>
  <c r="AP60" i="13"/>
  <c r="AO60" i="13"/>
  <c r="AN60" i="13"/>
  <c r="AM60" i="13"/>
  <c r="AL60" i="13"/>
  <c r="AK60" i="13"/>
  <c r="AJ60" i="13"/>
  <c r="AI60" i="13"/>
  <c r="AU59" i="13"/>
  <c r="AT59" i="13"/>
  <c r="AS59" i="13"/>
  <c r="AR59" i="13"/>
  <c r="AQ59" i="13"/>
  <c r="AP59" i="13"/>
  <c r="AO59" i="13"/>
  <c r="AN59" i="13"/>
  <c r="AM59" i="13"/>
  <c r="AL59" i="13"/>
  <c r="AK59" i="13"/>
  <c r="AJ59" i="13"/>
  <c r="AI59" i="13"/>
  <c r="AU57" i="13"/>
  <c r="AT57" i="13"/>
  <c r="AS57" i="13"/>
  <c r="AR57" i="13"/>
  <c r="AQ57" i="13"/>
  <c r="AP57" i="13"/>
  <c r="AO57" i="13"/>
  <c r="AN57" i="13"/>
  <c r="AM57" i="13"/>
  <c r="AL57" i="13"/>
  <c r="AK57" i="13"/>
  <c r="AJ57" i="13"/>
  <c r="AI57" i="13"/>
  <c r="AU56" i="13"/>
  <c r="O34" i="16" s="1"/>
  <c r="AT56" i="13"/>
  <c r="N34" i="16" s="1"/>
  <c r="AS56" i="13"/>
  <c r="M34" i="16" s="1"/>
  <c r="AR56" i="13"/>
  <c r="AQ56" i="13"/>
  <c r="AP56" i="13"/>
  <c r="AO56" i="13"/>
  <c r="AN56" i="13"/>
  <c r="AM56" i="13"/>
  <c r="AL56" i="13"/>
  <c r="AK56" i="13"/>
  <c r="AJ56" i="13"/>
  <c r="AI56" i="13"/>
  <c r="AU55" i="13"/>
  <c r="AT55" i="13"/>
  <c r="AS55" i="13"/>
  <c r="AR55" i="13"/>
  <c r="AQ55" i="13"/>
  <c r="AP55" i="13"/>
  <c r="AO55" i="13"/>
  <c r="AN55" i="13"/>
  <c r="AM55" i="13"/>
  <c r="AL55" i="13"/>
  <c r="AK55" i="13"/>
  <c r="AJ55" i="13"/>
  <c r="AI55" i="13"/>
  <c r="AU54" i="13"/>
  <c r="AT54" i="13"/>
  <c r="AS54" i="13"/>
  <c r="AR54" i="13"/>
  <c r="AQ54" i="13"/>
  <c r="AP54" i="13"/>
  <c r="AO54" i="13"/>
  <c r="AN54" i="13"/>
  <c r="AM54" i="13"/>
  <c r="AL54" i="13"/>
  <c r="AK54" i="13"/>
  <c r="AJ54" i="13"/>
  <c r="AI54" i="13"/>
  <c r="AU53" i="13"/>
  <c r="AT53" i="13"/>
  <c r="AS53" i="13"/>
  <c r="AR53" i="13"/>
  <c r="AQ53" i="13"/>
  <c r="AP53" i="13"/>
  <c r="AO53" i="13"/>
  <c r="AN53" i="13"/>
  <c r="AM53" i="13"/>
  <c r="AL53" i="13"/>
  <c r="AK53" i="13"/>
  <c r="AJ53" i="13"/>
  <c r="AI53" i="13"/>
  <c r="AU51" i="13"/>
  <c r="O30" i="16" s="1"/>
  <c r="AT51" i="13"/>
  <c r="N30" i="16" s="1"/>
  <c r="AS51" i="13"/>
  <c r="M30" i="16" s="1"/>
  <c r="AR51" i="13"/>
  <c r="AQ51" i="13"/>
  <c r="AP51" i="13"/>
  <c r="AO51" i="13"/>
  <c r="AN51" i="13"/>
  <c r="AM51" i="13"/>
  <c r="AL51" i="13"/>
  <c r="AK51" i="13"/>
  <c r="AJ51" i="13"/>
  <c r="AI51" i="13"/>
  <c r="AU50" i="13"/>
  <c r="AT50" i="13"/>
  <c r="AS50" i="13"/>
  <c r="AR50" i="13"/>
  <c r="AQ50" i="13"/>
  <c r="AP50" i="13"/>
  <c r="AO50" i="13"/>
  <c r="AN50" i="13"/>
  <c r="AM50" i="13"/>
  <c r="AL50" i="13"/>
  <c r="AK50" i="13"/>
  <c r="AJ50" i="13"/>
  <c r="AI50" i="13"/>
  <c r="AU48" i="13"/>
  <c r="AT48" i="13"/>
  <c r="AS48" i="13"/>
  <c r="AR48" i="13"/>
  <c r="AQ48" i="13"/>
  <c r="AP48" i="13"/>
  <c r="AO48" i="13"/>
  <c r="AN48" i="13"/>
  <c r="AM48" i="13"/>
  <c r="AL48" i="13"/>
  <c r="AK48" i="13"/>
  <c r="AJ48" i="13"/>
  <c r="AI48" i="13"/>
  <c r="AU105" i="13"/>
  <c r="AT105" i="13"/>
  <c r="AS105" i="13"/>
  <c r="AR105" i="13"/>
  <c r="AQ105" i="13"/>
  <c r="AP105" i="13"/>
  <c r="AO105" i="13"/>
  <c r="AN105" i="13"/>
  <c r="AM105" i="13"/>
  <c r="AL105" i="13"/>
  <c r="AK105" i="13"/>
  <c r="AJ105" i="13"/>
  <c r="AI105" i="13"/>
  <c r="AU47" i="13"/>
  <c r="AT47" i="13"/>
  <c r="AS47" i="13"/>
  <c r="AR47" i="13"/>
  <c r="AQ47" i="13"/>
  <c r="AP47" i="13"/>
  <c r="AO47" i="13"/>
  <c r="AN47" i="13"/>
  <c r="AM47" i="13"/>
  <c r="AL47" i="13"/>
  <c r="AK47" i="13"/>
  <c r="AJ47" i="13"/>
  <c r="AI47" i="13"/>
  <c r="AU104" i="13"/>
  <c r="AT104" i="13"/>
  <c r="AS104" i="13"/>
  <c r="AR104" i="13"/>
  <c r="AQ104" i="13"/>
  <c r="AP104" i="13"/>
  <c r="AO104" i="13"/>
  <c r="AN104" i="13"/>
  <c r="AM104" i="13"/>
  <c r="AL104" i="13"/>
  <c r="AK104" i="13"/>
  <c r="AJ104" i="13"/>
  <c r="AI104" i="13"/>
  <c r="AU46" i="13"/>
  <c r="AT46" i="13"/>
  <c r="AS46" i="13"/>
  <c r="AR46" i="13"/>
  <c r="AQ46" i="13"/>
  <c r="AP46" i="13"/>
  <c r="AO46" i="13"/>
  <c r="AN46" i="13"/>
  <c r="AM46" i="13"/>
  <c r="AL46" i="13"/>
  <c r="AK46" i="13"/>
  <c r="AJ46" i="13"/>
  <c r="AI46" i="13"/>
  <c r="AU45" i="13"/>
  <c r="AT45" i="13"/>
  <c r="AS45" i="13"/>
  <c r="AR45" i="13"/>
  <c r="AQ45" i="13"/>
  <c r="AP45" i="13"/>
  <c r="AO45" i="13"/>
  <c r="AN45" i="13"/>
  <c r="AM45" i="13"/>
  <c r="AL45" i="13"/>
  <c r="AK45" i="13"/>
  <c r="AJ45" i="13"/>
  <c r="AI45" i="13"/>
  <c r="AU68" i="13"/>
  <c r="AT68" i="13"/>
  <c r="AS68" i="13"/>
  <c r="AR68" i="13"/>
  <c r="AQ68" i="13"/>
  <c r="AP68" i="13"/>
  <c r="AO68" i="13"/>
  <c r="AN68" i="13"/>
  <c r="AM68" i="13"/>
  <c r="AL68" i="13"/>
  <c r="AK68" i="13"/>
  <c r="AJ68" i="13"/>
  <c r="AI68" i="13"/>
  <c r="AU41" i="13"/>
  <c r="AT41" i="13"/>
  <c r="AS41" i="13"/>
  <c r="AR41" i="13"/>
  <c r="AQ41" i="13"/>
  <c r="AP41" i="13"/>
  <c r="AO41" i="13"/>
  <c r="AN41" i="13"/>
  <c r="AM41" i="13"/>
  <c r="AL41" i="13"/>
  <c r="AK41" i="13"/>
  <c r="AJ41" i="13"/>
  <c r="AI41" i="13"/>
  <c r="AU43" i="13"/>
  <c r="AT43" i="13"/>
  <c r="AS43" i="13"/>
  <c r="AR43" i="13"/>
  <c r="AQ43" i="13"/>
  <c r="AP43" i="13"/>
  <c r="AO43" i="13"/>
  <c r="AN43" i="13"/>
  <c r="AM43" i="13"/>
  <c r="AL43" i="13"/>
  <c r="AK43" i="13"/>
  <c r="AJ43" i="13"/>
  <c r="AI43" i="13"/>
  <c r="AU42" i="13"/>
  <c r="AT42" i="13"/>
  <c r="AS42" i="13"/>
  <c r="AR42" i="13"/>
  <c r="AQ42" i="13"/>
  <c r="AP42" i="13"/>
  <c r="AO42" i="13"/>
  <c r="AN42" i="13"/>
  <c r="AM42" i="13"/>
  <c r="AL42" i="13"/>
  <c r="AK42" i="13"/>
  <c r="AJ42" i="13"/>
  <c r="AI42" i="13"/>
  <c r="AU34" i="13"/>
  <c r="AT34" i="13"/>
  <c r="AS34" i="13"/>
  <c r="AR34" i="13"/>
  <c r="AQ34" i="13"/>
  <c r="AP34" i="13"/>
  <c r="AO34" i="13"/>
  <c r="AN34" i="13"/>
  <c r="AM34" i="13"/>
  <c r="AL34" i="13"/>
  <c r="AK34" i="13"/>
  <c r="AJ34" i="13"/>
  <c r="AI34" i="13"/>
  <c r="AU39" i="13"/>
  <c r="AT39" i="13"/>
  <c r="AS39" i="13"/>
  <c r="AR39" i="13"/>
  <c r="AQ39" i="13"/>
  <c r="AP39" i="13"/>
  <c r="AO39" i="13"/>
  <c r="AN39" i="13"/>
  <c r="AM39" i="13"/>
  <c r="AL39" i="13"/>
  <c r="AK39" i="13"/>
  <c r="AJ39" i="13"/>
  <c r="AI39" i="13"/>
  <c r="AU64" i="13"/>
  <c r="AT64" i="13"/>
  <c r="AS64" i="13"/>
  <c r="AR64" i="13"/>
  <c r="AQ64" i="13"/>
  <c r="AP64" i="13"/>
  <c r="AO64" i="13"/>
  <c r="AN64" i="13"/>
  <c r="AM64" i="13"/>
  <c r="AL64" i="13"/>
  <c r="AK64" i="13"/>
  <c r="AJ64" i="13"/>
  <c r="AI64" i="13"/>
  <c r="AU38" i="13"/>
  <c r="AT38" i="13"/>
  <c r="AS38" i="13"/>
  <c r="AR38" i="13"/>
  <c r="AQ38" i="13"/>
  <c r="AP38" i="13"/>
  <c r="AO38" i="13"/>
  <c r="AN38" i="13"/>
  <c r="AM38" i="13"/>
  <c r="AL38" i="13"/>
  <c r="AK38" i="13"/>
  <c r="AJ38" i="13"/>
  <c r="AI38" i="13"/>
  <c r="AU37" i="13"/>
  <c r="AT37" i="13"/>
  <c r="AS37" i="13"/>
  <c r="AR37" i="13"/>
  <c r="AQ37" i="13"/>
  <c r="AP37" i="13"/>
  <c r="AO37" i="13"/>
  <c r="AN37" i="13"/>
  <c r="AM37" i="13"/>
  <c r="AL37" i="13"/>
  <c r="AK37" i="13"/>
  <c r="AJ37" i="13"/>
  <c r="AI37" i="13"/>
  <c r="AU36" i="13"/>
  <c r="AT36" i="13"/>
  <c r="AS36" i="13"/>
  <c r="AR36" i="13"/>
  <c r="AQ36" i="13"/>
  <c r="AP36" i="13"/>
  <c r="AO36" i="13"/>
  <c r="AN36" i="13"/>
  <c r="AM36" i="13"/>
  <c r="AL36" i="13"/>
  <c r="AK36" i="13"/>
  <c r="AJ36" i="13"/>
  <c r="AI36" i="13"/>
  <c r="AU33" i="13"/>
  <c r="O21" i="16" s="1"/>
  <c r="AT33" i="13"/>
  <c r="N21" i="16" s="1"/>
  <c r="AS33" i="13"/>
  <c r="M21" i="16" s="1"/>
  <c r="AR33" i="13"/>
  <c r="AQ33" i="13"/>
  <c r="AP33" i="13"/>
  <c r="AO33" i="13"/>
  <c r="AN33" i="13"/>
  <c r="AM33" i="13"/>
  <c r="AL33" i="13"/>
  <c r="AK33" i="13"/>
  <c r="AJ33" i="13"/>
  <c r="AI33" i="13"/>
  <c r="AU32" i="13"/>
  <c r="O52" i="16" s="1"/>
  <c r="AT32" i="13"/>
  <c r="N52" i="16" s="1"/>
  <c r="AS32" i="13"/>
  <c r="AR32" i="13"/>
  <c r="AQ32" i="13"/>
  <c r="AP32" i="13"/>
  <c r="AO32" i="13"/>
  <c r="AN32" i="13"/>
  <c r="AM32" i="13"/>
  <c r="AL32" i="13"/>
  <c r="AK32" i="13"/>
  <c r="AJ32" i="13"/>
  <c r="AI32" i="13"/>
  <c r="AU23" i="13"/>
  <c r="AT23" i="13"/>
  <c r="AS23" i="13"/>
  <c r="AR23" i="13"/>
  <c r="AQ23" i="13"/>
  <c r="AP23" i="13"/>
  <c r="AO23" i="13"/>
  <c r="AN23" i="13"/>
  <c r="AM23" i="13"/>
  <c r="AL23" i="13"/>
  <c r="AK23" i="13"/>
  <c r="AJ23" i="13"/>
  <c r="AI23" i="13"/>
  <c r="AU40" i="13"/>
  <c r="AT40" i="13"/>
  <c r="AS40" i="13"/>
  <c r="AR40" i="13"/>
  <c r="AQ40" i="13"/>
  <c r="AP40" i="13"/>
  <c r="AO40" i="13"/>
  <c r="AN40" i="13"/>
  <c r="AM40" i="13"/>
  <c r="AL40" i="13"/>
  <c r="AK40" i="13"/>
  <c r="AJ40" i="13"/>
  <c r="AI40" i="13"/>
  <c r="AU16" i="13"/>
  <c r="AT16" i="13"/>
  <c r="AS16" i="13"/>
  <c r="AR16" i="13"/>
  <c r="AQ16" i="13"/>
  <c r="AP16" i="13"/>
  <c r="AO16" i="13"/>
  <c r="AN16" i="13"/>
  <c r="AM16" i="13"/>
  <c r="AL16" i="13"/>
  <c r="AK16" i="13"/>
  <c r="AJ16" i="13"/>
  <c r="AI16" i="13"/>
  <c r="AU44" i="13"/>
  <c r="AT44" i="13"/>
  <c r="AS44" i="13"/>
  <c r="AR44" i="13"/>
  <c r="AQ44" i="13"/>
  <c r="AP44" i="13"/>
  <c r="AO44" i="13"/>
  <c r="AN44" i="13"/>
  <c r="AM44" i="13"/>
  <c r="AL44" i="13"/>
  <c r="AK44" i="13"/>
  <c r="AJ44" i="13"/>
  <c r="AI44" i="13"/>
  <c r="AU66" i="13"/>
  <c r="O65" i="16" s="1"/>
  <c r="AT66" i="13"/>
  <c r="N65" i="16" s="1"/>
  <c r="AS66" i="13"/>
  <c r="M65" i="16" s="1"/>
  <c r="AR66" i="13"/>
  <c r="AQ66" i="13"/>
  <c r="AP66" i="13"/>
  <c r="AO66" i="13"/>
  <c r="AN66" i="13"/>
  <c r="AM66" i="13"/>
  <c r="AL66" i="13"/>
  <c r="AK66" i="13"/>
  <c r="AJ66" i="13"/>
  <c r="AI66" i="13"/>
  <c r="AU31" i="13"/>
  <c r="O51" i="16" s="1"/>
  <c r="AT31" i="13"/>
  <c r="N51" i="16" s="1"/>
  <c r="AS31" i="13"/>
  <c r="AR31" i="13"/>
  <c r="AQ31" i="13"/>
  <c r="AP31" i="13"/>
  <c r="AO31" i="13"/>
  <c r="AN31" i="13"/>
  <c r="AM31" i="13"/>
  <c r="AL31" i="13"/>
  <c r="AK31" i="13"/>
  <c r="AJ31" i="13"/>
  <c r="AI31" i="13"/>
  <c r="AU30" i="13"/>
  <c r="O20" i="16" s="1"/>
  <c r="AT30" i="13"/>
  <c r="N20" i="16" s="1"/>
  <c r="AS30" i="13"/>
  <c r="AR30" i="13"/>
  <c r="AQ30" i="13"/>
  <c r="AP30" i="13"/>
  <c r="AO30" i="13"/>
  <c r="AN30" i="13"/>
  <c r="AM30" i="13"/>
  <c r="AL30" i="13"/>
  <c r="AK30" i="13"/>
  <c r="AJ30" i="13"/>
  <c r="AI30" i="13"/>
  <c r="AU29" i="13"/>
  <c r="O19" i="16" s="1"/>
  <c r="AT29" i="13"/>
  <c r="N19" i="16" s="1"/>
  <c r="AS29" i="13"/>
  <c r="AR29" i="13"/>
  <c r="AQ29" i="13"/>
  <c r="AP29" i="13"/>
  <c r="AO29" i="13"/>
  <c r="AN29" i="13"/>
  <c r="AM29" i="13"/>
  <c r="AL29" i="13"/>
  <c r="AK29" i="13"/>
  <c r="AJ29" i="13"/>
  <c r="AI29" i="13"/>
  <c r="AU28" i="13"/>
  <c r="AT28" i="13"/>
  <c r="AS28" i="13"/>
  <c r="AR28" i="13"/>
  <c r="AQ28" i="13"/>
  <c r="AP28" i="13"/>
  <c r="AO28" i="13"/>
  <c r="AN28" i="13"/>
  <c r="AM28" i="13"/>
  <c r="AL28" i="13"/>
  <c r="AK28" i="13"/>
  <c r="AJ28" i="13"/>
  <c r="AI28" i="13"/>
  <c r="AU58" i="13"/>
  <c r="AT58" i="13"/>
  <c r="AS58" i="13"/>
  <c r="AR58" i="13"/>
  <c r="AQ58" i="13"/>
  <c r="AP58" i="13"/>
  <c r="AO58" i="13"/>
  <c r="AN58" i="13"/>
  <c r="AM58" i="13"/>
  <c r="AL58" i="13"/>
  <c r="AK58" i="13"/>
  <c r="AJ58" i="13"/>
  <c r="AI58" i="13"/>
  <c r="AU27" i="13"/>
  <c r="AT27" i="13"/>
  <c r="AS27" i="13"/>
  <c r="AR27" i="13"/>
  <c r="AQ27" i="13"/>
  <c r="AP27" i="13"/>
  <c r="AO27" i="13"/>
  <c r="AN27" i="13"/>
  <c r="AM27" i="13"/>
  <c r="AL27" i="13"/>
  <c r="AK27" i="13"/>
  <c r="AJ27" i="13"/>
  <c r="AI27" i="13"/>
  <c r="AU26" i="13"/>
  <c r="AT26" i="13"/>
  <c r="AS26" i="13"/>
  <c r="AR26" i="13"/>
  <c r="AQ26" i="13"/>
  <c r="AP26" i="13"/>
  <c r="AO26" i="13"/>
  <c r="AN26" i="13"/>
  <c r="AM26" i="13"/>
  <c r="AL26" i="13"/>
  <c r="AK26" i="13"/>
  <c r="AJ26" i="13"/>
  <c r="AI26" i="13"/>
  <c r="AU25" i="13"/>
  <c r="AT25" i="13"/>
  <c r="AS25" i="13"/>
  <c r="AR25" i="13"/>
  <c r="AQ25" i="13"/>
  <c r="AP25" i="13"/>
  <c r="AO25" i="13"/>
  <c r="AN25" i="13"/>
  <c r="AM25" i="13"/>
  <c r="AL25" i="13"/>
  <c r="AK25" i="13"/>
  <c r="AJ25" i="13"/>
  <c r="AI25" i="13"/>
  <c r="AU52" i="13"/>
  <c r="O62" i="16" s="1"/>
  <c r="AT52" i="13"/>
  <c r="AS52" i="13"/>
  <c r="AR52" i="13"/>
  <c r="AQ52" i="13"/>
  <c r="AP52" i="13"/>
  <c r="AO52" i="13"/>
  <c r="AN52" i="13"/>
  <c r="AM52" i="13"/>
  <c r="AL52" i="13"/>
  <c r="AK52" i="13"/>
  <c r="AJ52" i="13"/>
  <c r="AI52" i="13"/>
  <c r="AU24" i="13"/>
  <c r="AT24" i="13"/>
  <c r="AS24" i="13"/>
  <c r="AR24" i="13"/>
  <c r="AQ24" i="13"/>
  <c r="AP24" i="13"/>
  <c r="AO24" i="13"/>
  <c r="AN24" i="13"/>
  <c r="AM24" i="13"/>
  <c r="AL24" i="13"/>
  <c r="AK24" i="13"/>
  <c r="AJ24" i="13"/>
  <c r="AI24" i="13"/>
  <c r="AU49" i="13"/>
  <c r="AT49" i="13"/>
  <c r="AS49" i="13"/>
  <c r="AR49" i="13"/>
  <c r="AQ49" i="13"/>
  <c r="AP49" i="13"/>
  <c r="AO49" i="13"/>
  <c r="AN49" i="13"/>
  <c r="AM49" i="13"/>
  <c r="AL49" i="13"/>
  <c r="AK49" i="13"/>
  <c r="AJ49" i="13"/>
  <c r="AI49" i="13"/>
  <c r="AU22" i="13"/>
  <c r="AT22" i="13"/>
  <c r="AS22" i="13"/>
  <c r="AR22" i="13"/>
  <c r="AQ22" i="13"/>
  <c r="AP22" i="13"/>
  <c r="AO22" i="13"/>
  <c r="AN22" i="13"/>
  <c r="AM22" i="13"/>
  <c r="AL22" i="13"/>
  <c r="AK22" i="13"/>
  <c r="AJ22" i="13"/>
  <c r="AI22" i="13"/>
  <c r="AU21" i="13"/>
  <c r="AT21" i="13"/>
  <c r="AS21" i="13"/>
  <c r="AR21" i="13"/>
  <c r="AQ21" i="13"/>
  <c r="AP21" i="13"/>
  <c r="AO21" i="13"/>
  <c r="AN21" i="13"/>
  <c r="AM21" i="13"/>
  <c r="AL21" i="13"/>
  <c r="AK21" i="13"/>
  <c r="AJ21" i="13"/>
  <c r="AI21" i="13"/>
  <c r="AU20" i="13"/>
  <c r="AT20" i="13"/>
  <c r="AS20" i="13"/>
  <c r="AR20" i="13"/>
  <c r="AQ20" i="13"/>
  <c r="AP20" i="13"/>
  <c r="AO20" i="13"/>
  <c r="AN20" i="13"/>
  <c r="AM20" i="13"/>
  <c r="AL20" i="13"/>
  <c r="AK20" i="13"/>
  <c r="AJ20" i="13"/>
  <c r="AI20" i="13"/>
  <c r="AU19" i="13"/>
  <c r="AT19" i="13"/>
  <c r="AS19" i="13"/>
  <c r="AR19" i="13"/>
  <c r="L13" i="16" s="1"/>
  <c r="AQ19" i="13"/>
  <c r="AP19" i="13"/>
  <c r="AO19" i="13"/>
  <c r="AN19" i="13"/>
  <c r="AM19" i="13"/>
  <c r="AL19" i="13"/>
  <c r="AK19" i="13"/>
  <c r="AJ19" i="13"/>
  <c r="AI19" i="13"/>
  <c r="AU18" i="13"/>
  <c r="AT18" i="13"/>
  <c r="AS18" i="13"/>
  <c r="AR18" i="13"/>
  <c r="AQ18" i="13"/>
  <c r="AP18" i="13"/>
  <c r="AO18" i="13"/>
  <c r="AN18" i="13"/>
  <c r="AM18" i="13"/>
  <c r="AL18" i="13"/>
  <c r="AK18" i="13"/>
  <c r="AJ18" i="13"/>
  <c r="AI18" i="13"/>
  <c r="AU17" i="13"/>
  <c r="AT17" i="13"/>
  <c r="AS17" i="13"/>
  <c r="AR17" i="13"/>
  <c r="AQ17" i="13"/>
  <c r="AP17" i="13"/>
  <c r="AO17" i="13"/>
  <c r="AN17" i="13"/>
  <c r="AM17" i="13"/>
  <c r="AL17" i="13"/>
  <c r="AK17" i="13"/>
  <c r="AJ17" i="13"/>
  <c r="AI17" i="13"/>
  <c r="AU15" i="13"/>
  <c r="AT15" i="13"/>
  <c r="AS15" i="13"/>
  <c r="AR15" i="13"/>
  <c r="AQ15" i="13"/>
  <c r="AP15" i="13"/>
  <c r="AO15" i="13"/>
  <c r="AN15" i="13"/>
  <c r="AM15" i="13"/>
  <c r="AL15" i="13"/>
  <c r="AK15" i="13"/>
  <c r="AJ15" i="13"/>
  <c r="AI15" i="13"/>
  <c r="AU14" i="13"/>
  <c r="AT14" i="13"/>
  <c r="AS14" i="13"/>
  <c r="AR14" i="13"/>
  <c r="AQ14" i="13"/>
  <c r="AP14" i="13"/>
  <c r="AO14" i="13"/>
  <c r="AN14" i="13"/>
  <c r="AM14" i="13"/>
  <c r="AL14" i="13"/>
  <c r="AK14" i="13"/>
  <c r="AJ14" i="13"/>
  <c r="AI14" i="13"/>
  <c r="AU13" i="13"/>
  <c r="AT13" i="13"/>
  <c r="AS13" i="13"/>
  <c r="AR13" i="13"/>
  <c r="L9" i="16" s="1"/>
  <c r="AQ13" i="13"/>
  <c r="AP13" i="13"/>
  <c r="AO13" i="13"/>
  <c r="AN13" i="13"/>
  <c r="AM13" i="13"/>
  <c r="AL13" i="13"/>
  <c r="AK13" i="13"/>
  <c r="AJ13" i="13"/>
  <c r="AI13" i="13"/>
  <c r="AU12" i="13"/>
  <c r="AT12" i="13"/>
  <c r="AS12" i="13"/>
  <c r="AR12" i="13"/>
  <c r="AQ12" i="13"/>
  <c r="AP12" i="13"/>
  <c r="AO12" i="13"/>
  <c r="AN12" i="13"/>
  <c r="AM12" i="13"/>
  <c r="AL12" i="13"/>
  <c r="AK12" i="13"/>
  <c r="AJ12" i="13"/>
  <c r="AI12" i="13"/>
  <c r="AU35" i="13"/>
  <c r="AT35" i="13"/>
  <c r="AS35" i="13"/>
  <c r="AR35" i="13"/>
  <c r="AQ35" i="13"/>
  <c r="AP35" i="13"/>
  <c r="AO35" i="13"/>
  <c r="AN35" i="13"/>
  <c r="AM35" i="13"/>
  <c r="AL35" i="13"/>
  <c r="AK35" i="13"/>
  <c r="AJ35" i="13"/>
  <c r="AI35" i="13"/>
  <c r="AU11" i="13"/>
  <c r="AT11" i="13"/>
  <c r="AS11" i="13"/>
  <c r="AR11" i="13"/>
  <c r="AQ11" i="13"/>
  <c r="AP11" i="13"/>
  <c r="AO11" i="13"/>
  <c r="AN11" i="13"/>
  <c r="AM11" i="13"/>
  <c r="AL11" i="13"/>
  <c r="AK11" i="13"/>
  <c r="AJ11" i="13"/>
  <c r="AI11" i="13"/>
  <c r="AU10" i="13"/>
  <c r="AT10" i="13"/>
  <c r="AS10" i="13"/>
  <c r="AR10" i="13"/>
  <c r="AQ10" i="13"/>
  <c r="AP10" i="13"/>
  <c r="AO10" i="13"/>
  <c r="AN10" i="13"/>
  <c r="AM10" i="13"/>
  <c r="AL10" i="13"/>
  <c r="AK10" i="13"/>
  <c r="AJ10" i="13"/>
  <c r="AI10" i="13"/>
  <c r="AU9" i="13"/>
  <c r="AT9" i="13"/>
  <c r="AS9" i="13"/>
  <c r="AR9" i="13"/>
  <c r="AQ9" i="13"/>
  <c r="AP9" i="13"/>
  <c r="AO9" i="13"/>
  <c r="AN9" i="13"/>
  <c r="AM9" i="13"/>
  <c r="AL9" i="13"/>
  <c r="AK9" i="13"/>
  <c r="AJ9" i="13"/>
  <c r="AI9" i="13"/>
  <c r="AU8" i="13"/>
  <c r="AT8" i="13"/>
  <c r="AS8" i="13"/>
  <c r="AR8" i="13"/>
  <c r="AQ8" i="13"/>
  <c r="AP8" i="13"/>
  <c r="AO8" i="13"/>
  <c r="AN8" i="13"/>
  <c r="AM8" i="13"/>
  <c r="AL8" i="13"/>
  <c r="AK8" i="13"/>
  <c r="AJ8" i="13"/>
  <c r="AI8" i="13"/>
  <c r="AU7" i="13"/>
  <c r="AT7" i="13"/>
  <c r="AS7" i="13"/>
  <c r="AR7" i="13"/>
  <c r="AQ7" i="13"/>
  <c r="AP7" i="13"/>
  <c r="AO7" i="13"/>
  <c r="AN7" i="13"/>
  <c r="AM7" i="13"/>
  <c r="AL7" i="13"/>
  <c r="AK7" i="13"/>
  <c r="AJ7" i="13"/>
  <c r="AI7" i="13"/>
  <c r="AU6" i="13"/>
  <c r="O43" i="16" s="1"/>
  <c r="AT6" i="13"/>
  <c r="N43" i="16" s="1"/>
  <c r="AS6" i="13"/>
  <c r="M43" i="16" s="1"/>
  <c r="AR6" i="13"/>
  <c r="AQ6" i="13"/>
  <c r="AP6" i="13"/>
  <c r="AO6" i="13"/>
  <c r="AN6" i="13"/>
  <c r="AM6" i="13"/>
  <c r="AL6" i="13"/>
  <c r="AK6" i="13"/>
  <c r="AJ6" i="13"/>
  <c r="AI6" i="13"/>
  <c r="F43" i="16" l="1"/>
  <c r="F43" i="2"/>
  <c r="J43" i="16"/>
  <c r="J43" i="2"/>
  <c r="E44" i="16"/>
  <c r="E44" i="2"/>
  <c r="M44" i="16"/>
  <c r="M44" i="2"/>
  <c r="H4" i="16"/>
  <c r="H4" i="2"/>
  <c r="K5" i="16"/>
  <c r="K5" i="2"/>
  <c r="H43" i="16"/>
  <c r="H43" i="2"/>
  <c r="L43" i="16"/>
  <c r="L43" i="2"/>
  <c r="G44" i="16"/>
  <c r="G44" i="2"/>
  <c r="K44" i="16"/>
  <c r="K44" i="2"/>
  <c r="O44" i="16"/>
  <c r="O44" i="2"/>
  <c r="F4" i="16"/>
  <c r="F4" i="2"/>
  <c r="J4" i="16"/>
  <c r="J4" i="2"/>
  <c r="N4" i="16"/>
  <c r="N4" i="2"/>
  <c r="E5" i="16"/>
  <c r="E5" i="2"/>
  <c r="I5" i="16"/>
  <c r="I5" i="2"/>
  <c r="M5" i="16"/>
  <c r="M5" i="2"/>
  <c r="H6" i="16"/>
  <c r="H6" i="2"/>
  <c r="L6" i="16"/>
  <c r="L6" i="2"/>
  <c r="G7" i="16"/>
  <c r="G7" i="2"/>
  <c r="K7" i="16"/>
  <c r="K7" i="2"/>
  <c r="O7" i="16"/>
  <c r="O7" i="2"/>
  <c r="F54" i="16"/>
  <c r="F54" i="2"/>
  <c r="J54" i="16"/>
  <c r="J54" i="2"/>
  <c r="N54" i="16"/>
  <c r="N54" i="2"/>
  <c r="E8" i="16"/>
  <c r="E8" i="2"/>
  <c r="I8" i="16"/>
  <c r="I8" i="2"/>
  <c r="M8" i="16"/>
  <c r="M8" i="2"/>
  <c r="H9" i="16"/>
  <c r="H9" i="2"/>
  <c r="G10" i="16"/>
  <c r="G10" i="2"/>
  <c r="K10" i="16"/>
  <c r="K10" i="2"/>
  <c r="O10" i="16"/>
  <c r="O10" i="2"/>
  <c r="F45" i="16"/>
  <c r="F45" i="2"/>
  <c r="J45" i="16"/>
  <c r="J45" i="2"/>
  <c r="N45" i="16"/>
  <c r="N45" i="2"/>
  <c r="E11" i="16"/>
  <c r="E11" i="2"/>
  <c r="I11" i="16"/>
  <c r="I11" i="2"/>
  <c r="M11" i="16"/>
  <c r="M11" i="2"/>
  <c r="H12" i="16"/>
  <c r="H12" i="2"/>
  <c r="L12" i="16"/>
  <c r="L12" i="2"/>
  <c r="G13" i="16"/>
  <c r="G13" i="2"/>
  <c r="K13" i="16"/>
  <c r="K13" i="2"/>
  <c r="O13" i="16"/>
  <c r="O13" i="2"/>
  <c r="F14" i="16"/>
  <c r="F14" i="2"/>
  <c r="J14" i="16"/>
  <c r="J14" i="2"/>
  <c r="N14" i="16"/>
  <c r="N14" i="2"/>
  <c r="E15" i="16"/>
  <c r="E15" i="2"/>
  <c r="I15" i="16"/>
  <c r="I15" i="2"/>
  <c r="M15" i="16"/>
  <c r="M15" i="2"/>
  <c r="H16" i="16"/>
  <c r="H16" i="2"/>
  <c r="L16" i="16"/>
  <c r="L16" i="2"/>
  <c r="G60" i="16"/>
  <c r="G60" i="2"/>
  <c r="K60" i="16"/>
  <c r="K60" i="2"/>
  <c r="O60" i="16"/>
  <c r="O60" i="2"/>
  <c r="F17" i="16"/>
  <c r="F17" i="2"/>
  <c r="J17" i="16"/>
  <c r="J17" i="2"/>
  <c r="N17" i="16"/>
  <c r="N17" i="2"/>
  <c r="E62" i="16"/>
  <c r="E62" i="2"/>
  <c r="I62" i="16"/>
  <c r="I62" i="2"/>
  <c r="M62" i="16"/>
  <c r="M62" i="2"/>
  <c r="H48" i="16"/>
  <c r="H48" i="2"/>
  <c r="L48" i="16"/>
  <c r="L48" i="2"/>
  <c r="G49" i="16"/>
  <c r="G49" i="2"/>
  <c r="K49" i="16"/>
  <c r="K49" i="2"/>
  <c r="O49" i="16"/>
  <c r="O49" i="2"/>
  <c r="F18" i="16"/>
  <c r="F18" i="2"/>
  <c r="J18" i="16"/>
  <c r="J18" i="2"/>
  <c r="N18" i="16"/>
  <c r="N18" i="2"/>
  <c r="E63" i="16"/>
  <c r="E63" i="2"/>
  <c r="I63" i="16"/>
  <c r="I63" i="2"/>
  <c r="M63" i="16"/>
  <c r="M63" i="2"/>
  <c r="H50" i="16"/>
  <c r="H50" i="2"/>
  <c r="L50" i="16"/>
  <c r="L50" i="2"/>
  <c r="G19" i="16"/>
  <c r="G19" i="2"/>
  <c r="K19" i="16"/>
  <c r="K19" i="2"/>
  <c r="F20" i="16"/>
  <c r="F20" i="2"/>
  <c r="J20" i="16"/>
  <c r="J20" i="2"/>
  <c r="E51" i="16"/>
  <c r="E51" i="2"/>
  <c r="I51" i="16"/>
  <c r="I51" i="2"/>
  <c r="M51" i="16"/>
  <c r="M51" i="2"/>
  <c r="H65" i="16"/>
  <c r="H65" i="2"/>
  <c r="L65" i="16"/>
  <c r="L65" i="2"/>
  <c r="G58" i="16"/>
  <c r="G58" i="2"/>
  <c r="K58" i="16"/>
  <c r="K58" i="2"/>
  <c r="O58" i="16"/>
  <c r="O58" i="2"/>
  <c r="F46" i="16"/>
  <c r="F46" i="2"/>
  <c r="J46" i="16"/>
  <c r="J46" i="2"/>
  <c r="N46" i="16"/>
  <c r="N46" i="2"/>
  <c r="E56" i="16"/>
  <c r="E56" i="2"/>
  <c r="I56" i="16"/>
  <c r="I56" i="2"/>
  <c r="M56" i="16"/>
  <c r="M56" i="2"/>
  <c r="H47" i="16"/>
  <c r="H47" i="2"/>
  <c r="L47" i="16"/>
  <c r="L47" i="2"/>
  <c r="G52" i="16"/>
  <c r="G52" i="2"/>
  <c r="K52" i="16"/>
  <c r="K52" i="2"/>
  <c r="F21" i="16"/>
  <c r="F21" i="2"/>
  <c r="J21" i="16"/>
  <c r="J21" i="2"/>
  <c r="E22" i="16"/>
  <c r="E22" i="2"/>
  <c r="I22" i="16"/>
  <c r="I22" i="2"/>
  <c r="M22" i="16"/>
  <c r="M22" i="2"/>
  <c r="H23" i="16"/>
  <c r="H23" i="2"/>
  <c r="L23" i="16"/>
  <c r="L23" i="2"/>
  <c r="G55" i="16"/>
  <c r="G55" i="2"/>
  <c r="K55" i="16"/>
  <c r="K55" i="2"/>
  <c r="O55" i="16"/>
  <c r="O55" i="2"/>
  <c r="F64" i="16"/>
  <c r="F64" i="2"/>
  <c r="J64" i="16"/>
  <c r="J64" i="2"/>
  <c r="N64" i="16"/>
  <c r="N64" i="2"/>
  <c r="E24" i="16"/>
  <c r="E24" i="2"/>
  <c r="I24" i="16"/>
  <c r="I24" i="2"/>
  <c r="M24" i="16"/>
  <c r="M24" i="2"/>
  <c r="H53" i="16"/>
  <c r="H53" i="2"/>
  <c r="L53" i="16"/>
  <c r="L53" i="2"/>
  <c r="G25" i="16"/>
  <c r="G25" i="2"/>
  <c r="K25" i="16"/>
  <c r="K25" i="2"/>
  <c r="O25" i="16"/>
  <c r="O25" i="2"/>
  <c r="F26" i="16"/>
  <c r="F26" i="2"/>
  <c r="J26" i="16"/>
  <c r="J26" i="2"/>
  <c r="N26" i="16"/>
  <c r="N26" i="2"/>
  <c r="E57" i="16"/>
  <c r="E57" i="2"/>
  <c r="I57" i="16"/>
  <c r="I57" i="2"/>
  <c r="M57" i="16"/>
  <c r="M57" i="2"/>
  <c r="G27" i="16"/>
  <c r="G27" i="2"/>
  <c r="K27" i="16"/>
  <c r="K27" i="2"/>
  <c r="O27" i="16"/>
  <c r="O27" i="2"/>
  <c r="F59" i="16"/>
  <c r="F59" i="2"/>
  <c r="J59" i="16"/>
  <c r="J59" i="2"/>
  <c r="N59" i="16"/>
  <c r="N59" i="2"/>
  <c r="H28" i="16"/>
  <c r="H28" i="2"/>
  <c r="L28" i="16"/>
  <c r="L28" i="2"/>
  <c r="F29" i="16"/>
  <c r="F29" i="2"/>
  <c r="J29" i="16"/>
  <c r="J29" i="2"/>
  <c r="N29" i="16"/>
  <c r="N29" i="2"/>
  <c r="E61" i="16"/>
  <c r="E61" i="2"/>
  <c r="I61" i="16"/>
  <c r="I61" i="2"/>
  <c r="M61" i="16"/>
  <c r="M61" i="2"/>
  <c r="H30" i="16"/>
  <c r="H30" i="2"/>
  <c r="L30" i="16"/>
  <c r="L30" i="2"/>
  <c r="G31" i="16"/>
  <c r="G31" i="2"/>
  <c r="K31" i="16"/>
  <c r="K31" i="2"/>
  <c r="O31" i="16"/>
  <c r="O31" i="2"/>
  <c r="F32" i="16"/>
  <c r="F32" i="2"/>
  <c r="J32" i="16"/>
  <c r="J32" i="2"/>
  <c r="N32" i="16"/>
  <c r="N32" i="2"/>
  <c r="E33" i="16"/>
  <c r="E33" i="2"/>
  <c r="I33" i="16"/>
  <c r="I33" i="2"/>
  <c r="M33" i="16"/>
  <c r="M33" i="2"/>
  <c r="H34" i="16"/>
  <c r="H34" i="2"/>
  <c r="L34" i="16"/>
  <c r="L34" i="2"/>
  <c r="G35" i="16"/>
  <c r="G35" i="2"/>
  <c r="K35" i="16"/>
  <c r="K35" i="2"/>
  <c r="O35" i="16"/>
  <c r="O35" i="2"/>
  <c r="F36" i="16"/>
  <c r="F36" i="2"/>
  <c r="J36" i="16"/>
  <c r="J36" i="2"/>
  <c r="N36" i="16"/>
  <c r="N36" i="2"/>
  <c r="E37" i="16"/>
  <c r="E37" i="2"/>
  <c r="I37" i="16"/>
  <c r="I37" i="2"/>
  <c r="M37" i="16"/>
  <c r="M37" i="2"/>
  <c r="H38" i="16"/>
  <c r="H38" i="2"/>
  <c r="L38" i="16"/>
  <c r="L38" i="2"/>
  <c r="G39" i="16"/>
  <c r="G39" i="2"/>
  <c r="K39" i="16"/>
  <c r="K39" i="2"/>
  <c r="F40" i="16"/>
  <c r="F40" i="2"/>
  <c r="J40" i="16"/>
  <c r="J40" i="2"/>
  <c r="N40" i="16"/>
  <c r="N40" i="2"/>
  <c r="E41" i="16"/>
  <c r="E41" i="2"/>
  <c r="I41" i="16"/>
  <c r="I41" i="2"/>
  <c r="M41" i="16"/>
  <c r="M41" i="2"/>
  <c r="D42" i="16"/>
  <c r="D42" i="2"/>
  <c r="H42" i="16"/>
  <c r="H42" i="2"/>
  <c r="L42" i="16"/>
  <c r="L42" i="2"/>
  <c r="E43" i="16"/>
  <c r="E43" i="2"/>
  <c r="I43" i="16"/>
  <c r="I43" i="2"/>
  <c r="H44" i="16"/>
  <c r="H44" i="2"/>
  <c r="L44" i="16"/>
  <c r="L44" i="2"/>
  <c r="G4" i="16"/>
  <c r="G4" i="2"/>
  <c r="K4" i="16"/>
  <c r="K4" i="2"/>
  <c r="O4" i="16"/>
  <c r="O4" i="2"/>
  <c r="F5" i="16"/>
  <c r="F5" i="2"/>
  <c r="J5" i="16"/>
  <c r="J5" i="2"/>
  <c r="N5" i="16"/>
  <c r="N5" i="2"/>
  <c r="E6" i="16"/>
  <c r="E6" i="2"/>
  <c r="I6" i="16"/>
  <c r="I6" i="2"/>
  <c r="M6" i="16"/>
  <c r="M6" i="2"/>
  <c r="H7" i="16"/>
  <c r="H7" i="2"/>
  <c r="L7" i="16"/>
  <c r="L7" i="2"/>
  <c r="G54" i="16"/>
  <c r="G54" i="2"/>
  <c r="K54" i="16"/>
  <c r="K54" i="2"/>
  <c r="O54" i="16"/>
  <c r="O54" i="2"/>
  <c r="F8" i="16"/>
  <c r="F8" i="2"/>
  <c r="J8" i="16"/>
  <c r="J8" i="2"/>
  <c r="N8" i="16"/>
  <c r="N8" i="2"/>
  <c r="E9" i="16"/>
  <c r="E9" i="2"/>
  <c r="I9" i="16"/>
  <c r="I9" i="2"/>
  <c r="M9" i="16"/>
  <c r="M9" i="2"/>
  <c r="H10" i="16"/>
  <c r="H10" i="2"/>
  <c r="L10" i="16"/>
  <c r="L10" i="2"/>
  <c r="G45" i="16"/>
  <c r="G45" i="2"/>
  <c r="K45" i="16"/>
  <c r="K45" i="2"/>
  <c r="O45" i="16"/>
  <c r="O45" i="2"/>
  <c r="F11" i="16"/>
  <c r="F11" i="2"/>
  <c r="J11" i="16"/>
  <c r="J11" i="2"/>
  <c r="N11" i="16"/>
  <c r="N11" i="2"/>
  <c r="E12" i="16"/>
  <c r="E12" i="2"/>
  <c r="I12" i="16"/>
  <c r="I12" i="2"/>
  <c r="M12" i="16"/>
  <c r="M12" i="2"/>
  <c r="H13" i="16"/>
  <c r="H13" i="2"/>
  <c r="G14" i="16"/>
  <c r="G14" i="2"/>
  <c r="K14" i="16"/>
  <c r="K14" i="2"/>
  <c r="O14" i="16"/>
  <c r="O14" i="2"/>
  <c r="F15" i="16"/>
  <c r="F15" i="2"/>
  <c r="J15" i="16"/>
  <c r="J15" i="2"/>
  <c r="N15" i="16"/>
  <c r="N15" i="2"/>
  <c r="E16" i="16"/>
  <c r="E16" i="2"/>
  <c r="I16" i="16"/>
  <c r="I16" i="2"/>
  <c r="M16" i="16"/>
  <c r="M16" i="2"/>
  <c r="H60" i="16"/>
  <c r="H60" i="2"/>
  <c r="L60" i="16"/>
  <c r="L60" i="2"/>
  <c r="G17" i="16"/>
  <c r="G17" i="2"/>
  <c r="K17" i="16"/>
  <c r="K17" i="2"/>
  <c r="O17" i="16"/>
  <c r="O17" i="2"/>
  <c r="F62" i="16"/>
  <c r="F62" i="2"/>
  <c r="J62" i="16"/>
  <c r="J62" i="2"/>
  <c r="N62" i="16"/>
  <c r="N62" i="2"/>
  <c r="E48" i="16"/>
  <c r="E48" i="2"/>
  <c r="I48" i="16"/>
  <c r="I48" i="2"/>
  <c r="M48" i="16"/>
  <c r="M48" i="2"/>
  <c r="H49" i="16"/>
  <c r="H49" i="2"/>
  <c r="L49" i="16"/>
  <c r="L49" i="2"/>
  <c r="G18" i="16"/>
  <c r="G18" i="2"/>
  <c r="K18" i="16"/>
  <c r="K18" i="2"/>
  <c r="O18" i="16"/>
  <c r="O18" i="2"/>
  <c r="F63" i="16"/>
  <c r="F63" i="2"/>
  <c r="J63" i="16"/>
  <c r="J63" i="2"/>
  <c r="N63" i="16"/>
  <c r="N63" i="2"/>
  <c r="E50" i="16"/>
  <c r="E50" i="2"/>
  <c r="I50" i="16"/>
  <c r="I50" i="2"/>
  <c r="M50" i="16"/>
  <c r="M50" i="2"/>
  <c r="H19" i="16"/>
  <c r="H19" i="2"/>
  <c r="L19" i="16"/>
  <c r="L19" i="2"/>
  <c r="G20" i="16"/>
  <c r="G20" i="2"/>
  <c r="K20" i="16"/>
  <c r="K20" i="2"/>
  <c r="F51" i="16"/>
  <c r="F51" i="2"/>
  <c r="J51" i="16"/>
  <c r="J51" i="2"/>
  <c r="E65" i="16"/>
  <c r="E65" i="2"/>
  <c r="I65" i="16"/>
  <c r="I65" i="2"/>
  <c r="H58" i="16"/>
  <c r="H58" i="2"/>
  <c r="L58" i="16"/>
  <c r="L58" i="2"/>
  <c r="G46" i="16"/>
  <c r="G46" i="2"/>
  <c r="K46" i="16"/>
  <c r="K46" i="2"/>
  <c r="O46" i="16"/>
  <c r="O46" i="2"/>
  <c r="F56" i="16"/>
  <c r="F56" i="2"/>
  <c r="J56" i="16"/>
  <c r="J56" i="2"/>
  <c r="N56" i="16"/>
  <c r="N56" i="2"/>
  <c r="E47" i="16"/>
  <c r="E47" i="2"/>
  <c r="I47" i="16"/>
  <c r="I47" i="2"/>
  <c r="M47" i="16"/>
  <c r="M47" i="2"/>
  <c r="H52" i="16"/>
  <c r="H52" i="2"/>
  <c r="L52" i="16"/>
  <c r="L52" i="2"/>
  <c r="G21" i="16"/>
  <c r="G21" i="2"/>
  <c r="K21" i="16"/>
  <c r="K21" i="2"/>
  <c r="F22" i="16"/>
  <c r="F22" i="2"/>
  <c r="J22" i="16"/>
  <c r="J22" i="2"/>
  <c r="N22" i="16"/>
  <c r="N22" i="2"/>
  <c r="E23" i="16"/>
  <c r="E23" i="2"/>
  <c r="I23" i="16"/>
  <c r="I23" i="2"/>
  <c r="M23" i="16"/>
  <c r="M23" i="2"/>
  <c r="H55" i="16"/>
  <c r="H55" i="2"/>
  <c r="L55" i="16"/>
  <c r="L55" i="2"/>
  <c r="G64" i="16"/>
  <c r="G64" i="2"/>
  <c r="K64" i="16"/>
  <c r="K64" i="2"/>
  <c r="O64" i="16"/>
  <c r="O64" i="2"/>
  <c r="F24" i="16"/>
  <c r="F24" i="2"/>
  <c r="J24" i="16"/>
  <c r="J24" i="2"/>
  <c r="N24" i="16"/>
  <c r="N24" i="2"/>
  <c r="E53" i="16"/>
  <c r="E53" i="2"/>
  <c r="I53" i="16"/>
  <c r="I53" i="2"/>
  <c r="M53" i="16"/>
  <c r="M53" i="2"/>
  <c r="H25" i="16"/>
  <c r="H25" i="2"/>
  <c r="L25" i="16"/>
  <c r="L25" i="2"/>
  <c r="G26" i="16"/>
  <c r="G26" i="2"/>
  <c r="K26" i="16"/>
  <c r="K26" i="2"/>
  <c r="O26" i="16"/>
  <c r="O26" i="2"/>
  <c r="F57" i="16"/>
  <c r="F57" i="2"/>
  <c r="J57" i="16"/>
  <c r="J57" i="2"/>
  <c r="N57" i="16"/>
  <c r="N57" i="2"/>
  <c r="H27" i="16"/>
  <c r="H27" i="2"/>
  <c r="L27" i="16"/>
  <c r="L27" i="2"/>
  <c r="G59" i="16"/>
  <c r="G59" i="2"/>
  <c r="K59" i="16"/>
  <c r="K59" i="2"/>
  <c r="O59" i="16"/>
  <c r="O59" i="2"/>
  <c r="E28" i="16"/>
  <c r="E28" i="2"/>
  <c r="I28" i="16"/>
  <c r="I28" i="2"/>
  <c r="M28" i="16"/>
  <c r="M28" i="2"/>
  <c r="G29" i="16"/>
  <c r="G29" i="2"/>
  <c r="K29" i="16"/>
  <c r="K29" i="2"/>
  <c r="O29" i="16"/>
  <c r="O29" i="2"/>
  <c r="F61" i="16"/>
  <c r="F61" i="2"/>
  <c r="J61" i="16"/>
  <c r="J61" i="2"/>
  <c r="N61" i="16"/>
  <c r="N61" i="2"/>
  <c r="E30" i="16"/>
  <c r="E30" i="2"/>
  <c r="I30" i="16"/>
  <c r="I30" i="2"/>
  <c r="H31" i="16"/>
  <c r="H31" i="2"/>
  <c r="L31" i="16"/>
  <c r="L31" i="2"/>
  <c r="G32" i="16"/>
  <c r="G32" i="2"/>
  <c r="K32" i="16"/>
  <c r="K32" i="2"/>
  <c r="O32" i="16"/>
  <c r="O32" i="2"/>
  <c r="F33" i="16"/>
  <c r="F33" i="2"/>
  <c r="J33" i="16"/>
  <c r="J33" i="2"/>
  <c r="N33" i="16"/>
  <c r="N33" i="2"/>
  <c r="E34" i="16"/>
  <c r="E34" i="2"/>
  <c r="I34" i="16"/>
  <c r="I34" i="2"/>
  <c r="H35" i="16"/>
  <c r="H35" i="2"/>
  <c r="L35" i="16"/>
  <c r="L35" i="2"/>
  <c r="G36" i="16"/>
  <c r="G36" i="2"/>
  <c r="K36" i="16"/>
  <c r="K36" i="2"/>
  <c r="O36" i="16"/>
  <c r="O36" i="2"/>
  <c r="F37" i="16"/>
  <c r="F37" i="2"/>
  <c r="J37" i="16"/>
  <c r="J37" i="2"/>
  <c r="N37" i="16"/>
  <c r="N37" i="2"/>
  <c r="E38" i="16"/>
  <c r="E38" i="2"/>
  <c r="I38" i="16"/>
  <c r="I38" i="2"/>
  <c r="M38" i="16"/>
  <c r="M38" i="2"/>
  <c r="H39" i="16"/>
  <c r="H39" i="2"/>
  <c r="L39" i="16"/>
  <c r="L39" i="2"/>
  <c r="G40" i="16"/>
  <c r="G40" i="2"/>
  <c r="K40" i="16"/>
  <c r="K40" i="2"/>
  <c r="O40" i="16"/>
  <c r="O40" i="2"/>
  <c r="F41" i="16"/>
  <c r="F41" i="2"/>
  <c r="J41" i="16"/>
  <c r="J41" i="2"/>
  <c r="N41" i="16"/>
  <c r="N41" i="2"/>
  <c r="E42" i="16"/>
  <c r="E42" i="2"/>
  <c r="I42" i="16"/>
  <c r="I42" i="2"/>
  <c r="M42" i="16"/>
  <c r="M42" i="2"/>
  <c r="I44" i="16"/>
  <c r="I44" i="2"/>
  <c r="L4" i="16"/>
  <c r="L4" i="2"/>
  <c r="G5" i="16"/>
  <c r="G5" i="2"/>
  <c r="O5" i="16"/>
  <c r="O5" i="2"/>
  <c r="F6" i="16"/>
  <c r="F6" i="2"/>
  <c r="J6" i="16"/>
  <c r="J6" i="2"/>
  <c r="N6" i="16"/>
  <c r="N6" i="2"/>
  <c r="E7" i="16"/>
  <c r="E7" i="2"/>
  <c r="I7" i="16"/>
  <c r="I7" i="2"/>
  <c r="M7" i="16"/>
  <c r="M7" i="2"/>
  <c r="H54" i="16"/>
  <c r="H54" i="2"/>
  <c r="L54" i="16"/>
  <c r="L54" i="2"/>
  <c r="G8" i="16"/>
  <c r="G8" i="2"/>
  <c r="K8" i="16"/>
  <c r="K8" i="2"/>
  <c r="O8" i="16"/>
  <c r="O8" i="2"/>
  <c r="F9" i="16"/>
  <c r="F9" i="2"/>
  <c r="J9" i="16"/>
  <c r="J9" i="2"/>
  <c r="N9" i="16"/>
  <c r="N9" i="2"/>
  <c r="E10" i="16"/>
  <c r="E10" i="2"/>
  <c r="I10" i="16"/>
  <c r="I10" i="2"/>
  <c r="M10" i="16"/>
  <c r="M10" i="2"/>
  <c r="H45" i="16"/>
  <c r="H45" i="2"/>
  <c r="L45" i="16"/>
  <c r="L45" i="2"/>
  <c r="G11" i="16"/>
  <c r="G11" i="2"/>
  <c r="K11" i="16"/>
  <c r="K11" i="2"/>
  <c r="O11" i="16"/>
  <c r="O11" i="2"/>
  <c r="F12" i="16"/>
  <c r="F12" i="2"/>
  <c r="J12" i="16"/>
  <c r="J12" i="2"/>
  <c r="N12" i="16"/>
  <c r="N12" i="2"/>
  <c r="E13" i="16"/>
  <c r="E13" i="2"/>
  <c r="I13" i="16"/>
  <c r="I13" i="2"/>
  <c r="M13" i="16"/>
  <c r="M13" i="2"/>
  <c r="H14" i="16"/>
  <c r="H14" i="2"/>
  <c r="L14" i="16"/>
  <c r="L14" i="2"/>
  <c r="G15" i="16"/>
  <c r="G15" i="2"/>
  <c r="K15" i="16"/>
  <c r="K15" i="2"/>
  <c r="O15" i="16"/>
  <c r="O15" i="2"/>
  <c r="F16" i="16"/>
  <c r="F16" i="2"/>
  <c r="J16" i="16"/>
  <c r="J16" i="2"/>
  <c r="N16" i="16"/>
  <c r="N16" i="2"/>
  <c r="E60" i="16"/>
  <c r="E60" i="2"/>
  <c r="I60" i="16"/>
  <c r="I60" i="2"/>
  <c r="M60" i="16"/>
  <c r="M60" i="2"/>
  <c r="H17" i="16"/>
  <c r="H17" i="2"/>
  <c r="L17" i="16"/>
  <c r="L17" i="2"/>
  <c r="G62" i="16"/>
  <c r="G62" i="2"/>
  <c r="K62" i="16"/>
  <c r="K62" i="2"/>
  <c r="F48" i="16"/>
  <c r="F48" i="2"/>
  <c r="J48" i="16"/>
  <c r="J48" i="2"/>
  <c r="N48" i="16"/>
  <c r="N48" i="2"/>
  <c r="E49" i="16"/>
  <c r="E49" i="2"/>
  <c r="I49" i="16"/>
  <c r="I49" i="2"/>
  <c r="M49" i="16"/>
  <c r="M49" i="2"/>
  <c r="H18" i="16"/>
  <c r="H18" i="2"/>
  <c r="L18" i="16"/>
  <c r="L18" i="2"/>
  <c r="G63" i="16"/>
  <c r="G63" i="2"/>
  <c r="K63" i="16"/>
  <c r="K63" i="2"/>
  <c r="O63" i="16"/>
  <c r="O63" i="2"/>
  <c r="F50" i="16"/>
  <c r="F50" i="2"/>
  <c r="J50" i="16"/>
  <c r="J50" i="2"/>
  <c r="N50" i="16"/>
  <c r="N50" i="2"/>
  <c r="E19" i="16"/>
  <c r="E19" i="2"/>
  <c r="I19" i="16"/>
  <c r="I19" i="2"/>
  <c r="M19" i="16"/>
  <c r="M19" i="2"/>
  <c r="H20" i="16"/>
  <c r="H20" i="2"/>
  <c r="L20" i="16"/>
  <c r="L20" i="2"/>
  <c r="G51" i="16"/>
  <c r="G51" i="2"/>
  <c r="K51" i="16"/>
  <c r="K51" i="2"/>
  <c r="F65" i="16"/>
  <c r="F65" i="2"/>
  <c r="J65" i="16"/>
  <c r="J65" i="2"/>
  <c r="E58" i="16"/>
  <c r="E58" i="2"/>
  <c r="I58" i="16"/>
  <c r="I58" i="2"/>
  <c r="M58" i="16"/>
  <c r="M58" i="2"/>
  <c r="H46" i="16"/>
  <c r="H46" i="2"/>
  <c r="L46" i="16"/>
  <c r="L46" i="2"/>
  <c r="G56" i="16"/>
  <c r="G56" i="2"/>
  <c r="K56" i="16"/>
  <c r="K56" i="2"/>
  <c r="O56" i="16"/>
  <c r="O56" i="2"/>
  <c r="F47" i="16"/>
  <c r="F47" i="2"/>
  <c r="J47" i="16"/>
  <c r="J47" i="2"/>
  <c r="N47" i="16"/>
  <c r="N47" i="2"/>
  <c r="E52" i="16"/>
  <c r="E52" i="2"/>
  <c r="I52" i="16"/>
  <c r="I52" i="2"/>
  <c r="M52" i="16"/>
  <c r="M52" i="2"/>
  <c r="D21" i="16"/>
  <c r="D21" i="2"/>
  <c r="H21" i="16"/>
  <c r="H21" i="2"/>
  <c r="L21" i="16"/>
  <c r="L21" i="2"/>
  <c r="G22" i="16"/>
  <c r="G22" i="2"/>
  <c r="K22" i="16"/>
  <c r="K22" i="2"/>
  <c r="O22" i="16"/>
  <c r="O22" i="2"/>
  <c r="F23" i="16"/>
  <c r="F23" i="2"/>
  <c r="J23" i="16"/>
  <c r="J23" i="2"/>
  <c r="N23" i="16"/>
  <c r="N23" i="2"/>
  <c r="E55" i="16"/>
  <c r="E55" i="2"/>
  <c r="I55" i="16"/>
  <c r="I55" i="2"/>
  <c r="M55" i="16"/>
  <c r="M55" i="2"/>
  <c r="H64" i="16"/>
  <c r="H64" i="2"/>
  <c r="L64" i="16"/>
  <c r="L64" i="2"/>
  <c r="G24" i="16"/>
  <c r="G24" i="2"/>
  <c r="K24" i="16"/>
  <c r="K24" i="2"/>
  <c r="O24" i="16"/>
  <c r="O24" i="2"/>
  <c r="F53" i="16"/>
  <c r="F53" i="2"/>
  <c r="J53" i="16"/>
  <c r="J53" i="2"/>
  <c r="N53" i="16"/>
  <c r="N53" i="2"/>
  <c r="E25" i="16"/>
  <c r="E25" i="2"/>
  <c r="I25" i="16"/>
  <c r="I25" i="2"/>
  <c r="M25" i="16"/>
  <c r="M25" i="2"/>
  <c r="H26" i="16"/>
  <c r="H26" i="2"/>
  <c r="L26" i="16"/>
  <c r="L26" i="2"/>
  <c r="G57" i="16"/>
  <c r="G57" i="2"/>
  <c r="K57" i="16"/>
  <c r="K57" i="2"/>
  <c r="O57" i="16"/>
  <c r="O57" i="2"/>
  <c r="E27" i="16"/>
  <c r="E27" i="2"/>
  <c r="I27" i="16"/>
  <c r="I27" i="2"/>
  <c r="M27" i="16"/>
  <c r="M27" i="2"/>
  <c r="H59" i="16"/>
  <c r="H59" i="2"/>
  <c r="L59" i="16"/>
  <c r="L59" i="2"/>
  <c r="F28" i="16"/>
  <c r="F28" i="2"/>
  <c r="J28" i="16"/>
  <c r="J28" i="2"/>
  <c r="N28" i="16"/>
  <c r="N28" i="2"/>
  <c r="H29" i="16"/>
  <c r="H29" i="2"/>
  <c r="L29" i="16"/>
  <c r="L29" i="2"/>
  <c r="G61" i="16"/>
  <c r="G61" i="2"/>
  <c r="K61" i="16"/>
  <c r="K61" i="2"/>
  <c r="O61" i="16"/>
  <c r="O61" i="2"/>
  <c r="F30" i="16"/>
  <c r="F30" i="2"/>
  <c r="J30" i="16"/>
  <c r="J30" i="2"/>
  <c r="E31" i="16"/>
  <c r="E31" i="2"/>
  <c r="I31" i="16"/>
  <c r="I31" i="2"/>
  <c r="M31" i="16"/>
  <c r="M31" i="2"/>
  <c r="H32" i="16"/>
  <c r="H32" i="2"/>
  <c r="L32" i="16"/>
  <c r="L32" i="2"/>
  <c r="G33" i="16"/>
  <c r="G33" i="2"/>
  <c r="K33" i="16"/>
  <c r="K33" i="2"/>
  <c r="O33" i="16"/>
  <c r="O33" i="2"/>
  <c r="F34" i="16"/>
  <c r="F34" i="2"/>
  <c r="J34" i="16"/>
  <c r="J34" i="2"/>
  <c r="E35" i="16"/>
  <c r="E35" i="2"/>
  <c r="I35" i="16"/>
  <c r="I35" i="2"/>
  <c r="M35" i="16"/>
  <c r="M35" i="2"/>
  <c r="H36" i="16"/>
  <c r="H36" i="2"/>
  <c r="L36" i="16"/>
  <c r="L36" i="2"/>
  <c r="G37" i="16"/>
  <c r="G37" i="2"/>
  <c r="K37" i="16"/>
  <c r="K37" i="2"/>
  <c r="O37" i="16"/>
  <c r="O37" i="2"/>
  <c r="F38" i="16"/>
  <c r="F38" i="2"/>
  <c r="J38" i="16"/>
  <c r="J38" i="2"/>
  <c r="N38" i="16"/>
  <c r="N38" i="2"/>
  <c r="E39" i="16"/>
  <c r="E39" i="2"/>
  <c r="I39" i="16"/>
  <c r="I39" i="2"/>
  <c r="H40" i="16"/>
  <c r="H40" i="2"/>
  <c r="L40" i="16"/>
  <c r="L40" i="2"/>
  <c r="G41" i="16"/>
  <c r="G41" i="2"/>
  <c r="K41" i="16"/>
  <c r="K41" i="2"/>
  <c r="O41" i="16"/>
  <c r="O41" i="2"/>
  <c r="F42" i="16"/>
  <c r="F42" i="2"/>
  <c r="J42" i="16"/>
  <c r="J42" i="2"/>
  <c r="N42" i="16"/>
  <c r="N42" i="2"/>
  <c r="G43" i="16"/>
  <c r="G43" i="2"/>
  <c r="K43" i="16"/>
  <c r="K43" i="2"/>
  <c r="F44" i="16"/>
  <c r="F44" i="2"/>
  <c r="J44" i="16"/>
  <c r="J44" i="2"/>
  <c r="N44" i="16"/>
  <c r="N44" i="2"/>
  <c r="E4" i="16"/>
  <c r="E4" i="2"/>
  <c r="I4" i="16"/>
  <c r="I4" i="2"/>
  <c r="M4" i="16"/>
  <c r="M4" i="2"/>
  <c r="H5" i="16"/>
  <c r="H5" i="2"/>
  <c r="L5" i="16"/>
  <c r="L5" i="2"/>
  <c r="G6" i="16"/>
  <c r="G6" i="2"/>
  <c r="K6" i="16"/>
  <c r="K6" i="2"/>
  <c r="O6" i="16"/>
  <c r="O6" i="2"/>
  <c r="F7" i="16"/>
  <c r="F7" i="2"/>
  <c r="J7" i="16"/>
  <c r="J7" i="2"/>
  <c r="N7" i="16"/>
  <c r="N7" i="2"/>
  <c r="E54" i="16"/>
  <c r="E54" i="2"/>
  <c r="I54" i="16"/>
  <c r="I54" i="2"/>
  <c r="M54" i="16"/>
  <c r="M54" i="2"/>
  <c r="H8" i="16"/>
  <c r="H8" i="2"/>
  <c r="L8" i="16"/>
  <c r="L8" i="2"/>
  <c r="G9" i="16"/>
  <c r="G9" i="2"/>
  <c r="K9" i="16"/>
  <c r="K9" i="2"/>
  <c r="O9" i="16"/>
  <c r="O9" i="2"/>
  <c r="F10" i="16"/>
  <c r="F10" i="2"/>
  <c r="J10" i="16"/>
  <c r="J10" i="2"/>
  <c r="N10" i="16"/>
  <c r="N10" i="2"/>
  <c r="E45" i="16"/>
  <c r="E45" i="2"/>
  <c r="I45" i="16"/>
  <c r="I45" i="2"/>
  <c r="M45" i="16"/>
  <c r="M45" i="2"/>
  <c r="H11" i="16"/>
  <c r="H11" i="2"/>
  <c r="L11" i="16"/>
  <c r="L11" i="2"/>
  <c r="G12" i="16"/>
  <c r="G12" i="2"/>
  <c r="K12" i="16"/>
  <c r="K12" i="2"/>
  <c r="O12" i="16"/>
  <c r="O12" i="2"/>
  <c r="F13" i="16"/>
  <c r="F13" i="2"/>
  <c r="J13" i="16"/>
  <c r="J13" i="2"/>
  <c r="N13" i="16"/>
  <c r="N13" i="2"/>
  <c r="E14" i="16"/>
  <c r="E14" i="2"/>
  <c r="I14" i="16"/>
  <c r="I14" i="2"/>
  <c r="M14" i="16"/>
  <c r="M14" i="2"/>
  <c r="H15" i="16"/>
  <c r="H15" i="2"/>
  <c r="L15" i="16"/>
  <c r="L15" i="2"/>
  <c r="G16" i="16"/>
  <c r="G16" i="2"/>
  <c r="K16" i="16"/>
  <c r="K16" i="2"/>
  <c r="O16" i="16"/>
  <c r="O16" i="2"/>
  <c r="F60" i="16"/>
  <c r="F60" i="2"/>
  <c r="J60" i="16"/>
  <c r="J60" i="2"/>
  <c r="N60" i="16"/>
  <c r="N60" i="2"/>
  <c r="E17" i="16"/>
  <c r="E17" i="2"/>
  <c r="I17" i="16"/>
  <c r="I17" i="2"/>
  <c r="M17" i="16"/>
  <c r="M17" i="2"/>
  <c r="H62" i="16"/>
  <c r="H62" i="2"/>
  <c r="L62" i="16"/>
  <c r="L62" i="2"/>
  <c r="G48" i="16"/>
  <c r="G48" i="2"/>
  <c r="K48" i="16"/>
  <c r="K48" i="2"/>
  <c r="O48" i="16"/>
  <c r="O48" i="2"/>
  <c r="F49" i="16"/>
  <c r="F49" i="2"/>
  <c r="J49" i="16"/>
  <c r="J49" i="2"/>
  <c r="N49" i="16"/>
  <c r="N49" i="2"/>
  <c r="E18" i="16"/>
  <c r="E18" i="2"/>
  <c r="I18" i="16"/>
  <c r="I18" i="2"/>
  <c r="M18" i="16"/>
  <c r="M18" i="2"/>
  <c r="H63" i="16"/>
  <c r="H63" i="2"/>
  <c r="L63" i="16"/>
  <c r="L63" i="2"/>
  <c r="G50" i="16"/>
  <c r="G50" i="2"/>
  <c r="K50" i="16"/>
  <c r="K50" i="2"/>
  <c r="O50" i="16"/>
  <c r="O50" i="2"/>
  <c r="F19" i="16"/>
  <c r="F19" i="2"/>
  <c r="J19" i="16"/>
  <c r="J19" i="2"/>
  <c r="E20" i="16"/>
  <c r="E20" i="2"/>
  <c r="I20" i="16"/>
  <c r="I20" i="2"/>
  <c r="M20" i="16"/>
  <c r="M20" i="2"/>
  <c r="D51" i="16"/>
  <c r="D51" i="2"/>
  <c r="H51" i="16"/>
  <c r="H51" i="2"/>
  <c r="L51" i="16"/>
  <c r="L51" i="2"/>
  <c r="G65" i="16"/>
  <c r="G65" i="2"/>
  <c r="K65" i="16"/>
  <c r="K65" i="2"/>
  <c r="F58" i="16"/>
  <c r="F58" i="2"/>
  <c r="J58" i="16"/>
  <c r="J58" i="2"/>
  <c r="N58" i="16"/>
  <c r="N58" i="2"/>
  <c r="E46" i="16"/>
  <c r="E46" i="2"/>
  <c r="I46" i="16"/>
  <c r="I46" i="2"/>
  <c r="M46" i="16"/>
  <c r="M46" i="2"/>
  <c r="H56" i="16"/>
  <c r="H56" i="2"/>
  <c r="L56" i="16"/>
  <c r="L56" i="2"/>
  <c r="G47" i="16"/>
  <c r="G47" i="2"/>
  <c r="K47" i="16"/>
  <c r="K47" i="2"/>
  <c r="O47" i="16"/>
  <c r="O47" i="2"/>
  <c r="F52" i="16"/>
  <c r="F52" i="2"/>
  <c r="J52" i="16"/>
  <c r="J52" i="2"/>
  <c r="E21" i="16"/>
  <c r="E21" i="2"/>
  <c r="I21" i="16"/>
  <c r="I21" i="2"/>
  <c r="H22" i="16"/>
  <c r="H22" i="2"/>
  <c r="L22" i="16"/>
  <c r="L22" i="2"/>
  <c r="G23" i="16"/>
  <c r="G23" i="2"/>
  <c r="K23" i="16"/>
  <c r="K23" i="2"/>
  <c r="O23" i="16"/>
  <c r="O23" i="2"/>
  <c r="F55" i="16"/>
  <c r="F55" i="2"/>
  <c r="J55" i="16"/>
  <c r="J55" i="2"/>
  <c r="N55" i="16"/>
  <c r="N55" i="2"/>
  <c r="E64" i="16"/>
  <c r="E64" i="2"/>
  <c r="I64" i="16"/>
  <c r="I64" i="2"/>
  <c r="M64" i="16"/>
  <c r="M64" i="2"/>
  <c r="H24" i="16"/>
  <c r="H24" i="2"/>
  <c r="L24" i="16"/>
  <c r="L24" i="2"/>
  <c r="G53" i="16"/>
  <c r="G53" i="2"/>
  <c r="K53" i="16"/>
  <c r="K53" i="2"/>
  <c r="O53" i="16"/>
  <c r="O53" i="2"/>
  <c r="F25" i="16"/>
  <c r="F25" i="2"/>
  <c r="J25" i="16"/>
  <c r="J25" i="2"/>
  <c r="N25" i="16"/>
  <c r="N25" i="2"/>
  <c r="E26" i="16"/>
  <c r="E26" i="2"/>
  <c r="I26" i="16"/>
  <c r="I26" i="2"/>
  <c r="M26" i="16"/>
  <c r="M26" i="2"/>
  <c r="H57" i="16"/>
  <c r="H57" i="2"/>
  <c r="L57" i="16"/>
  <c r="L57" i="2"/>
  <c r="F27" i="16"/>
  <c r="F27" i="2"/>
  <c r="J27" i="16"/>
  <c r="J27" i="2"/>
  <c r="N27" i="16"/>
  <c r="N27" i="2"/>
  <c r="E59" i="16"/>
  <c r="E59" i="2"/>
  <c r="I59" i="16"/>
  <c r="I59" i="2"/>
  <c r="M59" i="16"/>
  <c r="M59" i="2"/>
  <c r="G28" i="16"/>
  <c r="G28" i="2"/>
  <c r="K28" i="16"/>
  <c r="K28" i="2"/>
  <c r="O28" i="16"/>
  <c r="O28" i="2"/>
  <c r="E29" i="16"/>
  <c r="E29" i="2"/>
  <c r="I29" i="16"/>
  <c r="I29" i="2"/>
  <c r="M29" i="16"/>
  <c r="M29" i="2"/>
  <c r="H61" i="16"/>
  <c r="H61" i="2"/>
  <c r="L61" i="16"/>
  <c r="L61" i="2"/>
  <c r="G30" i="16"/>
  <c r="G30" i="2"/>
  <c r="K30" i="16"/>
  <c r="K30" i="2"/>
  <c r="F31" i="16"/>
  <c r="F31" i="2"/>
  <c r="J31" i="16"/>
  <c r="J31" i="2"/>
  <c r="N31" i="16"/>
  <c r="N31" i="2"/>
  <c r="E32" i="16"/>
  <c r="E32" i="2"/>
  <c r="I32" i="16"/>
  <c r="I32" i="2"/>
  <c r="M32" i="16"/>
  <c r="M32" i="2"/>
  <c r="H33" i="16"/>
  <c r="H33" i="2"/>
  <c r="L33" i="16"/>
  <c r="L33" i="2"/>
  <c r="G34" i="16"/>
  <c r="G34" i="2"/>
  <c r="K34" i="16"/>
  <c r="K34" i="2"/>
  <c r="F35" i="16"/>
  <c r="F35" i="2"/>
  <c r="J35" i="16"/>
  <c r="J35" i="2"/>
  <c r="N35" i="16"/>
  <c r="N35" i="2"/>
  <c r="E36" i="16"/>
  <c r="E36" i="2"/>
  <c r="I36" i="16"/>
  <c r="I36" i="2"/>
  <c r="M36" i="16"/>
  <c r="M36" i="2"/>
  <c r="H37" i="16"/>
  <c r="H37" i="2"/>
  <c r="L37" i="16"/>
  <c r="L37" i="2"/>
  <c r="G38" i="16"/>
  <c r="G38" i="2"/>
  <c r="K38" i="16"/>
  <c r="K38" i="2"/>
  <c r="O38" i="16"/>
  <c r="O38" i="2"/>
  <c r="F39" i="16"/>
  <c r="F39" i="2"/>
  <c r="J39" i="16"/>
  <c r="J39" i="2"/>
  <c r="E40" i="16"/>
  <c r="E40" i="2"/>
  <c r="I40" i="16"/>
  <c r="I40" i="2"/>
  <c r="M40" i="16"/>
  <c r="M40" i="2"/>
  <c r="H41" i="16"/>
  <c r="H41" i="2"/>
  <c r="L41" i="16"/>
  <c r="L41" i="2"/>
  <c r="G42" i="16"/>
  <c r="G42" i="2"/>
  <c r="K42" i="16"/>
  <c r="K42" i="2"/>
  <c r="O42" i="16"/>
  <c r="O42" i="2"/>
  <c r="D65" i="16"/>
  <c r="D65" i="2"/>
  <c r="D23" i="16"/>
  <c r="D23" i="2"/>
  <c r="D53" i="16"/>
  <c r="D53" i="2"/>
  <c r="D28" i="16"/>
  <c r="D28" i="2"/>
  <c r="D30" i="16"/>
  <c r="D30" i="2"/>
  <c r="D34" i="16"/>
  <c r="D34" i="2"/>
  <c r="D38" i="16"/>
  <c r="D38" i="2"/>
  <c r="D60" i="16"/>
  <c r="D60" i="2"/>
  <c r="D58" i="16"/>
  <c r="D58" i="2"/>
  <c r="D55" i="16"/>
  <c r="D55" i="2"/>
  <c r="D25" i="16"/>
  <c r="D25" i="2"/>
  <c r="D27" i="16"/>
  <c r="D27" i="2"/>
  <c r="D31" i="16"/>
  <c r="D31" i="2"/>
  <c r="D35" i="16"/>
  <c r="D35" i="2"/>
  <c r="D39" i="16"/>
  <c r="D39" i="2"/>
  <c r="D54" i="16"/>
  <c r="D54" i="2"/>
  <c r="D64" i="16"/>
  <c r="D64" i="2"/>
  <c r="D26" i="16"/>
  <c r="D26" i="2"/>
  <c r="D59" i="16"/>
  <c r="D59" i="2"/>
  <c r="D29" i="16"/>
  <c r="D29" i="2"/>
  <c r="D32" i="16"/>
  <c r="D32" i="2"/>
  <c r="D36" i="16"/>
  <c r="D36" i="2"/>
  <c r="D40" i="16"/>
  <c r="D40" i="2"/>
  <c r="D62" i="16"/>
  <c r="D62" i="2"/>
  <c r="D63" i="16"/>
  <c r="D63" i="2"/>
  <c r="D56" i="16"/>
  <c r="D56" i="2"/>
  <c r="D22" i="16"/>
  <c r="D22" i="2"/>
  <c r="D24" i="16"/>
  <c r="D24" i="2"/>
  <c r="D57" i="16"/>
  <c r="D57" i="2"/>
  <c r="D61" i="16"/>
  <c r="D61" i="2"/>
  <c r="D33" i="16"/>
  <c r="D33" i="2"/>
  <c r="D37" i="16"/>
  <c r="D37" i="2"/>
  <c r="D41" i="16"/>
  <c r="D41" i="2"/>
  <c r="D52" i="16"/>
  <c r="D52" i="2"/>
  <c r="D6" i="16"/>
  <c r="D6" i="2"/>
  <c r="D9" i="16"/>
  <c r="D9" i="2"/>
  <c r="D12" i="16"/>
  <c r="D12" i="2"/>
  <c r="D16" i="16"/>
  <c r="D16" i="2"/>
  <c r="D48" i="16"/>
  <c r="D48" i="2"/>
  <c r="D50" i="16"/>
  <c r="D50" i="2"/>
  <c r="D47" i="16"/>
  <c r="D47" i="2"/>
  <c r="D44" i="16"/>
  <c r="D44" i="2"/>
  <c r="D7" i="16"/>
  <c r="D7" i="2"/>
  <c r="D10" i="16"/>
  <c r="D10" i="2"/>
  <c r="D13" i="16"/>
  <c r="D13" i="2"/>
  <c r="D49" i="16"/>
  <c r="D49" i="2"/>
  <c r="D19" i="16"/>
  <c r="D19" i="2"/>
  <c r="D43" i="16"/>
  <c r="D43" i="2"/>
  <c r="D4" i="16"/>
  <c r="D4" i="2"/>
  <c r="D45" i="16"/>
  <c r="D45" i="2"/>
  <c r="D14" i="16"/>
  <c r="D14" i="2"/>
  <c r="D17" i="16"/>
  <c r="D17" i="2"/>
  <c r="D18" i="16"/>
  <c r="D18" i="2"/>
  <c r="D20" i="16"/>
  <c r="D20" i="2"/>
  <c r="D46" i="16"/>
  <c r="D46" i="2"/>
  <c r="D5" i="16"/>
  <c r="D5" i="2"/>
  <c r="D8" i="16"/>
  <c r="D8" i="2"/>
  <c r="D11" i="16"/>
  <c r="D11" i="2"/>
  <c r="D15" i="16"/>
  <c r="D15" i="2"/>
  <c r="C44" i="16"/>
  <c r="C44" i="2"/>
  <c r="C7" i="16"/>
  <c r="C10" i="16"/>
  <c r="C10" i="2"/>
  <c r="C13" i="16"/>
  <c r="C13" i="2"/>
  <c r="C60" i="16"/>
  <c r="C60" i="2"/>
  <c r="C49" i="16"/>
  <c r="C49" i="2"/>
  <c r="C19" i="16"/>
  <c r="C19" i="2"/>
  <c r="C58" i="16"/>
  <c r="C58" i="2"/>
  <c r="C52" i="16"/>
  <c r="C52" i="2"/>
  <c r="C55" i="16"/>
  <c r="C55" i="2"/>
  <c r="C25" i="16"/>
  <c r="C25" i="2"/>
  <c r="C27" i="16"/>
  <c r="C27" i="2"/>
  <c r="C31" i="16"/>
  <c r="C31" i="2"/>
  <c r="C35" i="16"/>
  <c r="C35" i="2"/>
  <c r="C39" i="16"/>
  <c r="C39" i="2"/>
  <c r="C4" i="16"/>
  <c r="C54" i="16"/>
  <c r="C45" i="16"/>
  <c r="C45" i="2"/>
  <c r="C14" i="16"/>
  <c r="C14" i="2"/>
  <c r="C17" i="16"/>
  <c r="C17" i="2"/>
  <c r="C18" i="16"/>
  <c r="C18" i="2"/>
  <c r="C20" i="16"/>
  <c r="C20" i="2"/>
  <c r="C46" i="16"/>
  <c r="C46" i="2"/>
  <c r="C21" i="16"/>
  <c r="C21" i="2"/>
  <c r="C64" i="16"/>
  <c r="C64" i="2"/>
  <c r="C26" i="16"/>
  <c r="C26" i="2"/>
  <c r="C59" i="16"/>
  <c r="C59" i="2"/>
  <c r="C29" i="16"/>
  <c r="C29" i="2"/>
  <c r="C32" i="16"/>
  <c r="C32" i="2"/>
  <c r="C36" i="16"/>
  <c r="C36" i="2"/>
  <c r="C40" i="16"/>
  <c r="C40" i="2"/>
  <c r="C5" i="16"/>
  <c r="C8" i="16"/>
  <c r="C11" i="16"/>
  <c r="C11" i="2"/>
  <c r="C15" i="16"/>
  <c r="C15" i="2"/>
  <c r="C62" i="16"/>
  <c r="C62" i="2"/>
  <c r="C63" i="16"/>
  <c r="C63" i="2"/>
  <c r="C51" i="16"/>
  <c r="C51" i="2"/>
  <c r="C56" i="16"/>
  <c r="C56" i="2"/>
  <c r="C22" i="16"/>
  <c r="C22" i="2"/>
  <c r="C24" i="16"/>
  <c r="C24" i="2"/>
  <c r="C57" i="16"/>
  <c r="C57" i="2"/>
  <c r="C61" i="16"/>
  <c r="C61" i="2"/>
  <c r="C33" i="16"/>
  <c r="C33" i="2"/>
  <c r="C37" i="16"/>
  <c r="C37" i="2"/>
  <c r="C41" i="16"/>
  <c r="C41" i="2"/>
  <c r="C43" i="16"/>
  <c r="C43" i="2"/>
  <c r="C6" i="16"/>
  <c r="C9" i="16"/>
  <c r="C9" i="2"/>
  <c r="C12" i="16"/>
  <c r="C12" i="2"/>
  <c r="C16" i="16"/>
  <c r="C16" i="2"/>
  <c r="C48" i="16"/>
  <c r="C48" i="2"/>
  <c r="C50" i="16"/>
  <c r="C50" i="2"/>
  <c r="C65" i="16"/>
  <c r="C65" i="2"/>
  <c r="C47" i="16"/>
  <c r="C47" i="2"/>
  <c r="C23" i="16"/>
  <c r="C23" i="2"/>
  <c r="C53" i="16"/>
  <c r="C53" i="2"/>
  <c r="C28" i="16"/>
  <c r="C28" i="2"/>
  <c r="C30" i="16"/>
  <c r="C30" i="2"/>
  <c r="C34" i="16"/>
  <c r="C34" i="2"/>
  <c r="C38" i="16"/>
  <c r="C38" i="2"/>
  <c r="C42" i="16"/>
  <c r="C42" i="2"/>
  <c r="AL61" i="15"/>
  <c r="AL59" i="15"/>
  <c r="AL24" i="15"/>
  <c r="AL103" i="15"/>
  <c r="AL55" i="15"/>
  <c r="AL52" i="15"/>
  <c r="AL102" i="15"/>
  <c r="AL51" i="15"/>
  <c r="AL50" i="15"/>
  <c r="AL49" i="15"/>
  <c r="AL48" i="15"/>
  <c r="AL45" i="15"/>
  <c r="AL44" i="15"/>
  <c r="AL43" i="15"/>
  <c r="AL42" i="15"/>
  <c r="AL41" i="15"/>
  <c r="AL40" i="15"/>
  <c r="AL39" i="15"/>
  <c r="AL38" i="15"/>
  <c r="AL37" i="15"/>
  <c r="AL36" i="15"/>
  <c r="AL35" i="15"/>
  <c r="AL34" i="15"/>
  <c r="AL33" i="15"/>
  <c r="AL32" i="15"/>
  <c r="AL31" i="15"/>
  <c r="AL30" i="15"/>
  <c r="AL29" i="15"/>
  <c r="AL66" i="15"/>
  <c r="AL28" i="15"/>
  <c r="AL57" i="15"/>
  <c r="AL27" i="15"/>
  <c r="AL53" i="15"/>
  <c r="AL64" i="15"/>
  <c r="AL26" i="15"/>
  <c r="AL25" i="15"/>
  <c r="AL47" i="15"/>
  <c r="AL23" i="15"/>
  <c r="AL22" i="15"/>
  <c r="AL21" i="15"/>
  <c r="AL56" i="15"/>
  <c r="AL46" i="15"/>
  <c r="AL58" i="15"/>
  <c r="AL65" i="15"/>
  <c r="AL20" i="15"/>
  <c r="AL19" i="15"/>
  <c r="AL63" i="15"/>
  <c r="AL18" i="15"/>
  <c r="AL62" i="15"/>
  <c r="AL17" i="15"/>
  <c r="AL60" i="15"/>
  <c r="AL16" i="15"/>
  <c r="AL15" i="15"/>
  <c r="AL14" i="15"/>
  <c r="AL13" i="15"/>
  <c r="AL12" i="15"/>
  <c r="AL11" i="15"/>
  <c r="AL10" i="15"/>
  <c r="AL9" i="15"/>
  <c r="AL8" i="15"/>
  <c r="AL54" i="15"/>
  <c r="AL7" i="15"/>
  <c r="AL6" i="15"/>
  <c r="AL5" i="15"/>
  <c r="AL4" i="15"/>
  <c r="AL2" i="15"/>
  <c r="AK61" i="15"/>
  <c r="AK59" i="15"/>
  <c r="AK24" i="15"/>
  <c r="AK103" i="15"/>
  <c r="AK55" i="15"/>
  <c r="AK52" i="15"/>
  <c r="AK102" i="15"/>
  <c r="AK51" i="15"/>
  <c r="AK50" i="15"/>
  <c r="AK49" i="15"/>
  <c r="AK48" i="15"/>
  <c r="AK45" i="15"/>
  <c r="AK44" i="15"/>
  <c r="AK43" i="15"/>
  <c r="AK42" i="15"/>
  <c r="AK41" i="15"/>
  <c r="AK40" i="15"/>
  <c r="AK39" i="15"/>
  <c r="AK38" i="15"/>
  <c r="AK37" i="15"/>
  <c r="AK36" i="15"/>
  <c r="AK35" i="15"/>
  <c r="AK34" i="15"/>
  <c r="AK33" i="15"/>
  <c r="AK32" i="15"/>
  <c r="AK31" i="15"/>
  <c r="AK30" i="15"/>
  <c r="AK29" i="15"/>
  <c r="AK66" i="15"/>
  <c r="AK28" i="15"/>
  <c r="AK57" i="15"/>
  <c r="AK27" i="15"/>
  <c r="AK53" i="15"/>
  <c r="AK64" i="15"/>
  <c r="AK26" i="15"/>
  <c r="AK25" i="15"/>
  <c r="AK47" i="15"/>
  <c r="AK23" i="15"/>
  <c r="AK22" i="15"/>
  <c r="AK21" i="15"/>
  <c r="AK56" i="15"/>
  <c r="AK46" i="15"/>
  <c r="AK58" i="15"/>
  <c r="AK65" i="15"/>
  <c r="AK20" i="15"/>
  <c r="AK19" i="15"/>
  <c r="AK63" i="15"/>
  <c r="AK18" i="15"/>
  <c r="AK62" i="15"/>
  <c r="AK17" i="15"/>
  <c r="AK60" i="15"/>
  <c r="AK16" i="15"/>
  <c r="AK15" i="15"/>
  <c r="AK14" i="15"/>
  <c r="AK13" i="15"/>
  <c r="AK12" i="15"/>
  <c r="AK11" i="15"/>
  <c r="AK10" i="15"/>
  <c r="AK9" i="15"/>
  <c r="AK8" i="15"/>
  <c r="AK54" i="15"/>
  <c r="AK7" i="15"/>
  <c r="AK6" i="15"/>
  <c r="AK5" i="15"/>
  <c r="AK4" i="15"/>
  <c r="AK2" i="15"/>
  <c r="AJ61" i="15"/>
  <c r="AJ59" i="15"/>
  <c r="AJ24" i="15"/>
  <c r="AJ103" i="15"/>
  <c r="AJ55" i="15"/>
  <c r="AJ52" i="15"/>
  <c r="AJ102" i="15"/>
  <c r="AJ51" i="15"/>
  <c r="AJ50" i="15"/>
  <c r="AJ49" i="15"/>
  <c r="AJ48" i="15"/>
  <c r="AJ45" i="15"/>
  <c r="AJ44" i="15"/>
  <c r="AJ43" i="15"/>
  <c r="AJ42" i="15"/>
  <c r="AJ41" i="15"/>
  <c r="AJ40" i="15"/>
  <c r="AJ39" i="15"/>
  <c r="AJ38" i="15"/>
  <c r="AJ37" i="15"/>
  <c r="AJ36" i="15"/>
  <c r="AJ35" i="15"/>
  <c r="AJ34" i="15"/>
  <c r="AJ33" i="15"/>
  <c r="AJ32" i="15"/>
  <c r="AJ31" i="15"/>
  <c r="AJ30" i="15"/>
  <c r="AJ29" i="15"/>
  <c r="AJ66" i="15"/>
  <c r="AJ28" i="15"/>
  <c r="AJ57" i="15"/>
  <c r="AJ27" i="15"/>
  <c r="AJ53" i="15"/>
  <c r="AJ64" i="15"/>
  <c r="AJ26" i="15"/>
  <c r="AJ25" i="15"/>
  <c r="AJ47" i="15"/>
  <c r="AJ23" i="15"/>
  <c r="AJ22" i="15"/>
  <c r="AJ21" i="15"/>
  <c r="AJ56" i="15"/>
  <c r="AJ46" i="15"/>
  <c r="AJ58" i="15"/>
  <c r="AJ65" i="15"/>
  <c r="AJ20" i="15"/>
  <c r="AJ19" i="15"/>
  <c r="AJ63" i="15"/>
  <c r="AJ18" i="15"/>
  <c r="AJ62" i="15"/>
  <c r="AJ17" i="15"/>
  <c r="AJ60" i="15"/>
  <c r="AJ16" i="15"/>
  <c r="AJ15" i="15"/>
  <c r="AJ14" i="15"/>
  <c r="AJ13" i="15"/>
  <c r="AJ12" i="15"/>
  <c r="AJ11" i="15"/>
  <c r="AJ10" i="15"/>
  <c r="AJ9" i="15"/>
  <c r="AJ8" i="15"/>
  <c r="AJ54" i="15"/>
  <c r="AJ7" i="15"/>
  <c r="AJ6" i="15"/>
  <c r="AJ5" i="15"/>
  <c r="AJ4" i="15"/>
  <c r="AI61" i="15"/>
  <c r="AI59" i="15"/>
  <c r="AI24" i="15"/>
  <c r="AI103" i="15"/>
  <c r="AI55" i="15"/>
  <c r="AI52" i="15"/>
  <c r="AI102" i="15"/>
  <c r="AI51" i="15"/>
  <c r="AI50" i="15"/>
  <c r="AI49" i="15"/>
  <c r="AI48" i="15"/>
  <c r="AI45" i="15"/>
  <c r="AI44" i="15"/>
  <c r="AI43" i="15"/>
  <c r="AI42" i="15"/>
  <c r="AI41" i="15"/>
  <c r="AI40" i="15"/>
  <c r="AI39" i="15"/>
  <c r="AI38" i="15"/>
  <c r="AI37" i="15"/>
  <c r="AI36" i="15"/>
  <c r="AI35" i="15"/>
  <c r="AI34" i="15"/>
  <c r="AI33" i="15"/>
  <c r="AI32" i="15"/>
  <c r="AI31" i="15"/>
  <c r="AI30" i="15"/>
  <c r="AI29" i="15"/>
  <c r="AI66" i="15"/>
  <c r="AI28" i="15"/>
  <c r="AI57" i="15"/>
  <c r="AI27" i="15"/>
  <c r="AI53" i="15"/>
  <c r="AI64" i="15"/>
  <c r="AI26" i="15"/>
  <c r="AI25" i="15"/>
  <c r="AI47" i="15"/>
  <c r="AI23" i="15"/>
  <c r="AI22" i="15"/>
  <c r="AI21" i="15"/>
  <c r="AI56" i="15"/>
  <c r="AI46" i="15"/>
  <c r="AI58" i="15"/>
  <c r="AI65" i="15"/>
  <c r="AI20" i="15"/>
  <c r="AI19" i="15"/>
  <c r="AI63" i="15"/>
  <c r="AI18" i="15"/>
  <c r="AI62" i="15"/>
  <c r="AI17" i="15"/>
  <c r="AI60" i="15"/>
  <c r="AI16" i="15"/>
  <c r="AI15" i="15"/>
  <c r="AI14" i="15"/>
  <c r="AI13" i="15"/>
  <c r="AI12" i="15"/>
  <c r="AI11" i="15"/>
  <c r="AI10" i="15"/>
  <c r="AI9" i="15"/>
  <c r="AI8" i="15"/>
  <c r="AI54" i="15"/>
  <c r="AI7" i="15"/>
  <c r="AI6" i="15"/>
  <c r="AI5" i="15"/>
  <c r="AI4" i="15"/>
  <c r="AH61" i="15"/>
  <c r="AH59" i="15"/>
  <c r="AH24" i="15"/>
  <c r="AH103" i="15"/>
  <c r="AH55" i="15"/>
  <c r="AH52" i="15"/>
  <c r="AH102" i="15"/>
  <c r="AH51" i="15"/>
  <c r="AH50" i="15"/>
  <c r="AH49" i="15"/>
  <c r="AH48" i="15"/>
  <c r="AH45" i="15"/>
  <c r="AH44" i="15"/>
  <c r="AH43" i="15"/>
  <c r="AH42" i="15"/>
  <c r="AH41" i="15"/>
  <c r="AH40" i="15"/>
  <c r="AH39" i="15"/>
  <c r="AH38" i="15"/>
  <c r="AH37" i="15"/>
  <c r="AH36" i="15"/>
  <c r="AH35" i="15"/>
  <c r="AH34" i="15"/>
  <c r="AH33" i="15"/>
  <c r="AH32" i="15"/>
  <c r="AH31" i="15"/>
  <c r="AH30" i="15"/>
  <c r="AH29" i="15"/>
  <c r="AH66" i="15"/>
  <c r="AH28" i="15"/>
  <c r="AH57" i="15"/>
  <c r="AH27" i="15"/>
  <c r="AH53" i="15"/>
  <c r="AH64" i="15"/>
  <c r="AH26" i="15"/>
  <c r="AH25" i="15"/>
  <c r="AH47" i="15"/>
  <c r="AH23" i="15"/>
  <c r="AH22" i="15"/>
  <c r="AH21" i="15"/>
  <c r="AH56" i="15"/>
  <c r="AH46" i="15"/>
  <c r="AH58" i="15"/>
  <c r="AH65" i="15"/>
  <c r="AH20" i="15"/>
  <c r="AH19" i="15"/>
  <c r="AH63" i="15"/>
  <c r="AH18" i="15"/>
  <c r="AH62" i="15"/>
  <c r="AH17" i="15"/>
  <c r="AH60" i="15"/>
  <c r="AH16" i="15"/>
  <c r="AH15" i="15"/>
  <c r="AH14" i="15"/>
  <c r="AH13" i="15"/>
  <c r="AH12" i="15"/>
  <c r="AH11" i="15"/>
  <c r="AH10" i="15"/>
  <c r="AH9" i="15"/>
  <c r="AH8" i="15"/>
  <c r="AH54" i="15"/>
  <c r="AH7" i="15"/>
  <c r="AH6" i="15"/>
  <c r="AH5" i="15"/>
  <c r="AH4" i="15"/>
  <c r="AG61" i="15"/>
  <c r="AG59" i="15"/>
  <c r="AG24" i="15"/>
  <c r="AG103" i="15"/>
  <c r="AG55" i="15"/>
  <c r="AG52" i="15"/>
  <c r="AG102" i="15"/>
  <c r="AG51" i="15"/>
  <c r="AG50" i="15"/>
  <c r="AG49" i="15"/>
  <c r="AG48" i="15"/>
  <c r="AG45" i="15"/>
  <c r="AG44" i="15"/>
  <c r="AG43" i="15"/>
  <c r="AG42" i="15"/>
  <c r="AG41" i="15"/>
  <c r="AG40" i="15"/>
  <c r="AG39" i="15"/>
  <c r="AG38" i="15"/>
  <c r="AG37" i="15"/>
  <c r="AG36" i="15"/>
  <c r="AG35" i="15"/>
  <c r="AG34" i="15"/>
  <c r="AG33" i="15"/>
  <c r="AG32" i="15"/>
  <c r="AG31" i="15"/>
  <c r="AG30" i="15"/>
  <c r="AG29" i="15"/>
  <c r="AG66" i="15"/>
  <c r="AG28" i="15"/>
  <c r="AG57" i="15"/>
  <c r="AG27" i="15"/>
  <c r="AG53" i="15"/>
  <c r="AG64" i="15"/>
  <c r="AG26" i="15"/>
  <c r="AG25" i="15"/>
  <c r="AG47" i="15"/>
  <c r="AG23" i="15"/>
  <c r="AG22" i="15"/>
  <c r="AG21" i="15"/>
  <c r="AG56" i="15"/>
  <c r="AG46" i="15"/>
  <c r="AG58" i="15"/>
  <c r="AG65" i="15"/>
  <c r="AG20" i="15"/>
  <c r="AG19" i="15"/>
  <c r="AG63" i="15"/>
  <c r="AG18" i="15"/>
  <c r="AG62" i="15"/>
  <c r="AG17" i="15"/>
  <c r="AG60" i="15"/>
  <c r="AG16" i="15"/>
  <c r="AG15" i="15"/>
  <c r="AG14" i="15"/>
  <c r="AG13" i="15"/>
  <c r="AG12" i="15"/>
  <c r="AG11" i="15"/>
  <c r="AG10" i="15"/>
  <c r="AG9" i="15"/>
  <c r="AG8" i="15"/>
  <c r="AG54" i="15"/>
  <c r="AG7" i="15"/>
  <c r="AG6" i="15"/>
  <c r="AG5" i="15"/>
  <c r="AG4" i="15"/>
  <c r="AF61" i="15"/>
  <c r="AF59" i="15"/>
  <c r="AF24" i="15"/>
  <c r="AF103" i="15"/>
  <c r="AF55" i="15"/>
  <c r="AF52" i="15"/>
  <c r="AF102" i="15"/>
  <c r="AF51" i="15"/>
  <c r="AF50" i="15"/>
  <c r="AF49" i="15"/>
  <c r="AF48" i="15"/>
  <c r="AF45" i="15"/>
  <c r="AF44" i="15"/>
  <c r="AF43" i="15"/>
  <c r="AF42" i="15"/>
  <c r="AF41" i="15"/>
  <c r="AF40" i="15"/>
  <c r="AF39" i="15"/>
  <c r="AF38" i="15"/>
  <c r="AF37" i="15"/>
  <c r="AF36" i="15"/>
  <c r="AF35" i="15"/>
  <c r="AF34" i="15"/>
  <c r="AF33" i="15"/>
  <c r="AF32" i="15"/>
  <c r="AF31" i="15"/>
  <c r="AF30" i="15"/>
  <c r="AF29" i="15"/>
  <c r="AF66" i="15"/>
  <c r="AF28" i="15"/>
  <c r="AF57" i="15"/>
  <c r="AF27" i="15"/>
  <c r="AF53" i="15"/>
  <c r="AF64" i="15"/>
  <c r="AF26" i="15"/>
  <c r="AF25" i="15"/>
  <c r="AF47" i="15"/>
  <c r="AF23" i="15"/>
  <c r="AF22" i="15"/>
  <c r="AF21" i="15"/>
  <c r="AF56" i="15"/>
  <c r="AF46" i="15"/>
  <c r="AF58" i="15"/>
  <c r="AF65" i="15"/>
  <c r="AF20" i="15"/>
  <c r="AF19" i="15"/>
  <c r="AF63" i="15"/>
  <c r="AF18" i="15"/>
  <c r="AF62" i="15"/>
  <c r="AF17" i="15"/>
  <c r="AF60" i="15"/>
  <c r="AF16" i="15"/>
  <c r="AF15" i="15"/>
  <c r="AF14" i="15"/>
  <c r="AF13" i="15"/>
  <c r="AF12" i="15"/>
  <c r="AF11" i="15"/>
  <c r="AF10" i="15"/>
  <c r="AF9" i="15"/>
  <c r="AF8" i="15"/>
  <c r="AF54" i="15"/>
  <c r="AF7" i="15"/>
  <c r="AF6" i="15"/>
  <c r="AF5" i="15"/>
  <c r="AF4" i="15"/>
  <c r="AE61" i="15"/>
  <c r="AE59" i="15"/>
  <c r="AE24" i="15"/>
  <c r="AE103" i="15"/>
  <c r="AE55" i="15"/>
  <c r="AE52" i="15"/>
  <c r="AE102" i="15"/>
  <c r="AE51" i="15"/>
  <c r="AE50" i="15"/>
  <c r="AE49" i="15"/>
  <c r="AE48" i="15"/>
  <c r="AE45" i="15"/>
  <c r="AE44" i="15"/>
  <c r="AE43" i="15"/>
  <c r="AE42" i="15"/>
  <c r="AE41" i="15"/>
  <c r="AE40" i="15"/>
  <c r="AE39" i="15"/>
  <c r="AE38" i="15"/>
  <c r="AE37" i="15"/>
  <c r="AE36" i="15"/>
  <c r="AE35" i="15"/>
  <c r="AE34" i="15"/>
  <c r="AE33" i="15"/>
  <c r="AE32" i="15"/>
  <c r="AE31" i="15"/>
  <c r="AE30" i="15"/>
  <c r="AE29" i="15"/>
  <c r="AE66" i="15"/>
  <c r="AE28" i="15"/>
  <c r="AE57" i="15"/>
  <c r="AE27" i="15"/>
  <c r="AE53" i="15"/>
  <c r="AE64" i="15"/>
  <c r="AE26" i="15"/>
  <c r="AE25" i="15"/>
  <c r="AE47" i="15"/>
  <c r="AE23" i="15"/>
  <c r="AE22" i="15"/>
  <c r="AE21" i="15"/>
  <c r="AE56" i="15"/>
  <c r="AE46" i="15"/>
  <c r="AE58" i="15"/>
  <c r="AE65" i="15"/>
  <c r="AE20" i="15"/>
  <c r="AE19" i="15"/>
  <c r="AE63" i="15"/>
  <c r="AE18" i="15"/>
  <c r="AE62" i="15"/>
  <c r="AE17" i="15"/>
  <c r="AE60" i="15"/>
  <c r="AE16" i="15"/>
  <c r="AE15" i="15"/>
  <c r="AE14" i="15"/>
  <c r="AE13" i="15"/>
  <c r="AE12" i="15"/>
  <c r="AE11" i="15"/>
  <c r="AE10" i="15"/>
  <c r="AE9" i="15"/>
  <c r="AE8" i="15"/>
  <c r="AE54" i="15"/>
  <c r="AE7" i="15"/>
  <c r="AE6" i="15"/>
  <c r="AE5" i="15"/>
  <c r="AE4" i="15"/>
  <c r="AD61" i="15"/>
  <c r="AD59" i="15"/>
  <c r="AD24" i="15"/>
  <c r="AD103" i="15"/>
  <c r="AD55" i="15"/>
  <c r="AD52" i="15"/>
  <c r="AD102" i="15"/>
  <c r="AD51" i="15"/>
  <c r="AD50" i="15"/>
  <c r="AD49" i="15"/>
  <c r="AD48" i="15"/>
  <c r="AD45" i="15"/>
  <c r="AD44" i="15"/>
  <c r="AD43" i="15"/>
  <c r="AD42" i="15"/>
  <c r="AD41" i="15"/>
  <c r="AD40" i="15"/>
  <c r="AD39" i="15"/>
  <c r="AD38" i="15"/>
  <c r="AD37" i="15"/>
  <c r="AD36" i="15"/>
  <c r="AD35" i="15"/>
  <c r="AD34" i="15"/>
  <c r="AD33" i="15"/>
  <c r="AD32" i="15"/>
  <c r="AD31" i="15"/>
  <c r="AD30" i="15"/>
  <c r="AD29" i="15"/>
  <c r="AD66" i="15"/>
  <c r="AD28" i="15"/>
  <c r="AD57" i="15"/>
  <c r="AD27" i="15"/>
  <c r="AD53" i="15"/>
  <c r="AD64" i="15"/>
  <c r="AD26" i="15"/>
  <c r="AD25" i="15"/>
  <c r="AD47" i="15"/>
  <c r="AD23" i="15"/>
  <c r="AD22" i="15"/>
  <c r="AD21" i="15"/>
  <c r="AD56" i="15"/>
  <c r="AD46" i="15"/>
  <c r="AD58" i="15"/>
  <c r="AD65" i="15"/>
  <c r="AD20" i="15"/>
  <c r="AD19" i="15"/>
  <c r="AD63" i="15"/>
  <c r="AD18" i="15"/>
  <c r="AD62" i="15"/>
  <c r="AD17" i="15"/>
  <c r="AD60" i="15"/>
  <c r="AD16" i="15"/>
  <c r="AD15" i="15"/>
  <c r="AD14" i="15"/>
  <c r="AD13" i="15"/>
  <c r="AD12" i="15"/>
  <c r="AD11" i="15"/>
  <c r="AD10" i="15"/>
  <c r="AD9" i="15"/>
  <c r="AD8" i="15"/>
  <c r="AD54" i="15"/>
  <c r="AD7" i="15"/>
  <c r="AD6" i="15"/>
  <c r="AD5" i="15"/>
  <c r="AD4" i="15"/>
  <c r="AC61" i="15"/>
  <c r="AC59" i="15"/>
  <c r="AC24" i="15"/>
  <c r="AC103" i="15"/>
  <c r="AC55" i="15"/>
  <c r="AC52" i="15"/>
  <c r="AC102" i="15"/>
  <c r="AC51" i="15"/>
  <c r="AC50" i="15"/>
  <c r="AC49" i="15"/>
  <c r="AC48" i="15"/>
  <c r="AC45" i="15"/>
  <c r="AC44" i="15"/>
  <c r="AC43" i="15"/>
  <c r="AC42" i="15"/>
  <c r="AC41" i="15"/>
  <c r="AC40" i="15"/>
  <c r="AC39" i="15"/>
  <c r="AC38" i="15"/>
  <c r="AC37" i="15"/>
  <c r="AC36" i="15"/>
  <c r="AC35" i="15"/>
  <c r="AC34" i="15"/>
  <c r="AC33" i="15"/>
  <c r="AC32" i="15"/>
  <c r="AC31" i="15"/>
  <c r="AC30" i="15"/>
  <c r="AC29" i="15"/>
  <c r="AC66" i="15"/>
  <c r="AC28" i="15"/>
  <c r="AC57" i="15"/>
  <c r="AC27" i="15"/>
  <c r="AC53" i="15"/>
  <c r="AC64" i="15"/>
  <c r="AC26" i="15"/>
  <c r="AC25" i="15"/>
  <c r="AC47" i="15"/>
  <c r="AC23" i="15"/>
  <c r="AC22" i="15"/>
  <c r="AC21" i="15"/>
  <c r="AC56" i="15"/>
  <c r="AC46" i="15"/>
  <c r="AC58" i="15"/>
  <c r="AC65" i="15"/>
  <c r="AC20" i="15"/>
  <c r="AC19" i="15"/>
  <c r="AC63" i="15"/>
  <c r="AC18" i="15"/>
  <c r="AC62" i="15"/>
  <c r="AC17" i="15"/>
  <c r="AC60" i="15"/>
  <c r="AC16" i="15"/>
  <c r="AC15" i="15"/>
  <c r="AC14" i="15"/>
  <c r="AC13" i="15"/>
  <c r="AC12" i="15"/>
  <c r="AC11" i="15"/>
  <c r="AC10" i="15"/>
  <c r="AC9" i="15"/>
  <c r="AC8" i="15"/>
  <c r="AC54" i="15"/>
  <c r="AC7" i="15"/>
  <c r="AC6" i="15"/>
  <c r="AC5" i="15"/>
  <c r="AC4" i="15"/>
  <c r="AB61" i="15"/>
  <c r="AB59" i="15"/>
  <c r="AB24" i="15"/>
  <c r="AB103" i="15"/>
  <c r="AB55" i="15"/>
  <c r="AB52" i="15"/>
  <c r="AB102" i="15"/>
  <c r="AB51" i="15"/>
  <c r="AB50" i="15"/>
  <c r="AB49" i="15"/>
  <c r="AB48" i="15"/>
  <c r="AB45" i="15"/>
  <c r="AB44" i="15"/>
  <c r="AB43" i="15"/>
  <c r="AB42" i="15"/>
  <c r="AB41" i="15"/>
  <c r="AB40" i="15"/>
  <c r="AB39" i="15"/>
  <c r="AB38" i="15"/>
  <c r="AB37" i="15"/>
  <c r="AB36" i="15"/>
  <c r="AB35" i="15"/>
  <c r="AB34" i="15"/>
  <c r="AB33" i="15"/>
  <c r="AB32" i="15"/>
  <c r="AB31" i="15"/>
  <c r="AB30" i="15"/>
  <c r="AB29" i="15"/>
  <c r="AB66" i="15"/>
  <c r="AB28" i="15"/>
  <c r="AB57" i="15"/>
  <c r="AB27" i="15"/>
  <c r="AB53" i="15"/>
  <c r="AB64" i="15"/>
  <c r="AB26" i="15"/>
  <c r="AB25" i="15"/>
  <c r="AB47" i="15"/>
  <c r="AB23" i="15"/>
  <c r="AB22" i="15"/>
  <c r="AB21" i="15"/>
  <c r="AB56" i="15"/>
  <c r="AB46" i="15"/>
  <c r="AB58" i="15"/>
  <c r="AB65" i="15"/>
  <c r="AB20" i="15"/>
  <c r="AB19" i="15"/>
  <c r="AB63" i="15"/>
  <c r="AB18" i="15"/>
  <c r="AB62" i="15"/>
  <c r="AB17" i="15"/>
  <c r="AB60" i="15"/>
  <c r="AB16" i="15"/>
  <c r="AB15" i="15"/>
  <c r="AB14" i="15"/>
  <c r="AB13" i="15"/>
  <c r="AB12" i="15"/>
  <c r="AB11" i="15"/>
  <c r="AB10" i="15"/>
  <c r="AB9" i="15"/>
  <c r="AB8" i="15"/>
  <c r="AB54" i="15"/>
  <c r="AB7" i="15"/>
  <c r="AB6" i="15"/>
  <c r="AB5" i="15"/>
  <c r="AB4" i="15"/>
  <c r="AA61" i="15"/>
  <c r="AA59" i="15"/>
  <c r="AA24" i="15"/>
  <c r="AA103" i="15"/>
  <c r="AA55" i="15"/>
  <c r="AA52" i="15"/>
  <c r="AA102" i="15"/>
  <c r="AA51" i="15"/>
  <c r="AA50" i="15"/>
  <c r="AA49" i="15"/>
  <c r="AA48" i="15"/>
  <c r="AA45" i="15"/>
  <c r="AA44" i="15"/>
  <c r="AA43" i="15"/>
  <c r="AA42" i="15"/>
  <c r="AA41" i="15"/>
  <c r="AA40" i="15"/>
  <c r="AA39" i="15"/>
  <c r="AA38" i="15"/>
  <c r="AA37" i="15"/>
  <c r="AA36" i="15"/>
  <c r="AA35" i="15"/>
  <c r="AA34" i="15"/>
  <c r="AA33" i="15"/>
  <c r="AA32" i="15"/>
  <c r="AA31" i="15"/>
  <c r="AA30" i="15"/>
  <c r="AA29" i="15"/>
  <c r="AA66" i="15"/>
  <c r="AA28" i="15"/>
  <c r="AA57" i="15"/>
  <c r="AA27" i="15"/>
  <c r="AA53" i="15"/>
  <c r="AA64" i="15"/>
  <c r="AA26" i="15"/>
  <c r="AA25" i="15"/>
  <c r="AA47" i="15"/>
  <c r="AA23" i="15"/>
  <c r="AA22" i="15"/>
  <c r="AA21" i="15"/>
  <c r="AA56" i="15"/>
  <c r="AA46" i="15"/>
  <c r="AA58" i="15"/>
  <c r="AA65" i="15"/>
  <c r="AA20" i="15"/>
  <c r="AA19" i="15"/>
  <c r="AA63" i="15"/>
  <c r="AA18" i="15"/>
  <c r="AA62" i="15"/>
  <c r="AA17" i="15"/>
  <c r="AA60" i="15"/>
  <c r="AA16" i="15"/>
  <c r="AA15" i="15"/>
  <c r="AA14" i="15"/>
  <c r="AA13" i="15"/>
  <c r="AA12" i="15"/>
  <c r="AA11" i="15"/>
  <c r="AA10" i="15"/>
  <c r="AA9" i="15"/>
  <c r="AA8" i="15"/>
  <c r="AA54" i="15"/>
  <c r="AA7" i="15"/>
  <c r="AA6" i="15"/>
  <c r="AA5" i="15"/>
  <c r="AA4" i="15"/>
  <c r="Z5" i="15"/>
  <c r="Z6" i="15"/>
  <c r="Z7" i="15"/>
  <c r="Z54" i="15"/>
  <c r="Z8" i="15"/>
  <c r="Z9" i="15"/>
  <c r="Z10" i="15"/>
  <c r="Z11" i="15"/>
  <c r="Z12" i="15"/>
  <c r="Z13" i="15"/>
  <c r="Z14" i="15"/>
  <c r="Z15" i="15"/>
  <c r="Z16" i="15"/>
  <c r="Z60" i="15"/>
  <c r="Z17" i="15"/>
  <c r="Z62" i="15"/>
  <c r="Z18" i="15"/>
  <c r="Z63" i="15"/>
  <c r="Z19" i="15"/>
  <c r="Z20" i="15"/>
  <c r="Z65" i="15"/>
  <c r="Z58" i="15"/>
  <c r="Z46" i="15"/>
  <c r="Z56" i="15"/>
  <c r="Z21" i="15"/>
  <c r="Z22" i="15"/>
  <c r="Z23" i="15"/>
  <c r="Z47" i="15"/>
  <c r="Z25" i="15"/>
  <c r="Z26" i="15"/>
  <c r="Z64" i="15"/>
  <c r="Z53" i="15"/>
  <c r="Z27" i="15"/>
  <c r="Z57" i="15"/>
  <c r="Z28" i="15"/>
  <c r="Z66" i="15"/>
  <c r="Z29" i="15"/>
  <c r="Z30" i="15"/>
  <c r="Z31" i="15"/>
  <c r="Z32" i="15"/>
  <c r="Z33" i="15"/>
  <c r="Z34" i="15"/>
  <c r="Z35" i="15"/>
  <c r="Z36" i="15"/>
  <c r="Z37" i="15"/>
  <c r="Z38" i="15"/>
  <c r="Z39" i="15"/>
  <c r="Z40" i="15"/>
  <c r="Z41" i="15"/>
  <c r="Z42" i="15"/>
  <c r="Z43" i="15"/>
  <c r="Z44" i="15"/>
  <c r="Z45" i="15"/>
  <c r="Z48" i="15"/>
  <c r="Z49" i="15"/>
  <c r="Z50" i="15"/>
  <c r="Z51" i="15"/>
  <c r="Z102" i="15"/>
  <c r="Z52" i="15"/>
  <c r="Z55" i="15"/>
  <c r="Z103" i="15"/>
  <c r="Z24" i="15"/>
  <c r="Z59" i="15"/>
  <c r="Z61" i="15"/>
  <c r="Z4" i="15"/>
  <c r="W61" i="15"/>
  <c r="U61" i="15"/>
  <c r="T61" i="15"/>
  <c r="AO60" i="1" s="1"/>
  <c r="W59" i="15"/>
  <c r="U59" i="15"/>
  <c r="T59" i="15"/>
  <c r="AO58" i="1" s="1"/>
  <c r="W24" i="15"/>
  <c r="U24" i="15"/>
  <c r="T24" i="15"/>
  <c r="AO23" i="1" s="1"/>
  <c r="W103" i="15"/>
  <c r="T103" i="15"/>
  <c r="W55" i="15"/>
  <c r="U55" i="15"/>
  <c r="T55" i="15"/>
  <c r="AO54" i="1" s="1"/>
  <c r="W52" i="15"/>
  <c r="U52" i="15"/>
  <c r="T52" i="15"/>
  <c r="AO51" i="1" s="1"/>
  <c r="W102" i="15"/>
  <c r="T102" i="15"/>
  <c r="W51" i="15"/>
  <c r="T51" i="15"/>
  <c r="AO50" i="1" s="1"/>
  <c r="W50" i="15"/>
  <c r="U50" i="15"/>
  <c r="T50" i="15"/>
  <c r="AO49" i="1" s="1"/>
  <c r="W49" i="15"/>
  <c r="U49" i="15"/>
  <c r="T49" i="15"/>
  <c r="AO48" i="1" s="1"/>
  <c r="W48" i="15"/>
  <c r="U48" i="15"/>
  <c r="T48" i="15"/>
  <c r="AO47" i="1" s="1"/>
  <c r="W45" i="15"/>
  <c r="U45" i="15"/>
  <c r="T45" i="15"/>
  <c r="AO44" i="1" s="1"/>
  <c r="W44" i="15"/>
  <c r="U44" i="15"/>
  <c r="T44" i="15"/>
  <c r="AO43" i="1" s="1"/>
  <c r="W43" i="15"/>
  <c r="U43" i="15"/>
  <c r="T43" i="15"/>
  <c r="AO42" i="1" s="1"/>
  <c r="W42" i="15"/>
  <c r="V42" i="15"/>
  <c r="U42" i="15" s="1"/>
  <c r="T42" i="15"/>
  <c r="AO41" i="1" s="1"/>
  <c r="W41" i="15"/>
  <c r="U41" i="15"/>
  <c r="T41" i="15"/>
  <c r="AO40" i="1" s="1"/>
  <c r="W40" i="15"/>
  <c r="U40" i="15"/>
  <c r="T40" i="15"/>
  <c r="AO39" i="1" s="1"/>
  <c r="W39" i="15"/>
  <c r="U39" i="15"/>
  <c r="T39" i="15"/>
  <c r="AO38" i="1" s="1"/>
  <c r="W38" i="15"/>
  <c r="U38" i="15"/>
  <c r="T38" i="15"/>
  <c r="AO37" i="1" s="1"/>
  <c r="W37" i="15"/>
  <c r="U37" i="15"/>
  <c r="T37" i="15"/>
  <c r="AO36" i="1" s="1"/>
  <c r="W36" i="15"/>
  <c r="U36" i="15"/>
  <c r="T36" i="15"/>
  <c r="AO35" i="1" s="1"/>
  <c r="W35" i="15"/>
  <c r="U35" i="15"/>
  <c r="T35" i="15"/>
  <c r="AO34" i="1" s="1"/>
  <c r="W34" i="15"/>
  <c r="U34" i="15"/>
  <c r="T34" i="15"/>
  <c r="AO33" i="1" s="1"/>
  <c r="W33" i="15"/>
  <c r="U33" i="15"/>
  <c r="T33" i="15"/>
  <c r="AO32" i="1" s="1"/>
  <c r="W32" i="15"/>
  <c r="U32" i="15"/>
  <c r="T32" i="15"/>
  <c r="AO31" i="1" s="1"/>
  <c r="W31" i="15"/>
  <c r="U31" i="15"/>
  <c r="T31" i="15"/>
  <c r="AO30" i="1" s="1"/>
  <c r="W30" i="15"/>
  <c r="U30" i="15"/>
  <c r="T30" i="15"/>
  <c r="AO29" i="1" s="1"/>
  <c r="W29" i="15"/>
  <c r="U29" i="15"/>
  <c r="T29" i="15"/>
  <c r="AO28" i="1" s="1"/>
  <c r="W66" i="15"/>
  <c r="T66" i="15"/>
  <c r="W28" i="15"/>
  <c r="U28" i="15"/>
  <c r="T28" i="15"/>
  <c r="AO27" i="1" s="1"/>
  <c r="W57" i="15"/>
  <c r="T57" i="15"/>
  <c r="AO56" i="1" s="1"/>
  <c r="W27" i="15"/>
  <c r="U27" i="15"/>
  <c r="T27" i="15"/>
  <c r="AO26" i="1" s="1"/>
  <c r="W53" i="15"/>
  <c r="T53" i="15"/>
  <c r="AO52" i="1" s="1"/>
  <c r="W64" i="15"/>
  <c r="T64" i="15"/>
  <c r="AO63" i="1" s="1"/>
  <c r="W26" i="15"/>
  <c r="U26" i="15"/>
  <c r="T26" i="15"/>
  <c r="AO25" i="1" s="1"/>
  <c r="W25" i="15"/>
  <c r="U25" i="15"/>
  <c r="T25" i="15"/>
  <c r="AO24" i="1" s="1"/>
  <c r="W47" i="15"/>
  <c r="T47" i="15"/>
  <c r="AO46" i="1" s="1"/>
  <c r="W23" i="15"/>
  <c r="U23" i="15"/>
  <c r="T23" i="15"/>
  <c r="AO22" i="1" s="1"/>
  <c r="W22" i="15"/>
  <c r="U22" i="15"/>
  <c r="T22" i="15"/>
  <c r="AO21" i="1" s="1"/>
  <c r="W21" i="15"/>
  <c r="T21" i="15"/>
  <c r="AO20" i="1" s="1"/>
  <c r="W56" i="15"/>
  <c r="T56" i="15"/>
  <c r="AO55" i="1" s="1"/>
  <c r="W46" i="15"/>
  <c r="T46" i="15"/>
  <c r="AO45" i="1" s="1"/>
  <c r="W58" i="15"/>
  <c r="T58" i="15"/>
  <c r="AO57" i="1" s="1"/>
  <c r="W65" i="15"/>
  <c r="T65" i="15"/>
  <c r="AO64" i="1" s="1"/>
  <c r="W20" i="15"/>
  <c r="U20" i="15"/>
  <c r="T20" i="15"/>
  <c r="AO19" i="1" s="1"/>
  <c r="W19" i="15"/>
  <c r="U19" i="15"/>
  <c r="T19" i="15"/>
  <c r="AO18" i="1" s="1"/>
  <c r="W63" i="15"/>
  <c r="T63" i="15"/>
  <c r="AO62" i="1" s="1"/>
  <c r="W18" i="15"/>
  <c r="U18" i="15"/>
  <c r="T18" i="15"/>
  <c r="AO17" i="1" s="1"/>
  <c r="W62" i="15"/>
  <c r="T62" i="15"/>
  <c r="AO61" i="1" s="1"/>
  <c r="W17" i="15"/>
  <c r="U17" i="15"/>
  <c r="T17" i="15"/>
  <c r="AO16" i="1" s="1"/>
  <c r="W60" i="15"/>
  <c r="T60" i="15"/>
  <c r="AO59" i="1" s="1"/>
  <c r="W16" i="15"/>
  <c r="U16" i="15"/>
  <c r="T16" i="15"/>
  <c r="AO15" i="1" s="1"/>
  <c r="W15" i="15"/>
  <c r="U15" i="15"/>
  <c r="T15" i="15"/>
  <c r="AO14" i="1" s="1"/>
  <c r="W14" i="15"/>
  <c r="U14" i="15"/>
  <c r="T14" i="15"/>
  <c r="AO13" i="1" s="1"/>
  <c r="W13" i="15"/>
  <c r="U13" i="15"/>
  <c r="T13" i="15"/>
  <c r="AO12" i="1" s="1"/>
  <c r="W12" i="15"/>
  <c r="U12" i="15"/>
  <c r="T12" i="15"/>
  <c r="AO11" i="1" s="1"/>
  <c r="W11" i="15"/>
  <c r="U11" i="15"/>
  <c r="T11" i="15"/>
  <c r="AO10" i="1" s="1"/>
  <c r="W10" i="15"/>
  <c r="U10" i="15"/>
  <c r="T10" i="15"/>
  <c r="AO9" i="1" s="1"/>
  <c r="W9" i="15"/>
  <c r="U9" i="15"/>
  <c r="T9" i="15"/>
  <c r="AO8" i="1" s="1"/>
  <c r="W8" i="15"/>
  <c r="U8" i="15"/>
  <c r="T8" i="15"/>
  <c r="AO7" i="1" s="1"/>
  <c r="W54" i="15"/>
  <c r="T54" i="15"/>
  <c r="AO53" i="1" s="1"/>
  <c r="W7" i="15"/>
  <c r="U7" i="15"/>
  <c r="T7" i="15"/>
  <c r="AO6" i="1" s="1"/>
  <c r="W6" i="15"/>
  <c r="U6" i="15"/>
  <c r="T6" i="15"/>
  <c r="AO5" i="1" s="1"/>
  <c r="W5" i="15"/>
  <c r="U5" i="15"/>
  <c r="T5" i="15"/>
  <c r="AO4" i="1" s="1"/>
  <c r="W4" i="15"/>
  <c r="U4" i="15"/>
  <c r="T4" i="15"/>
  <c r="AO3" i="1" s="1"/>
  <c r="AJ2" i="15"/>
  <c r="AI2" i="15"/>
  <c r="AH2" i="15"/>
  <c r="AG2" i="15"/>
  <c r="AF2" i="15"/>
  <c r="AE2" i="15"/>
  <c r="AD2" i="15"/>
  <c r="AC2" i="15"/>
  <c r="AB2" i="15"/>
  <c r="AA2" i="15"/>
  <c r="Z2" i="15"/>
  <c r="W2" i="15"/>
  <c r="V2" i="15"/>
  <c r="U2" i="15"/>
  <c r="AJ61" i="14"/>
  <c r="AI61" i="14"/>
  <c r="AH61" i="14"/>
  <c r="AG61" i="14"/>
  <c r="AF61" i="14"/>
  <c r="AE61" i="14"/>
  <c r="AD61" i="14"/>
  <c r="AC61" i="14"/>
  <c r="AB61" i="14"/>
  <c r="AA61" i="14"/>
  <c r="Z61" i="14"/>
  <c r="Y61" i="14"/>
  <c r="V61" i="14"/>
  <c r="U61" i="14" s="1"/>
  <c r="T61" i="14"/>
  <c r="S61" i="14"/>
  <c r="U60" i="1" s="1"/>
  <c r="AJ59" i="14"/>
  <c r="AI59" i="14"/>
  <c r="AH59" i="14"/>
  <c r="AG59" i="14"/>
  <c r="AF59" i="14"/>
  <c r="AE59" i="14"/>
  <c r="AD59" i="14"/>
  <c r="AC59" i="14"/>
  <c r="AB59" i="14"/>
  <c r="AA59" i="14"/>
  <c r="Z59" i="14"/>
  <c r="Y59" i="14"/>
  <c r="V59" i="14"/>
  <c r="U59" i="14" s="1"/>
  <c r="T59" i="14"/>
  <c r="S59" i="14"/>
  <c r="U58" i="1" s="1"/>
  <c r="AJ24" i="14"/>
  <c r="AI24" i="14"/>
  <c r="AH24" i="14"/>
  <c r="AG24" i="14"/>
  <c r="AF24" i="14"/>
  <c r="AE24" i="14"/>
  <c r="AD24" i="14"/>
  <c r="AC24" i="14"/>
  <c r="AB24" i="14"/>
  <c r="AA24" i="14"/>
  <c r="Z24" i="14"/>
  <c r="Y24" i="14"/>
  <c r="V24" i="14"/>
  <c r="U24" i="14" s="1"/>
  <c r="T24" i="14"/>
  <c r="S24" i="14"/>
  <c r="U23" i="1" s="1"/>
  <c r="AJ103" i="14"/>
  <c r="AI103" i="14"/>
  <c r="AH103" i="14"/>
  <c r="AG103" i="14"/>
  <c r="AF103" i="14"/>
  <c r="AE103" i="14"/>
  <c r="AD103" i="14"/>
  <c r="AC103" i="14"/>
  <c r="AB103" i="14"/>
  <c r="AA103" i="14"/>
  <c r="Z103" i="14"/>
  <c r="Y103" i="14"/>
  <c r="V103" i="14"/>
  <c r="U103" i="14" s="1"/>
  <c r="T103" i="14" s="1"/>
  <c r="S103" i="14"/>
  <c r="AJ55" i="14"/>
  <c r="AI55" i="14"/>
  <c r="AH55" i="14"/>
  <c r="AG55" i="14"/>
  <c r="AF55" i="14"/>
  <c r="AE55" i="14"/>
  <c r="AD55" i="14"/>
  <c r="AC55" i="14"/>
  <c r="AB55" i="14"/>
  <c r="AA55" i="14"/>
  <c r="Z55" i="14"/>
  <c r="Y55" i="14"/>
  <c r="V55" i="14"/>
  <c r="U55" i="14" s="1"/>
  <c r="T55" i="14"/>
  <c r="S55" i="14"/>
  <c r="U54" i="1" s="1"/>
  <c r="AJ52" i="14"/>
  <c r="AI52" i="14"/>
  <c r="AH52" i="14"/>
  <c r="AG52" i="14"/>
  <c r="AF52" i="14"/>
  <c r="AE52" i="14"/>
  <c r="AD52" i="14"/>
  <c r="AC52" i="14"/>
  <c r="AB52" i="14"/>
  <c r="AA52" i="14"/>
  <c r="Z52" i="14"/>
  <c r="Y52" i="14"/>
  <c r="V52" i="14"/>
  <c r="U52" i="14" s="1"/>
  <c r="T52" i="14"/>
  <c r="S52" i="14"/>
  <c r="U51" i="1" s="1"/>
  <c r="AJ102" i="14"/>
  <c r="AI102" i="14"/>
  <c r="AH102" i="14"/>
  <c r="AG102" i="14"/>
  <c r="AF102" i="14"/>
  <c r="AE102" i="14"/>
  <c r="AD102" i="14"/>
  <c r="AC102" i="14"/>
  <c r="AB102" i="14"/>
  <c r="AA102" i="14"/>
  <c r="Z102" i="14"/>
  <c r="Y102" i="14"/>
  <c r="V102" i="14"/>
  <c r="U102" i="14" s="1"/>
  <c r="T102" i="14" s="1"/>
  <c r="S102" i="14"/>
  <c r="AJ51" i="14"/>
  <c r="AI51" i="14"/>
  <c r="AH51" i="14"/>
  <c r="AG51" i="14"/>
  <c r="AF51" i="14"/>
  <c r="AE51" i="14"/>
  <c r="AD51" i="14"/>
  <c r="AC51" i="14"/>
  <c r="AB51" i="14"/>
  <c r="AA51" i="14"/>
  <c r="Z51" i="14"/>
  <c r="Y51" i="14"/>
  <c r="V51" i="14"/>
  <c r="U51" i="14" s="1"/>
  <c r="T51" i="14" s="1"/>
  <c r="S51" i="14"/>
  <c r="U50" i="1" s="1"/>
  <c r="AJ50" i="14"/>
  <c r="AI50" i="14"/>
  <c r="AH50" i="14"/>
  <c r="AG50" i="14"/>
  <c r="AF50" i="14"/>
  <c r="AE50" i="14"/>
  <c r="AD50" i="14"/>
  <c r="AC50" i="14"/>
  <c r="AB50" i="14"/>
  <c r="AA50" i="14"/>
  <c r="Z50" i="14"/>
  <c r="Y50" i="14"/>
  <c r="V50" i="14"/>
  <c r="U50" i="14" s="1"/>
  <c r="T50" i="14"/>
  <c r="S50" i="14"/>
  <c r="U49" i="1" s="1"/>
  <c r="AJ49" i="14"/>
  <c r="AI49" i="14"/>
  <c r="AH49" i="14"/>
  <c r="AG49" i="14"/>
  <c r="AF49" i="14"/>
  <c r="AE49" i="14"/>
  <c r="AD49" i="14"/>
  <c r="AC49" i="14"/>
  <c r="AB49" i="14"/>
  <c r="AA49" i="14"/>
  <c r="Z49" i="14"/>
  <c r="Y49" i="14"/>
  <c r="V49" i="14"/>
  <c r="U49" i="14" s="1"/>
  <c r="T49" i="14"/>
  <c r="S49" i="14"/>
  <c r="U48" i="1" s="1"/>
  <c r="AJ48" i="14"/>
  <c r="AI48" i="14"/>
  <c r="AH48" i="14"/>
  <c r="AG48" i="14"/>
  <c r="AF48" i="14"/>
  <c r="AE48" i="14"/>
  <c r="AD48" i="14"/>
  <c r="AC48" i="14"/>
  <c r="AB48" i="14"/>
  <c r="AA48" i="14"/>
  <c r="Z48" i="14"/>
  <c r="Y48" i="14"/>
  <c r="V48" i="14"/>
  <c r="U48" i="14" s="1"/>
  <c r="T48" i="14"/>
  <c r="S48" i="14"/>
  <c r="U47" i="1" s="1"/>
  <c r="AJ45" i="14"/>
  <c r="AI45" i="14"/>
  <c r="AH45" i="14"/>
  <c r="AG45" i="14"/>
  <c r="AF45" i="14"/>
  <c r="AE45" i="14"/>
  <c r="AD45" i="14"/>
  <c r="AC45" i="14"/>
  <c r="AB45" i="14"/>
  <c r="AA45" i="14"/>
  <c r="Z45" i="14"/>
  <c r="Y45" i="14"/>
  <c r="V45" i="14"/>
  <c r="U45" i="14" s="1"/>
  <c r="T45" i="14"/>
  <c r="S45" i="14"/>
  <c r="U44" i="1" s="1"/>
  <c r="AJ44" i="14"/>
  <c r="AI44" i="14"/>
  <c r="AH44" i="14"/>
  <c r="AG44" i="14"/>
  <c r="AF44" i="14"/>
  <c r="AE44" i="14"/>
  <c r="AD44" i="14"/>
  <c r="AC44" i="14"/>
  <c r="AB44" i="14"/>
  <c r="AA44" i="14"/>
  <c r="Z44" i="14"/>
  <c r="Y44" i="14"/>
  <c r="V44" i="14"/>
  <c r="U44" i="14" s="1"/>
  <c r="T44" i="14"/>
  <c r="S44" i="14"/>
  <c r="U43" i="1" s="1"/>
  <c r="AJ43" i="14"/>
  <c r="AI43" i="14"/>
  <c r="AH43" i="14"/>
  <c r="AG43" i="14"/>
  <c r="AF43" i="14"/>
  <c r="AE43" i="14"/>
  <c r="AD43" i="14"/>
  <c r="AC43" i="14"/>
  <c r="AB43" i="14"/>
  <c r="AA43" i="14"/>
  <c r="Z43" i="14"/>
  <c r="Y43" i="14"/>
  <c r="V43" i="14"/>
  <c r="U43" i="14" s="1"/>
  <c r="T43" i="14"/>
  <c r="S43" i="14"/>
  <c r="U42" i="1" s="1"/>
  <c r="AJ42" i="14"/>
  <c r="AI42" i="14"/>
  <c r="AH42" i="14"/>
  <c r="AG42" i="14"/>
  <c r="AF42" i="14"/>
  <c r="AE42" i="14"/>
  <c r="AD42" i="14"/>
  <c r="AC42" i="14"/>
  <c r="AB42" i="14"/>
  <c r="AA42" i="14"/>
  <c r="Z42" i="14"/>
  <c r="Y42" i="14"/>
  <c r="V42" i="14"/>
  <c r="U42" i="14"/>
  <c r="T42" i="14" s="1"/>
  <c r="S42" i="14"/>
  <c r="U41" i="1" s="1"/>
  <c r="AJ41" i="14"/>
  <c r="AI41" i="14"/>
  <c r="AH41" i="14"/>
  <c r="AG41" i="14"/>
  <c r="AF41" i="14"/>
  <c r="AE41" i="14"/>
  <c r="AD41" i="14"/>
  <c r="AC41" i="14"/>
  <c r="AB41" i="14"/>
  <c r="AA41" i="14"/>
  <c r="Z41" i="14"/>
  <c r="Y41" i="14"/>
  <c r="V41" i="14"/>
  <c r="U41" i="14" s="1"/>
  <c r="T41" i="14"/>
  <c r="S41" i="14"/>
  <c r="U40" i="1" s="1"/>
  <c r="AJ40" i="14"/>
  <c r="AI40" i="14"/>
  <c r="AH40" i="14"/>
  <c r="AG40" i="14"/>
  <c r="AF40" i="14"/>
  <c r="AE40" i="14"/>
  <c r="AD40" i="14"/>
  <c r="AC40" i="14"/>
  <c r="AB40" i="14"/>
  <c r="AA40" i="14"/>
  <c r="Z40" i="14"/>
  <c r="Y40" i="14"/>
  <c r="V40" i="14"/>
  <c r="U40" i="14" s="1"/>
  <c r="T40" i="14"/>
  <c r="S40" i="14"/>
  <c r="U39" i="1" s="1"/>
  <c r="AJ39" i="14"/>
  <c r="AI39" i="14"/>
  <c r="AH39" i="14"/>
  <c r="AG39" i="14"/>
  <c r="AF39" i="14"/>
  <c r="AE39" i="14"/>
  <c r="AD39" i="14"/>
  <c r="AC39" i="14"/>
  <c r="AB39" i="14"/>
  <c r="AA39" i="14"/>
  <c r="Z39" i="14"/>
  <c r="Y39" i="14"/>
  <c r="V39" i="14"/>
  <c r="U39" i="14" s="1"/>
  <c r="T39" i="14"/>
  <c r="S39" i="14"/>
  <c r="U38" i="1" s="1"/>
  <c r="AJ38" i="14"/>
  <c r="AI38" i="14"/>
  <c r="AH38" i="14"/>
  <c r="AG38" i="14"/>
  <c r="AF38" i="14"/>
  <c r="AE38" i="14"/>
  <c r="AD38" i="14"/>
  <c r="AC38" i="14"/>
  <c r="AB38" i="14"/>
  <c r="AA38" i="14"/>
  <c r="Z38" i="14"/>
  <c r="Y38" i="14"/>
  <c r="V38" i="14"/>
  <c r="U38" i="14" s="1"/>
  <c r="T38" i="14"/>
  <c r="S38" i="14"/>
  <c r="U37" i="1" s="1"/>
  <c r="AJ37" i="14"/>
  <c r="AI37" i="14"/>
  <c r="AH37" i="14"/>
  <c r="AG37" i="14"/>
  <c r="AF37" i="14"/>
  <c r="AE37" i="14"/>
  <c r="AD37" i="14"/>
  <c r="AC37" i="14"/>
  <c r="AB37" i="14"/>
  <c r="AA37" i="14"/>
  <c r="Z37" i="14"/>
  <c r="Y37" i="14"/>
  <c r="V37" i="14"/>
  <c r="U37" i="14" s="1"/>
  <c r="T37" i="14"/>
  <c r="S37" i="14"/>
  <c r="U36" i="1" s="1"/>
  <c r="AJ36" i="14"/>
  <c r="AI36" i="14"/>
  <c r="AH36" i="14"/>
  <c r="AG36" i="14"/>
  <c r="AF36" i="14"/>
  <c r="AE36" i="14"/>
  <c r="AD36" i="14"/>
  <c r="AC36" i="14"/>
  <c r="AB36" i="14"/>
  <c r="AA36" i="14"/>
  <c r="Z36" i="14"/>
  <c r="Y36" i="14"/>
  <c r="V36" i="14"/>
  <c r="U36" i="14" s="1"/>
  <c r="T36" i="14"/>
  <c r="S36" i="14"/>
  <c r="U35" i="1" s="1"/>
  <c r="AJ35" i="14"/>
  <c r="AI35" i="14"/>
  <c r="AH35" i="14"/>
  <c r="AG35" i="14"/>
  <c r="AF35" i="14"/>
  <c r="AE35" i="14"/>
  <c r="AD35" i="14"/>
  <c r="AC35" i="14"/>
  <c r="AB35" i="14"/>
  <c r="AA35" i="14"/>
  <c r="Z35" i="14"/>
  <c r="Y35" i="14"/>
  <c r="V35" i="14"/>
  <c r="U35" i="14" s="1"/>
  <c r="T35" i="14"/>
  <c r="S35" i="14"/>
  <c r="U34" i="1" s="1"/>
  <c r="AJ34" i="14"/>
  <c r="AI34" i="14"/>
  <c r="AH34" i="14"/>
  <c r="AG34" i="14"/>
  <c r="AF34" i="14"/>
  <c r="AE34" i="14"/>
  <c r="AD34" i="14"/>
  <c r="AC34" i="14"/>
  <c r="AB34" i="14"/>
  <c r="AA34" i="14"/>
  <c r="Z34" i="14"/>
  <c r="Y34" i="14"/>
  <c r="V34" i="14"/>
  <c r="U34" i="14" s="1"/>
  <c r="T34" i="14"/>
  <c r="S34" i="14"/>
  <c r="U33" i="1" s="1"/>
  <c r="AJ33" i="14"/>
  <c r="AI33" i="14"/>
  <c r="AH33" i="14"/>
  <c r="AG33" i="14"/>
  <c r="AF33" i="14"/>
  <c r="AE33" i="14"/>
  <c r="AD33" i="14"/>
  <c r="AC33" i="14"/>
  <c r="AB33" i="14"/>
  <c r="AA33" i="14"/>
  <c r="Z33" i="14"/>
  <c r="Y33" i="14"/>
  <c r="V33" i="14"/>
  <c r="U33" i="14" s="1"/>
  <c r="T33" i="14"/>
  <c r="S33" i="14"/>
  <c r="U32" i="1" s="1"/>
  <c r="AJ32" i="14"/>
  <c r="AI32" i="14"/>
  <c r="AH32" i="14"/>
  <c r="AG32" i="14"/>
  <c r="AF32" i="14"/>
  <c r="AE32" i="14"/>
  <c r="AD32" i="14"/>
  <c r="AC32" i="14"/>
  <c r="AB32" i="14"/>
  <c r="AA32" i="14"/>
  <c r="Z32" i="14"/>
  <c r="Y32" i="14"/>
  <c r="V32" i="14"/>
  <c r="U32" i="14" s="1"/>
  <c r="T32" i="14"/>
  <c r="S32" i="14"/>
  <c r="U31" i="1" s="1"/>
  <c r="AJ31" i="14"/>
  <c r="AI31" i="14"/>
  <c r="AH31" i="14"/>
  <c r="AG31" i="14"/>
  <c r="AF31" i="14"/>
  <c r="AE31" i="14"/>
  <c r="AD31" i="14"/>
  <c r="AC31" i="14"/>
  <c r="AB31" i="14"/>
  <c r="AA31" i="14"/>
  <c r="Z31" i="14"/>
  <c r="Y31" i="14"/>
  <c r="V31" i="14"/>
  <c r="U31" i="14" s="1"/>
  <c r="T31" i="14"/>
  <c r="S31" i="14"/>
  <c r="U30" i="1" s="1"/>
  <c r="AJ30" i="14"/>
  <c r="AI30" i="14"/>
  <c r="AH30" i="14"/>
  <c r="AG30" i="14"/>
  <c r="AF30" i="14"/>
  <c r="AE30" i="14"/>
  <c r="AD30" i="14"/>
  <c r="AC30" i="14"/>
  <c r="AB30" i="14"/>
  <c r="AA30" i="14"/>
  <c r="Z30" i="14"/>
  <c r="Y30" i="14"/>
  <c r="V30" i="14"/>
  <c r="U30" i="14" s="1"/>
  <c r="T30" i="14"/>
  <c r="S30" i="14"/>
  <c r="U29" i="1" s="1"/>
  <c r="AJ29" i="14"/>
  <c r="AI29" i="14"/>
  <c r="AH29" i="14"/>
  <c r="AG29" i="14"/>
  <c r="AF29" i="14"/>
  <c r="AE29" i="14"/>
  <c r="AD29" i="14"/>
  <c r="AC29" i="14"/>
  <c r="AB29" i="14"/>
  <c r="AA29" i="14"/>
  <c r="Z29" i="14"/>
  <c r="Y29" i="14"/>
  <c r="V29" i="14"/>
  <c r="U29" i="14" s="1"/>
  <c r="T29" i="14"/>
  <c r="S29" i="14"/>
  <c r="U28" i="1" s="1"/>
  <c r="AJ66" i="14"/>
  <c r="AI66" i="14"/>
  <c r="AH66" i="14"/>
  <c r="AG66" i="14"/>
  <c r="AF66" i="14"/>
  <c r="AE66" i="14"/>
  <c r="AD66" i="14"/>
  <c r="AC66" i="14"/>
  <c r="AB66" i="14"/>
  <c r="AA66" i="14"/>
  <c r="Z66" i="14"/>
  <c r="Y66" i="14"/>
  <c r="V66" i="14"/>
  <c r="U66" i="14" s="1"/>
  <c r="T66" i="14" s="1"/>
  <c r="S66" i="14"/>
  <c r="AJ28" i="14"/>
  <c r="AI28" i="14"/>
  <c r="AH28" i="14"/>
  <c r="AG28" i="14"/>
  <c r="AF28" i="14"/>
  <c r="AE28" i="14"/>
  <c r="AD28" i="14"/>
  <c r="AC28" i="14"/>
  <c r="AB28" i="14"/>
  <c r="AA28" i="14"/>
  <c r="Z28" i="14"/>
  <c r="Y28" i="14"/>
  <c r="V28" i="14"/>
  <c r="U28" i="14" s="1"/>
  <c r="T28" i="14"/>
  <c r="S28" i="14"/>
  <c r="U27" i="1" s="1"/>
  <c r="AJ57" i="14"/>
  <c r="AI57" i="14"/>
  <c r="AH57" i="14"/>
  <c r="AG57" i="14"/>
  <c r="AF57" i="14"/>
  <c r="AE57" i="14"/>
  <c r="AD57" i="14"/>
  <c r="AC57" i="14"/>
  <c r="AB57" i="14"/>
  <c r="AA57" i="14"/>
  <c r="Z57" i="14"/>
  <c r="Y57" i="14"/>
  <c r="V57" i="14"/>
  <c r="U57" i="14" s="1"/>
  <c r="T57" i="14" s="1"/>
  <c r="S57" i="14"/>
  <c r="U56" i="1" s="1"/>
  <c r="AJ27" i="14"/>
  <c r="AI27" i="14"/>
  <c r="AH27" i="14"/>
  <c r="AG27" i="14"/>
  <c r="AF27" i="14"/>
  <c r="AE27" i="14"/>
  <c r="AD27" i="14"/>
  <c r="AC27" i="14"/>
  <c r="AB27" i="14"/>
  <c r="AA27" i="14"/>
  <c r="Z27" i="14"/>
  <c r="Y27" i="14"/>
  <c r="V27" i="14"/>
  <c r="U27" i="14" s="1"/>
  <c r="T27" i="14"/>
  <c r="S27" i="14"/>
  <c r="U26" i="1" s="1"/>
  <c r="AJ53" i="14"/>
  <c r="AI53" i="14"/>
  <c r="AH53" i="14"/>
  <c r="AG53" i="14"/>
  <c r="AF53" i="14"/>
  <c r="AE53" i="14"/>
  <c r="AD53" i="14"/>
  <c r="AC53" i="14"/>
  <c r="AB53" i="14"/>
  <c r="AA53" i="14"/>
  <c r="Z53" i="14"/>
  <c r="Y53" i="14"/>
  <c r="V53" i="14"/>
  <c r="U53" i="14" s="1"/>
  <c r="T53" i="14" s="1"/>
  <c r="S53" i="14"/>
  <c r="U52" i="1" s="1"/>
  <c r="AJ64" i="14"/>
  <c r="AI64" i="14"/>
  <c r="AH64" i="14"/>
  <c r="AG64" i="14"/>
  <c r="AF64" i="14"/>
  <c r="AE64" i="14"/>
  <c r="AD64" i="14"/>
  <c r="AC64" i="14"/>
  <c r="AB64" i="14"/>
  <c r="AA64" i="14"/>
  <c r="Z64" i="14"/>
  <c r="Y64" i="14"/>
  <c r="V64" i="14"/>
  <c r="U64" i="14" s="1"/>
  <c r="T64" i="14" s="1"/>
  <c r="S64" i="14"/>
  <c r="U63" i="1" s="1"/>
  <c r="AJ26" i="14"/>
  <c r="AI26" i="14"/>
  <c r="AH26" i="14"/>
  <c r="AG26" i="14"/>
  <c r="AF26" i="14"/>
  <c r="AE26" i="14"/>
  <c r="AD26" i="14"/>
  <c r="AC26" i="14"/>
  <c r="AB26" i="14"/>
  <c r="AA26" i="14"/>
  <c r="Z26" i="14"/>
  <c r="Y26" i="14"/>
  <c r="V26" i="14"/>
  <c r="U26" i="14" s="1"/>
  <c r="T26" i="14"/>
  <c r="S26" i="14"/>
  <c r="U25" i="1" s="1"/>
  <c r="AJ25" i="14"/>
  <c r="AI25" i="14"/>
  <c r="AH25" i="14"/>
  <c r="AG25" i="14"/>
  <c r="AF25" i="14"/>
  <c r="AE25" i="14"/>
  <c r="AD25" i="14"/>
  <c r="AC25" i="14"/>
  <c r="AB25" i="14"/>
  <c r="AA25" i="14"/>
  <c r="Z25" i="14"/>
  <c r="Y25" i="14"/>
  <c r="V25" i="14"/>
  <c r="U25" i="14" s="1"/>
  <c r="T25" i="14"/>
  <c r="S25" i="14"/>
  <c r="U24" i="1" s="1"/>
  <c r="AJ47" i="14"/>
  <c r="AI47" i="14"/>
  <c r="AH47" i="14"/>
  <c r="AG47" i="14"/>
  <c r="AF47" i="14"/>
  <c r="AE47" i="14"/>
  <c r="AD47" i="14"/>
  <c r="AC47" i="14"/>
  <c r="AB47" i="14"/>
  <c r="AA47" i="14"/>
  <c r="Z47" i="14"/>
  <c r="Y47" i="14"/>
  <c r="V47" i="14"/>
  <c r="U47" i="14" s="1"/>
  <c r="T47" i="14" s="1"/>
  <c r="S47" i="14"/>
  <c r="U46" i="1" s="1"/>
  <c r="AJ23" i="14"/>
  <c r="AI23" i="14"/>
  <c r="AH23" i="14"/>
  <c r="AG23" i="14"/>
  <c r="AF23" i="14"/>
  <c r="AE23" i="14"/>
  <c r="AD23" i="14"/>
  <c r="AC23" i="14"/>
  <c r="AB23" i="14"/>
  <c r="AA23" i="14"/>
  <c r="Z23" i="14"/>
  <c r="Y23" i="14"/>
  <c r="V23" i="14"/>
  <c r="U23" i="14" s="1"/>
  <c r="T23" i="14"/>
  <c r="S23" i="14"/>
  <c r="U22" i="1" s="1"/>
  <c r="AJ22" i="14"/>
  <c r="AI22" i="14"/>
  <c r="AH22" i="14"/>
  <c r="AG22" i="14"/>
  <c r="AF22" i="14"/>
  <c r="AE22" i="14"/>
  <c r="AD22" i="14"/>
  <c r="AC22" i="14"/>
  <c r="AB22" i="14"/>
  <c r="AA22" i="14"/>
  <c r="Z22" i="14"/>
  <c r="Y22" i="14"/>
  <c r="V22" i="14"/>
  <c r="U22" i="14" s="1"/>
  <c r="T22" i="14"/>
  <c r="S22" i="14"/>
  <c r="U21" i="1" s="1"/>
  <c r="AJ21" i="14"/>
  <c r="AI21" i="14"/>
  <c r="AH21" i="14"/>
  <c r="AG21" i="14"/>
  <c r="AF21" i="14"/>
  <c r="AE21" i="14"/>
  <c r="AD21" i="14"/>
  <c r="AC21" i="14"/>
  <c r="AB21" i="14"/>
  <c r="AA21" i="14"/>
  <c r="Z21" i="14"/>
  <c r="Y21" i="14"/>
  <c r="V21" i="14"/>
  <c r="U21" i="14" s="1"/>
  <c r="T21" i="14" s="1"/>
  <c r="S21" i="14"/>
  <c r="U20" i="1" s="1"/>
  <c r="AJ56" i="14"/>
  <c r="AI56" i="14"/>
  <c r="AH56" i="14"/>
  <c r="AG56" i="14"/>
  <c r="AF56" i="14"/>
  <c r="AE56" i="14"/>
  <c r="AD56" i="14"/>
  <c r="AC56" i="14"/>
  <c r="AB56" i="14"/>
  <c r="AA56" i="14"/>
  <c r="Z56" i="14"/>
  <c r="Y56" i="14"/>
  <c r="V56" i="14"/>
  <c r="U56" i="14" s="1"/>
  <c r="T56" i="14" s="1"/>
  <c r="S56" i="14"/>
  <c r="U55" i="1" s="1"/>
  <c r="AJ46" i="14"/>
  <c r="AI46" i="14"/>
  <c r="AH46" i="14"/>
  <c r="AG46" i="14"/>
  <c r="AF46" i="14"/>
  <c r="AE46" i="14"/>
  <c r="AD46" i="14"/>
  <c r="AC46" i="14"/>
  <c r="AB46" i="14"/>
  <c r="AA46" i="14"/>
  <c r="Z46" i="14"/>
  <c r="Y46" i="14"/>
  <c r="V46" i="14"/>
  <c r="U46" i="14" s="1"/>
  <c r="T46" i="14" s="1"/>
  <c r="S46" i="14"/>
  <c r="U45" i="1" s="1"/>
  <c r="AJ58" i="14"/>
  <c r="AI58" i="14"/>
  <c r="AH58" i="14"/>
  <c r="AG58" i="14"/>
  <c r="AF58" i="14"/>
  <c r="AE58" i="14"/>
  <c r="AD58" i="14"/>
  <c r="AC58" i="14"/>
  <c r="AB58" i="14"/>
  <c r="AA58" i="14"/>
  <c r="Z58" i="14"/>
  <c r="Y58" i="14"/>
  <c r="V58" i="14"/>
  <c r="U58" i="14" s="1"/>
  <c r="T58" i="14" s="1"/>
  <c r="S58" i="14"/>
  <c r="U57" i="1" s="1"/>
  <c r="AJ65" i="14"/>
  <c r="AI65" i="14"/>
  <c r="AH65" i="14"/>
  <c r="AG65" i="14"/>
  <c r="AF65" i="14"/>
  <c r="AE65" i="14"/>
  <c r="AD65" i="14"/>
  <c r="AC65" i="14"/>
  <c r="AB65" i="14"/>
  <c r="AA65" i="14"/>
  <c r="Z65" i="14"/>
  <c r="Y65" i="14"/>
  <c r="V65" i="14"/>
  <c r="U65" i="14" s="1"/>
  <c r="T65" i="14" s="1"/>
  <c r="S65" i="14"/>
  <c r="U64" i="1" s="1"/>
  <c r="AJ20" i="14"/>
  <c r="AI20" i="14"/>
  <c r="AH20" i="14"/>
  <c r="AG20" i="14"/>
  <c r="AF20" i="14"/>
  <c r="AE20" i="14"/>
  <c r="AD20" i="14"/>
  <c r="AC20" i="14"/>
  <c r="AB20" i="14"/>
  <c r="AA20" i="14"/>
  <c r="Z20" i="14"/>
  <c r="Y20" i="14"/>
  <c r="V20" i="14"/>
  <c r="U20" i="14" s="1"/>
  <c r="T20" i="14"/>
  <c r="S20" i="14"/>
  <c r="U19" i="1" s="1"/>
  <c r="AJ19" i="14"/>
  <c r="AI19" i="14"/>
  <c r="AH19" i="14"/>
  <c r="AG19" i="14"/>
  <c r="AF19" i="14"/>
  <c r="AE19" i="14"/>
  <c r="AD19" i="14"/>
  <c r="AC19" i="14"/>
  <c r="AB19" i="14"/>
  <c r="AA19" i="14"/>
  <c r="Z19" i="14"/>
  <c r="Y19" i="14"/>
  <c r="V19" i="14"/>
  <c r="U19" i="14" s="1"/>
  <c r="T19" i="14"/>
  <c r="S19" i="14"/>
  <c r="U18" i="1" s="1"/>
  <c r="AJ63" i="14"/>
  <c r="AI63" i="14"/>
  <c r="AH63" i="14"/>
  <c r="AG63" i="14"/>
  <c r="AF63" i="14"/>
  <c r="AE63" i="14"/>
  <c r="AD63" i="14"/>
  <c r="AC63" i="14"/>
  <c r="AB63" i="14"/>
  <c r="AA63" i="14"/>
  <c r="Z63" i="14"/>
  <c r="Y63" i="14"/>
  <c r="V63" i="14"/>
  <c r="U63" i="14" s="1"/>
  <c r="T63" i="14" s="1"/>
  <c r="S63" i="14"/>
  <c r="U62" i="1" s="1"/>
  <c r="AJ18" i="14"/>
  <c r="AI18" i="14"/>
  <c r="AH18" i="14"/>
  <c r="AG18" i="14"/>
  <c r="AF18" i="14"/>
  <c r="AE18" i="14"/>
  <c r="AD18" i="14"/>
  <c r="AC18" i="14"/>
  <c r="AB18" i="14"/>
  <c r="AA18" i="14"/>
  <c r="Z18" i="14"/>
  <c r="Y18" i="14"/>
  <c r="V18" i="14"/>
  <c r="U18" i="14" s="1"/>
  <c r="T18" i="14"/>
  <c r="S18" i="14"/>
  <c r="U17" i="1" s="1"/>
  <c r="AJ62" i="14"/>
  <c r="AI62" i="14"/>
  <c r="AH62" i="14"/>
  <c r="AG62" i="14"/>
  <c r="AF62" i="14"/>
  <c r="AE62" i="14"/>
  <c r="AD62" i="14"/>
  <c r="AC62" i="14"/>
  <c r="AB62" i="14"/>
  <c r="AA62" i="14"/>
  <c r="Z62" i="14"/>
  <c r="Y62" i="14"/>
  <c r="V62" i="14"/>
  <c r="U62" i="14" s="1"/>
  <c r="T62" i="14" s="1"/>
  <c r="S62" i="14"/>
  <c r="U61" i="1" s="1"/>
  <c r="AJ17" i="14"/>
  <c r="AI17" i="14"/>
  <c r="AH17" i="14"/>
  <c r="AG17" i="14"/>
  <c r="AF17" i="14"/>
  <c r="AE17" i="14"/>
  <c r="AD17" i="14"/>
  <c r="AC17" i="14"/>
  <c r="AB17" i="14"/>
  <c r="AA17" i="14"/>
  <c r="Z17" i="14"/>
  <c r="Y17" i="14"/>
  <c r="V17" i="14"/>
  <c r="U17" i="14" s="1"/>
  <c r="T17" i="14"/>
  <c r="S17" i="14"/>
  <c r="U16" i="1" s="1"/>
  <c r="AJ60" i="14"/>
  <c r="AI60" i="14"/>
  <c r="AH60" i="14"/>
  <c r="AG60" i="14"/>
  <c r="AF60" i="14"/>
  <c r="AE60" i="14"/>
  <c r="AD60" i="14"/>
  <c r="AC60" i="14"/>
  <c r="AB60" i="14"/>
  <c r="AA60" i="14"/>
  <c r="Z60" i="14"/>
  <c r="Y60" i="14"/>
  <c r="V60" i="14"/>
  <c r="U60" i="14" s="1"/>
  <c r="T60" i="14" s="1"/>
  <c r="S60" i="14"/>
  <c r="U59" i="1" s="1"/>
  <c r="AJ16" i="14"/>
  <c r="AI16" i="14"/>
  <c r="AH16" i="14"/>
  <c r="AG16" i="14"/>
  <c r="AF16" i="14"/>
  <c r="AE16" i="14"/>
  <c r="AD16" i="14"/>
  <c r="AC16" i="14"/>
  <c r="AB16" i="14"/>
  <c r="AA16" i="14"/>
  <c r="Z16" i="14"/>
  <c r="Y16" i="14"/>
  <c r="V16" i="14"/>
  <c r="U16" i="14" s="1"/>
  <c r="T16" i="14"/>
  <c r="S16" i="14"/>
  <c r="U15" i="1" s="1"/>
  <c r="AJ15" i="14"/>
  <c r="AI15" i="14"/>
  <c r="AH15" i="14"/>
  <c r="AG15" i="14"/>
  <c r="AF15" i="14"/>
  <c r="AE15" i="14"/>
  <c r="AD15" i="14"/>
  <c r="AC15" i="14"/>
  <c r="AB15" i="14"/>
  <c r="AA15" i="14"/>
  <c r="Z15" i="14"/>
  <c r="Y15" i="14"/>
  <c r="V15" i="14"/>
  <c r="U15" i="14" s="1"/>
  <c r="T15" i="14"/>
  <c r="S15" i="14"/>
  <c r="U14" i="1" s="1"/>
  <c r="AJ14" i="14"/>
  <c r="AI14" i="14"/>
  <c r="AH14" i="14"/>
  <c r="AG14" i="14"/>
  <c r="AF14" i="14"/>
  <c r="AE14" i="14"/>
  <c r="AD14" i="14"/>
  <c r="AC14" i="14"/>
  <c r="AB14" i="14"/>
  <c r="AA14" i="14"/>
  <c r="Z14" i="14"/>
  <c r="Y14" i="14"/>
  <c r="V14" i="14"/>
  <c r="U14" i="14" s="1"/>
  <c r="T14" i="14"/>
  <c r="S14" i="14"/>
  <c r="U13" i="1" s="1"/>
  <c r="AJ13" i="14"/>
  <c r="AI13" i="14"/>
  <c r="AH13" i="14"/>
  <c r="AG13" i="14"/>
  <c r="AF13" i="14"/>
  <c r="AE13" i="14"/>
  <c r="AD13" i="14"/>
  <c r="AC13" i="14"/>
  <c r="AB13" i="14"/>
  <c r="AA13" i="14"/>
  <c r="Z13" i="14"/>
  <c r="Y13" i="14"/>
  <c r="V13" i="14"/>
  <c r="U13" i="14" s="1"/>
  <c r="T13" i="14"/>
  <c r="S13" i="14"/>
  <c r="U12" i="1" s="1"/>
  <c r="AJ12" i="14"/>
  <c r="AI12" i="14"/>
  <c r="AH12" i="14"/>
  <c r="AG12" i="14"/>
  <c r="AF12" i="14"/>
  <c r="AE12" i="14"/>
  <c r="AD12" i="14"/>
  <c r="AC12" i="14"/>
  <c r="AB12" i="14"/>
  <c r="AA12" i="14"/>
  <c r="Z12" i="14"/>
  <c r="Y12" i="14"/>
  <c r="V12" i="14"/>
  <c r="U12" i="14" s="1"/>
  <c r="T12" i="14"/>
  <c r="S12" i="14"/>
  <c r="U11" i="1" s="1"/>
  <c r="AJ11" i="14"/>
  <c r="AI11" i="14"/>
  <c r="AH11" i="14"/>
  <c r="AG11" i="14"/>
  <c r="AF11" i="14"/>
  <c r="AE11" i="14"/>
  <c r="AD11" i="14"/>
  <c r="AC11" i="14"/>
  <c r="AB11" i="14"/>
  <c r="AA11" i="14"/>
  <c r="Z11" i="14"/>
  <c r="Y11" i="14"/>
  <c r="V11" i="14"/>
  <c r="U11" i="14" s="1"/>
  <c r="T11" i="14"/>
  <c r="S11" i="14"/>
  <c r="U10" i="1" s="1"/>
  <c r="AJ10" i="14"/>
  <c r="AI10" i="14"/>
  <c r="AH10" i="14"/>
  <c r="AG10" i="14"/>
  <c r="AF10" i="14"/>
  <c r="AE10" i="14"/>
  <c r="AD10" i="14"/>
  <c r="AC10" i="14"/>
  <c r="AB10" i="14"/>
  <c r="AA10" i="14"/>
  <c r="Z10" i="14"/>
  <c r="Y10" i="14"/>
  <c r="V10" i="14"/>
  <c r="U10" i="14" s="1"/>
  <c r="T10" i="14"/>
  <c r="S10" i="14"/>
  <c r="U9" i="1" s="1"/>
  <c r="AJ9" i="14"/>
  <c r="AI9" i="14"/>
  <c r="AH9" i="14"/>
  <c r="AG9" i="14"/>
  <c r="AF9" i="14"/>
  <c r="AE9" i="14"/>
  <c r="AD9" i="14"/>
  <c r="AC9" i="14"/>
  <c r="AB9" i="14"/>
  <c r="AA9" i="14"/>
  <c r="Z9" i="14"/>
  <c r="Y9" i="14"/>
  <c r="V9" i="14"/>
  <c r="U9" i="14" s="1"/>
  <c r="T9" i="14"/>
  <c r="S9" i="14"/>
  <c r="U8" i="1" s="1"/>
  <c r="AJ8" i="14"/>
  <c r="AI8" i="14"/>
  <c r="AH8" i="14"/>
  <c r="AG8" i="14"/>
  <c r="AF8" i="14"/>
  <c r="AE8" i="14"/>
  <c r="AD8" i="14"/>
  <c r="AC8" i="14"/>
  <c r="AB8" i="14"/>
  <c r="AA8" i="14"/>
  <c r="Z8" i="14"/>
  <c r="Y8" i="14"/>
  <c r="V8" i="14"/>
  <c r="U8" i="14" s="1"/>
  <c r="T8" i="14"/>
  <c r="S8" i="14"/>
  <c r="U7" i="1" s="1"/>
  <c r="AJ54" i="14"/>
  <c r="AI54" i="14"/>
  <c r="AH54" i="14"/>
  <c r="AG54" i="14"/>
  <c r="AF54" i="14"/>
  <c r="AE54" i="14"/>
  <c r="AD54" i="14"/>
  <c r="AC54" i="14"/>
  <c r="AB54" i="14"/>
  <c r="AA54" i="14"/>
  <c r="Z54" i="14"/>
  <c r="Y54" i="14"/>
  <c r="V54" i="14"/>
  <c r="U54" i="14" s="1"/>
  <c r="T54" i="14" s="1"/>
  <c r="S54" i="14"/>
  <c r="AJ7" i="14"/>
  <c r="AI7" i="14"/>
  <c r="AH7" i="14"/>
  <c r="AG7" i="14"/>
  <c r="AF7" i="14"/>
  <c r="AE7" i="14"/>
  <c r="AD7" i="14"/>
  <c r="AC7" i="14"/>
  <c r="AB7" i="14"/>
  <c r="AA7" i="14"/>
  <c r="Z7" i="14"/>
  <c r="Y7" i="14"/>
  <c r="V7" i="14"/>
  <c r="U7" i="14" s="1"/>
  <c r="T7" i="14"/>
  <c r="S7" i="14"/>
  <c r="U6" i="1" s="1"/>
  <c r="AJ6" i="14"/>
  <c r="AI6" i="14"/>
  <c r="AH6" i="14"/>
  <c r="AG6" i="14"/>
  <c r="AF6" i="14"/>
  <c r="AE6" i="14"/>
  <c r="AD6" i="14"/>
  <c r="AC6" i="14"/>
  <c r="AB6" i="14"/>
  <c r="AA6" i="14"/>
  <c r="Z6" i="14"/>
  <c r="Y6" i="14"/>
  <c r="V6" i="14"/>
  <c r="U6" i="14" s="1"/>
  <c r="T6" i="14"/>
  <c r="S6" i="14"/>
  <c r="U5" i="1" s="1"/>
  <c r="AJ5" i="14"/>
  <c r="AI5" i="14"/>
  <c r="AH5" i="14"/>
  <c r="AG5" i="14"/>
  <c r="AF5" i="14"/>
  <c r="AE5" i="14"/>
  <c r="AD5" i="14"/>
  <c r="AC5" i="14"/>
  <c r="AB5" i="14"/>
  <c r="AA5" i="14"/>
  <c r="Z5" i="14"/>
  <c r="Y5" i="14"/>
  <c r="V5" i="14"/>
  <c r="U5" i="14" s="1"/>
  <c r="T5" i="14"/>
  <c r="S5" i="14"/>
  <c r="U4" i="1" s="1"/>
  <c r="AJ4" i="14"/>
  <c r="AI4" i="14"/>
  <c r="AH4" i="14"/>
  <c r="AG4" i="14"/>
  <c r="AF4" i="14"/>
  <c r="AE4" i="14"/>
  <c r="AD4" i="14"/>
  <c r="AC4" i="14"/>
  <c r="AB4" i="14"/>
  <c r="AA4" i="14"/>
  <c r="Z4" i="14"/>
  <c r="Y4" i="14"/>
  <c r="V4" i="14"/>
  <c r="U4" i="14" s="1"/>
  <c r="T4" i="14"/>
  <c r="S4" i="14"/>
  <c r="U3" i="1" s="1"/>
  <c r="AJ2" i="14"/>
  <c r="AI2" i="14"/>
  <c r="AH2" i="14"/>
  <c r="AG2" i="14"/>
  <c r="AF2" i="14"/>
  <c r="AE2" i="14"/>
  <c r="AD2" i="14"/>
  <c r="AC2" i="14"/>
  <c r="AB2" i="14"/>
  <c r="AA2" i="14"/>
  <c r="Z2" i="14"/>
  <c r="Y2" i="14"/>
  <c r="V2" i="14"/>
  <c r="U2" i="14"/>
  <c r="T2" i="14"/>
  <c r="V13" i="15" l="1"/>
  <c r="X13" i="15" s="1"/>
  <c r="Q13" i="16" s="1"/>
  <c r="V63" i="15"/>
  <c r="V58" i="15"/>
  <c r="V26" i="15"/>
  <c r="X26" i="15" s="1"/>
  <c r="Q26" i="16" s="1"/>
  <c r="V57" i="15"/>
  <c r="V30" i="15"/>
  <c r="X30" i="15" s="1"/>
  <c r="Q30" i="16" s="1"/>
  <c r="V34" i="15"/>
  <c r="X34" i="15" s="1"/>
  <c r="Q34" i="16" s="1"/>
  <c r="V38" i="15"/>
  <c r="X38" i="15" s="1"/>
  <c r="Q38" i="16" s="1"/>
  <c r="V5" i="15"/>
  <c r="X5" i="15" s="1"/>
  <c r="Q5" i="16" s="1"/>
  <c r="V8" i="15"/>
  <c r="X8" i="15" s="1"/>
  <c r="Q8" i="16" s="1"/>
  <c r="V12" i="15"/>
  <c r="X12" i="15" s="1"/>
  <c r="Q12" i="16" s="1"/>
  <c r="V16" i="15"/>
  <c r="X16" i="15" s="1"/>
  <c r="Q16" i="16" s="1"/>
  <c r="V18" i="15"/>
  <c r="X18" i="15" s="1"/>
  <c r="Q18" i="16" s="1"/>
  <c r="V65" i="15"/>
  <c r="V21" i="15"/>
  <c r="V25" i="15"/>
  <c r="X25" i="15" s="1"/>
  <c r="Q25" i="16" s="1"/>
  <c r="V27" i="15"/>
  <c r="X27" i="15" s="1"/>
  <c r="Q27" i="16" s="1"/>
  <c r="V29" i="15"/>
  <c r="X29" i="15" s="1"/>
  <c r="Q29" i="16" s="1"/>
  <c r="V33" i="15"/>
  <c r="X33" i="15" s="1"/>
  <c r="Q33" i="16" s="1"/>
  <c r="V37" i="15"/>
  <c r="X37" i="15" s="1"/>
  <c r="Q37" i="16" s="1"/>
  <c r="V41" i="15"/>
  <c r="X41" i="15" s="1"/>
  <c r="Q41" i="16" s="1"/>
  <c r="V45" i="15"/>
  <c r="X45" i="15" s="1"/>
  <c r="Q45" i="16" s="1"/>
  <c r="V51" i="15"/>
  <c r="V103" i="15"/>
  <c r="V4" i="15"/>
  <c r="X4" i="15" s="1"/>
  <c r="Q4" i="16" s="1"/>
  <c r="V54" i="15"/>
  <c r="V11" i="15"/>
  <c r="X11" i="15" s="1"/>
  <c r="Q11" i="16" s="1"/>
  <c r="V15" i="15"/>
  <c r="X15" i="15" s="1"/>
  <c r="Q15" i="16" s="1"/>
  <c r="V62" i="15"/>
  <c r="V20" i="15"/>
  <c r="X20" i="15" s="1"/>
  <c r="Q20" i="16" s="1"/>
  <c r="V56" i="15"/>
  <c r="V47" i="15"/>
  <c r="V53" i="15"/>
  <c r="V66" i="15"/>
  <c r="V32" i="15"/>
  <c r="X32" i="15" s="1"/>
  <c r="Q32" i="16" s="1"/>
  <c r="V36" i="15"/>
  <c r="X36" i="15" s="1"/>
  <c r="Q36" i="16" s="1"/>
  <c r="V40" i="15"/>
  <c r="X40" i="15" s="1"/>
  <c r="Q40" i="16" s="1"/>
  <c r="V44" i="15"/>
  <c r="X44" i="15" s="1"/>
  <c r="Q44" i="16" s="1"/>
  <c r="V50" i="15"/>
  <c r="X50" i="15" s="1"/>
  <c r="Q50" i="16" s="1"/>
  <c r="V55" i="15"/>
  <c r="X55" i="15" s="1"/>
  <c r="Q55" i="16" s="1"/>
  <c r="V61" i="15"/>
  <c r="X61" i="15" s="1"/>
  <c r="Q61" i="16" s="1"/>
  <c r="V7" i="15"/>
  <c r="X7" i="15" s="1"/>
  <c r="Q7" i="16" s="1"/>
  <c r="V10" i="15"/>
  <c r="X10" i="15" s="1"/>
  <c r="Q10" i="16" s="1"/>
  <c r="V14" i="15"/>
  <c r="X14" i="15" s="1"/>
  <c r="Q14" i="16" s="1"/>
  <c r="V17" i="15"/>
  <c r="X17" i="15" s="1"/>
  <c r="Q17" i="16" s="1"/>
  <c r="V19" i="15"/>
  <c r="X19" i="15" s="1"/>
  <c r="Q19" i="16" s="1"/>
  <c r="V46" i="15"/>
  <c r="V23" i="15"/>
  <c r="X23" i="15" s="1"/>
  <c r="Q23" i="16" s="1"/>
  <c r="V64" i="15"/>
  <c r="V28" i="15"/>
  <c r="X28" i="15" s="1"/>
  <c r="Q28" i="16" s="1"/>
  <c r="V31" i="15"/>
  <c r="X31" i="15" s="1"/>
  <c r="Q31" i="16" s="1"/>
  <c r="V35" i="15"/>
  <c r="X35" i="15" s="1"/>
  <c r="Q35" i="16" s="1"/>
  <c r="V39" i="15"/>
  <c r="X39" i="15" s="1"/>
  <c r="Q39" i="16" s="1"/>
  <c r="V43" i="15"/>
  <c r="X43" i="15" s="1"/>
  <c r="Q43" i="16" s="1"/>
  <c r="V49" i="15"/>
  <c r="X49" i="15" s="1"/>
  <c r="Q49" i="16" s="1"/>
  <c r="V52" i="15"/>
  <c r="X52" i="15" s="1"/>
  <c r="Q52" i="16" s="1"/>
  <c r="V59" i="15"/>
  <c r="X59" i="15" s="1"/>
  <c r="Q59" i="16" s="1"/>
  <c r="V6" i="15"/>
  <c r="X6" i="15" s="1"/>
  <c r="Q6" i="16" s="1"/>
  <c r="V9" i="15"/>
  <c r="X9" i="15" s="1"/>
  <c r="Q9" i="16" s="1"/>
  <c r="V60" i="15"/>
  <c r="V22" i="15"/>
  <c r="X22" i="15" s="1"/>
  <c r="Q22" i="16" s="1"/>
  <c r="V48" i="15"/>
  <c r="X48" i="15" s="1"/>
  <c r="Q48" i="16" s="1"/>
  <c r="V102" i="15"/>
  <c r="V24" i="15"/>
  <c r="X24" i="15" s="1"/>
  <c r="Q24" i="16" s="1"/>
  <c r="AM22" i="15"/>
  <c r="AM34" i="15"/>
  <c r="AM43" i="15"/>
  <c r="AM5" i="15"/>
  <c r="AM6" i="15"/>
  <c r="AM7" i="15"/>
  <c r="AM26" i="15"/>
  <c r="AM28" i="15"/>
  <c r="AM63" i="15"/>
  <c r="AM65" i="15"/>
  <c r="AM58" i="15"/>
  <c r="AM56" i="15"/>
  <c r="AM23" i="15"/>
  <c r="AM30" i="15"/>
  <c r="AM32" i="15"/>
  <c r="AM35" i="15"/>
  <c r="X42" i="15"/>
  <c r="Q42" i="16" s="1"/>
  <c r="AM24" i="15"/>
  <c r="AM9" i="15"/>
  <c r="AM11" i="15"/>
  <c r="AM17" i="15"/>
  <c r="AM53" i="15"/>
  <c r="AM38" i="15"/>
  <c r="AM40" i="15"/>
  <c r="AM42" i="15"/>
  <c r="AM44" i="15"/>
  <c r="AM49" i="15"/>
  <c r="AM52" i="15"/>
  <c r="AM8" i="15"/>
  <c r="AM12" i="15"/>
  <c r="AM13" i="15"/>
  <c r="AM16" i="15"/>
  <c r="AM60" i="15"/>
  <c r="AM62" i="15"/>
  <c r="AM19" i="15"/>
  <c r="AM57" i="15"/>
  <c r="AM48" i="15"/>
  <c r="AM51" i="15"/>
  <c r="AM102" i="15"/>
  <c r="AU101" i="1" s="1"/>
  <c r="AM55" i="15"/>
  <c r="AM59" i="15"/>
  <c r="AM46" i="15"/>
  <c r="AM25" i="15"/>
  <c r="AM64" i="15"/>
  <c r="AM29" i="15"/>
  <c r="AM31" i="15"/>
  <c r="AM37" i="15"/>
  <c r="AM39" i="15"/>
  <c r="AM50" i="15"/>
  <c r="AM61" i="15"/>
  <c r="AM15" i="15"/>
  <c r="AM4" i="15"/>
  <c r="AM10" i="15"/>
  <c r="AM18" i="15"/>
  <c r="AM21" i="15"/>
  <c r="AM27" i="15"/>
  <c r="AM33" i="15"/>
  <c r="AM41" i="15"/>
  <c r="AM54" i="15"/>
  <c r="AM14" i="15"/>
  <c r="AM20" i="15"/>
  <c r="AM47" i="15"/>
  <c r="AM66" i="15"/>
  <c r="AU65" i="1" s="1"/>
  <c r="AM36" i="15"/>
  <c r="AM45" i="15"/>
  <c r="AM103" i="15"/>
  <c r="AU102" i="1" s="1"/>
  <c r="W27" i="14"/>
  <c r="X27" i="14" s="1"/>
  <c r="W42" i="14"/>
  <c r="X42" i="14" s="1"/>
  <c r="W18" i="14"/>
  <c r="X18" i="14" s="1"/>
  <c r="AK20" i="14"/>
  <c r="W19" i="1" s="1"/>
  <c r="W41" i="14"/>
  <c r="X41" i="14" s="1"/>
  <c r="W45" i="14"/>
  <c r="X45" i="14" s="1"/>
  <c r="W12" i="14"/>
  <c r="X12" i="14" s="1"/>
  <c r="W65" i="14"/>
  <c r="X65" i="14" s="1"/>
  <c r="AK53" i="14"/>
  <c r="W52" i="1" s="1"/>
  <c r="W57" i="14"/>
  <c r="X57" i="14" s="1"/>
  <c r="AK29" i="14"/>
  <c r="W28" i="1" s="1"/>
  <c r="W58" i="14"/>
  <c r="X58" i="14" s="1"/>
  <c r="AK44" i="14"/>
  <c r="W43" i="1" s="1"/>
  <c r="W48" i="14"/>
  <c r="X48" i="14" s="1"/>
  <c r="W10" i="14"/>
  <c r="X10" i="14" s="1"/>
  <c r="W11" i="14"/>
  <c r="X11" i="14" s="1"/>
  <c r="AK66" i="14"/>
  <c r="W30" i="14"/>
  <c r="X30" i="14" s="1"/>
  <c r="AK62" i="14"/>
  <c r="W61" i="1" s="1"/>
  <c r="W63" i="14"/>
  <c r="X63" i="14" s="1"/>
  <c r="AK65" i="14"/>
  <c r="W64" i="1" s="1"/>
  <c r="W29" i="14"/>
  <c r="X29" i="14" s="1"/>
  <c r="AK40" i="14"/>
  <c r="W39" i="1" s="1"/>
  <c r="AK45" i="14"/>
  <c r="W44" i="1" s="1"/>
  <c r="W16" i="14"/>
  <c r="X16" i="14" s="1"/>
  <c r="W15" i="14"/>
  <c r="X15" i="14" s="1"/>
  <c r="W22" i="14"/>
  <c r="X22" i="14" s="1"/>
  <c r="W23" i="14"/>
  <c r="X23" i="14" s="1"/>
  <c r="W25" i="14"/>
  <c r="X25" i="14" s="1"/>
  <c r="W34" i="14"/>
  <c r="X34" i="14" s="1"/>
  <c r="W35" i="14"/>
  <c r="X35" i="14" s="1"/>
  <c r="W37" i="14"/>
  <c r="X37" i="14" s="1"/>
  <c r="W102" i="14"/>
  <c r="X102" i="14" s="1"/>
  <c r="W52" i="14"/>
  <c r="X52" i="14" s="1"/>
  <c r="W103" i="14"/>
  <c r="X103" i="14" s="1"/>
  <c r="AK18" i="14"/>
  <c r="W17" i="1" s="1"/>
  <c r="AK27" i="14"/>
  <c r="W26" i="1" s="1"/>
  <c r="AK41" i="14"/>
  <c r="W40" i="1" s="1"/>
  <c r="AK61" i="14"/>
  <c r="W60" i="1" s="1"/>
  <c r="W54" i="14"/>
  <c r="X54" i="14" s="1"/>
  <c r="AK17" i="14"/>
  <c r="W16" i="1" s="1"/>
  <c r="AK64" i="14"/>
  <c r="W63" i="1" s="1"/>
  <c r="W36" i="14"/>
  <c r="X36" i="14" s="1"/>
  <c r="W4" i="14"/>
  <c r="X4" i="14" s="1"/>
  <c r="W7" i="14"/>
  <c r="X7" i="14" s="1"/>
  <c r="AK19" i="14"/>
  <c r="W18" i="1" s="1"/>
  <c r="AK46" i="14"/>
  <c r="W45" i="1" s="1"/>
  <c r="W47" i="14"/>
  <c r="X47" i="14" s="1"/>
  <c r="AK26" i="14"/>
  <c r="W25" i="1" s="1"/>
  <c r="AK28" i="14"/>
  <c r="W27" i="1" s="1"/>
  <c r="AK31" i="14"/>
  <c r="W30" i="1" s="1"/>
  <c r="AK38" i="14"/>
  <c r="W37" i="1" s="1"/>
  <c r="AK39" i="14"/>
  <c r="W38" i="1" s="1"/>
  <c r="AK43" i="14"/>
  <c r="W42" i="1" s="1"/>
  <c r="AK49" i="14"/>
  <c r="W48" i="1" s="1"/>
  <c r="W55" i="14"/>
  <c r="X55" i="14" s="1"/>
  <c r="AK24" i="14"/>
  <c r="W23" i="1" s="1"/>
  <c r="AK59" i="14"/>
  <c r="W58" i="1" s="1"/>
  <c r="AK5" i="14"/>
  <c r="W4" i="1" s="1"/>
  <c r="AK9" i="14"/>
  <c r="W8" i="1" s="1"/>
  <c r="AK10" i="14"/>
  <c r="W9" i="1" s="1"/>
  <c r="AK11" i="14"/>
  <c r="W10" i="1" s="1"/>
  <c r="AK14" i="14"/>
  <c r="W13" i="1" s="1"/>
  <c r="AK15" i="14"/>
  <c r="W14" i="1" s="1"/>
  <c r="AK60" i="14"/>
  <c r="W59" i="1" s="1"/>
  <c r="W21" i="14"/>
  <c r="X21" i="14" s="1"/>
  <c r="W26" i="14"/>
  <c r="X26" i="14" s="1"/>
  <c r="W64" i="14"/>
  <c r="X64" i="14" s="1"/>
  <c r="W33" i="14"/>
  <c r="X33" i="14" s="1"/>
  <c r="W38" i="14"/>
  <c r="X38" i="14" s="1"/>
  <c r="W39" i="14"/>
  <c r="X39" i="14" s="1"/>
  <c r="W51" i="14"/>
  <c r="X51" i="14" s="1"/>
  <c r="W24" i="14"/>
  <c r="X24" i="14" s="1"/>
  <c r="W59" i="14"/>
  <c r="X59" i="14" s="1"/>
  <c r="W5" i="14"/>
  <c r="X5" i="14" s="1"/>
  <c r="W6" i="14"/>
  <c r="X6" i="14" s="1"/>
  <c r="AK6" i="14"/>
  <c r="W5" i="1" s="1"/>
  <c r="AK7" i="14"/>
  <c r="W6" i="1" s="1"/>
  <c r="W8" i="14"/>
  <c r="X8" i="14" s="1"/>
  <c r="AK13" i="14"/>
  <c r="W12" i="1" s="1"/>
  <c r="W62" i="14"/>
  <c r="X62" i="14" s="1"/>
  <c r="W20" i="14"/>
  <c r="X20" i="14" s="1"/>
  <c r="W56" i="14"/>
  <c r="X56" i="14" s="1"/>
  <c r="AK22" i="14"/>
  <c r="W21" i="1" s="1"/>
  <c r="AK23" i="14"/>
  <c r="W22" i="1" s="1"/>
  <c r="W53" i="14"/>
  <c r="X53" i="14" s="1"/>
  <c r="W66" i="14"/>
  <c r="X66" i="14" s="1"/>
  <c r="W32" i="14"/>
  <c r="X32" i="14" s="1"/>
  <c r="AK34" i="14"/>
  <c r="W33" i="1" s="1"/>
  <c r="AK35" i="14"/>
  <c r="W34" i="1" s="1"/>
  <c r="W40" i="14"/>
  <c r="X40" i="14" s="1"/>
  <c r="W44" i="14"/>
  <c r="X44" i="14" s="1"/>
  <c r="W50" i="14"/>
  <c r="X50" i="14" s="1"/>
  <c r="AK102" i="14"/>
  <c r="AK52" i="14"/>
  <c r="W51" i="1" s="1"/>
  <c r="W61" i="14"/>
  <c r="X61" i="14" s="1"/>
  <c r="W14" i="14"/>
  <c r="X14" i="14" s="1"/>
  <c r="W17" i="14"/>
  <c r="X17" i="14" s="1"/>
  <c r="AK57" i="14"/>
  <c r="W56" i="1" s="1"/>
  <c r="AK4" i="14"/>
  <c r="W3" i="1" s="1"/>
  <c r="W9" i="14"/>
  <c r="X9" i="14" s="1"/>
  <c r="AK12" i="14"/>
  <c r="W11" i="1" s="1"/>
  <c r="AK16" i="14"/>
  <c r="W15" i="1" s="1"/>
  <c r="W19" i="14"/>
  <c r="X19" i="14" s="1"/>
  <c r="AK58" i="14"/>
  <c r="W57" i="1" s="1"/>
  <c r="AK56" i="14"/>
  <c r="W55" i="1" s="1"/>
  <c r="AK21" i="14"/>
  <c r="W20" i="1" s="1"/>
  <c r="W28" i="14"/>
  <c r="X28" i="14" s="1"/>
  <c r="AK30" i="14"/>
  <c r="W29" i="1" s="1"/>
  <c r="AK32" i="14"/>
  <c r="W31" i="1" s="1"/>
  <c r="AK33" i="14"/>
  <c r="W32" i="1" s="1"/>
  <c r="W43" i="14"/>
  <c r="X43" i="14" s="1"/>
  <c r="AK48" i="14"/>
  <c r="W47" i="1" s="1"/>
  <c r="AK50" i="14"/>
  <c r="W49" i="1" s="1"/>
  <c r="AK51" i="14"/>
  <c r="W50" i="1" s="1"/>
  <c r="AK8" i="14"/>
  <c r="W7" i="1" s="1"/>
  <c r="AK63" i="14"/>
  <c r="W62" i="1" s="1"/>
  <c r="AK42" i="14"/>
  <c r="W41" i="1" s="1"/>
  <c r="AK54" i="14"/>
  <c r="W13" i="14"/>
  <c r="X13" i="14" s="1"/>
  <c r="W60" i="14"/>
  <c r="X60" i="14" s="1"/>
  <c r="W46" i="14"/>
  <c r="X46" i="14" s="1"/>
  <c r="AK47" i="14"/>
  <c r="W46" i="1" s="1"/>
  <c r="AK25" i="14"/>
  <c r="W24" i="1" s="1"/>
  <c r="W31" i="14"/>
  <c r="X31" i="14" s="1"/>
  <c r="AK36" i="14"/>
  <c r="W35" i="1" s="1"/>
  <c r="AK37" i="14"/>
  <c r="W36" i="1" s="1"/>
  <c r="W49" i="14"/>
  <c r="X49" i="14" s="1"/>
  <c r="AK55" i="14"/>
  <c r="W54" i="1" s="1"/>
  <c r="AK103" i="14"/>
  <c r="Y5" i="3"/>
  <c r="Y6" i="3"/>
  <c r="Y7" i="3"/>
  <c r="Y54" i="3"/>
  <c r="Y8" i="3"/>
  <c r="Y9" i="3"/>
  <c r="Y10" i="3"/>
  <c r="Y11" i="3"/>
  <c r="Y12" i="3"/>
  <c r="Y13" i="3"/>
  <c r="Y14" i="3"/>
  <c r="Y15" i="3"/>
  <c r="Y16" i="3"/>
  <c r="Y60" i="3"/>
  <c r="Y17" i="3"/>
  <c r="Y62" i="3"/>
  <c r="Y18" i="3"/>
  <c r="Y63" i="3"/>
  <c r="Y19" i="3"/>
  <c r="Y20" i="3"/>
  <c r="Y65" i="3"/>
  <c r="Y58" i="3"/>
  <c r="Y46" i="3"/>
  <c r="Y56" i="3"/>
  <c r="Y21" i="3"/>
  <c r="Y22" i="3"/>
  <c r="Y23" i="3"/>
  <c r="Y47" i="3"/>
  <c r="Y25" i="3"/>
  <c r="Y26" i="3"/>
  <c r="Y64" i="3"/>
  <c r="Y53" i="3"/>
  <c r="Y27" i="3"/>
  <c r="Y57" i="3"/>
  <c r="Y28" i="3"/>
  <c r="Y66" i="3"/>
  <c r="Y29" i="3"/>
  <c r="Y30" i="3"/>
  <c r="Y31" i="3"/>
  <c r="Y32" i="3"/>
  <c r="Y33" i="3"/>
  <c r="Y34" i="3"/>
  <c r="Y35" i="3"/>
  <c r="Y36" i="3"/>
  <c r="Y37" i="3"/>
  <c r="Y38" i="3"/>
  <c r="Y39" i="3"/>
  <c r="Y40" i="3"/>
  <c r="Y41" i="3"/>
  <c r="Y42" i="3"/>
  <c r="Y43" i="3"/>
  <c r="Y44" i="3"/>
  <c r="Y45" i="3"/>
  <c r="Y48" i="3"/>
  <c r="Y49" i="3"/>
  <c r="Y50" i="3"/>
  <c r="Y51" i="3"/>
  <c r="Y102" i="3"/>
  <c r="Y52" i="3"/>
  <c r="Y55" i="3"/>
  <c r="Y103" i="3"/>
  <c r="Y24" i="3"/>
  <c r="Y59" i="3"/>
  <c r="Y61" i="3"/>
  <c r="Y4" i="3"/>
  <c r="Z61" i="3"/>
  <c r="Z59" i="3"/>
  <c r="Z24" i="3"/>
  <c r="Z103" i="3"/>
  <c r="Z55" i="3"/>
  <c r="Z52" i="3"/>
  <c r="Z102" i="3"/>
  <c r="Z51" i="3"/>
  <c r="Z50" i="3"/>
  <c r="Z49" i="3"/>
  <c r="Z48" i="3"/>
  <c r="Z45" i="3"/>
  <c r="Z44" i="3"/>
  <c r="Z43" i="3"/>
  <c r="Z42" i="3"/>
  <c r="Z41" i="3"/>
  <c r="Z40" i="3"/>
  <c r="Z39" i="3"/>
  <c r="Z38" i="3"/>
  <c r="Z37" i="3"/>
  <c r="Z36" i="3"/>
  <c r="Z35" i="3"/>
  <c r="Z34" i="3"/>
  <c r="Z33" i="3"/>
  <c r="Z32" i="3"/>
  <c r="Z31" i="3"/>
  <c r="Z30" i="3"/>
  <c r="Z29" i="3"/>
  <c r="Z66" i="3"/>
  <c r="Z28" i="3"/>
  <c r="Z57" i="3"/>
  <c r="Z27" i="3"/>
  <c r="Z53" i="3"/>
  <c r="Z64" i="3"/>
  <c r="Z26" i="3"/>
  <c r="Z25" i="3"/>
  <c r="Z47" i="3"/>
  <c r="Z23" i="3"/>
  <c r="Z22" i="3"/>
  <c r="Z21" i="3"/>
  <c r="Z56" i="3"/>
  <c r="Z46" i="3"/>
  <c r="Z58" i="3"/>
  <c r="Z65" i="3"/>
  <c r="Z20" i="3"/>
  <c r="Z19" i="3"/>
  <c r="Z63" i="3"/>
  <c r="Z18" i="3"/>
  <c r="Z62" i="3"/>
  <c r="Z17" i="3"/>
  <c r="Z60" i="3"/>
  <c r="Z16" i="3"/>
  <c r="Z15" i="3"/>
  <c r="Z14" i="3"/>
  <c r="Z13" i="3"/>
  <c r="Z12" i="3"/>
  <c r="Z11" i="3"/>
  <c r="Z10" i="3"/>
  <c r="Z9" i="3"/>
  <c r="Z8" i="3"/>
  <c r="Z54" i="3"/>
  <c r="Z7" i="3"/>
  <c r="Z6" i="3"/>
  <c r="Z5" i="3"/>
  <c r="Z4" i="3"/>
  <c r="AA61" i="3"/>
  <c r="AA59" i="3"/>
  <c r="AA24" i="3"/>
  <c r="AA103" i="3"/>
  <c r="AA55" i="3"/>
  <c r="AA52" i="3"/>
  <c r="AA102" i="3"/>
  <c r="AA51" i="3"/>
  <c r="AA50" i="3"/>
  <c r="AA49" i="3"/>
  <c r="AA48" i="3"/>
  <c r="AA45" i="3"/>
  <c r="AA44" i="3"/>
  <c r="AA43" i="3"/>
  <c r="AA42" i="3"/>
  <c r="AA41" i="3"/>
  <c r="AA40" i="3"/>
  <c r="AA39" i="3"/>
  <c r="AA38" i="3"/>
  <c r="AA37" i="3"/>
  <c r="AA36" i="3"/>
  <c r="AA35" i="3"/>
  <c r="AA34" i="3"/>
  <c r="AA33" i="3"/>
  <c r="AA32" i="3"/>
  <c r="AA31" i="3"/>
  <c r="AA30" i="3"/>
  <c r="AA29" i="3"/>
  <c r="AA66" i="3"/>
  <c r="AA28" i="3"/>
  <c r="AA57" i="3"/>
  <c r="AA27" i="3"/>
  <c r="AA53" i="3"/>
  <c r="AA64" i="3"/>
  <c r="AA26" i="3"/>
  <c r="AA25" i="3"/>
  <c r="AA47" i="3"/>
  <c r="AA23" i="3"/>
  <c r="AA22" i="3"/>
  <c r="AA21" i="3"/>
  <c r="AA56" i="3"/>
  <c r="AA46" i="3"/>
  <c r="AA58" i="3"/>
  <c r="AA65" i="3"/>
  <c r="AA20" i="3"/>
  <c r="AA19" i="3"/>
  <c r="AA63" i="3"/>
  <c r="AA18" i="3"/>
  <c r="AA62" i="3"/>
  <c r="AA17" i="3"/>
  <c r="AA60" i="3"/>
  <c r="AA16" i="3"/>
  <c r="AA15" i="3"/>
  <c r="AA14" i="3"/>
  <c r="AA13" i="3"/>
  <c r="AA12" i="3"/>
  <c r="AA11" i="3"/>
  <c r="AA10" i="3"/>
  <c r="AA9" i="3"/>
  <c r="AA8" i="3"/>
  <c r="AA54" i="3"/>
  <c r="AA7" i="3"/>
  <c r="AA6" i="3"/>
  <c r="AA5" i="3"/>
  <c r="AA4" i="3"/>
  <c r="Y2" i="3"/>
  <c r="Z2" i="3"/>
  <c r="AA2" i="3"/>
  <c r="S5" i="3"/>
  <c r="AE4" i="1" s="1"/>
  <c r="S6" i="3"/>
  <c r="AE5" i="1" s="1"/>
  <c r="S7" i="3"/>
  <c r="AE6" i="1" s="1"/>
  <c r="S54" i="3"/>
  <c r="AE53" i="1" s="1"/>
  <c r="S8" i="3"/>
  <c r="AE7" i="1" s="1"/>
  <c r="S9" i="3"/>
  <c r="AE8" i="1" s="1"/>
  <c r="S10" i="3"/>
  <c r="AE9" i="1" s="1"/>
  <c r="S11" i="3"/>
  <c r="AE10" i="1" s="1"/>
  <c r="S12" i="3"/>
  <c r="AE11" i="1" s="1"/>
  <c r="S13" i="3"/>
  <c r="AE12" i="1" s="1"/>
  <c r="S14" i="3"/>
  <c r="AE13" i="1" s="1"/>
  <c r="S15" i="3"/>
  <c r="AE14" i="1" s="1"/>
  <c r="S16" i="3"/>
  <c r="AE15" i="1" s="1"/>
  <c r="S60" i="3"/>
  <c r="AE59" i="1" s="1"/>
  <c r="S17" i="3"/>
  <c r="AE16" i="1" s="1"/>
  <c r="S62" i="3"/>
  <c r="AE61" i="1" s="1"/>
  <c r="S18" i="3"/>
  <c r="AE17" i="1" s="1"/>
  <c r="S63" i="3"/>
  <c r="AE62" i="1" s="1"/>
  <c r="S19" i="3"/>
  <c r="AE18" i="1" s="1"/>
  <c r="S20" i="3"/>
  <c r="AE19" i="1" s="1"/>
  <c r="S65" i="3"/>
  <c r="AE64" i="1" s="1"/>
  <c r="S58" i="3"/>
  <c r="AE57" i="1" s="1"/>
  <c r="S46" i="3"/>
  <c r="AE45" i="1" s="1"/>
  <c r="S56" i="3"/>
  <c r="AE55" i="1" s="1"/>
  <c r="S21" i="3"/>
  <c r="AE20" i="1" s="1"/>
  <c r="S22" i="3"/>
  <c r="AE21" i="1" s="1"/>
  <c r="S23" i="3"/>
  <c r="AE22" i="1" s="1"/>
  <c r="S47" i="3"/>
  <c r="AE46" i="1" s="1"/>
  <c r="S25" i="3"/>
  <c r="AE24" i="1" s="1"/>
  <c r="S26" i="3"/>
  <c r="AE25" i="1" s="1"/>
  <c r="S64" i="3"/>
  <c r="AE63" i="1" s="1"/>
  <c r="S53" i="3"/>
  <c r="AE52" i="1" s="1"/>
  <c r="S27" i="3"/>
  <c r="AE26" i="1" s="1"/>
  <c r="S57" i="3"/>
  <c r="AE56" i="1" s="1"/>
  <c r="S28" i="3"/>
  <c r="AE27" i="1" s="1"/>
  <c r="S66" i="3"/>
  <c r="S29" i="3"/>
  <c r="AE28" i="1" s="1"/>
  <c r="S30" i="3"/>
  <c r="AE29" i="1" s="1"/>
  <c r="S31" i="3"/>
  <c r="AE30" i="1" s="1"/>
  <c r="S32" i="3"/>
  <c r="AE31" i="1" s="1"/>
  <c r="S33" i="3"/>
  <c r="AE32" i="1" s="1"/>
  <c r="S34" i="3"/>
  <c r="AE33" i="1" s="1"/>
  <c r="S35" i="3"/>
  <c r="AE34" i="1" s="1"/>
  <c r="S36" i="3"/>
  <c r="AE35" i="1" s="1"/>
  <c r="S37" i="3"/>
  <c r="AE36" i="1" s="1"/>
  <c r="S38" i="3"/>
  <c r="AE37" i="1" s="1"/>
  <c r="S39" i="3"/>
  <c r="AE38" i="1" s="1"/>
  <c r="S40" i="3"/>
  <c r="AE39" i="1" s="1"/>
  <c r="S41" i="3"/>
  <c r="AE40" i="1" s="1"/>
  <c r="S42" i="3"/>
  <c r="AE41" i="1" s="1"/>
  <c r="S43" i="3"/>
  <c r="AE42" i="1" s="1"/>
  <c r="S44" i="3"/>
  <c r="AE43" i="1" s="1"/>
  <c r="S45" i="3"/>
  <c r="AE44" i="1" s="1"/>
  <c r="S48" i="3"/>
  <c r="AE47" i="1" s="1"/>
  <c r="S49" i="3"/>
  <c r="AE48" i="1" s="1"/>
  <c r="S50" i="3"/>
  <c r="AE49" i="1" s="1"/>
  <c r="S51" i="3"/>
  <c r="AE50" i="1" s="1"/>
  <c r="S102" i="3"/>
  <c r="S52" i="3"/>
  <c r="AE51" i="1" s="1"/>
  <c r="S55" i="3"/>
  <c r="AE54" i="1" s="1"/>
  <c r="S103" i="3"/>
  <c r="S24" i="3"/>
  <c r="AE23" i="1" s="1"/>
  <c r="S59" i="3"/>
  <c r="AE58" i="1" s="1"/>
  <c r="S61" i="3"/>
  <c r="AE60" i="1" s="1"/>
  <c r="S4" i="3"/>
  <c r="AE3" i="1" s="1"/>
  <c r="T30" i="1" l="1"/>
  <c r="Q31" i="18"/>
  <c r="T8" i="1"/>
  <c r="Q9" i="18"/>
  <c r="T49" i="1"/>
  <c r="Q50" i="18"/>
  <c r="T32" i="1"/>
  <c r="Q33" i="18"/>
  <c r="T48" i="1"/>
  <c r="Q49" i="18"/>
  <c r="T12" i="1"/>
  <c r="Q13" i="18"/>
  <c r="T42" i="1"/>
  <c r="Q43" i="18"/>
  <c r="T27" i="1"/>
  <c r="Q28" i="18"/>
  <c r="T18" i="1"/>
  <c r="Q19" i="18"/>
  <c r="T60" i="1"/>
  <c r="Q61" i="18"/>
  <c r="T43" i="1"/>
  <c r="Q44" i="18"/>
  <c r="T31" i="1"/>
  <c r="Q32" i="18"/>
  <c r="T5" i="1"/>
  <c r="Q6" i="18"/>
  <c r="T50" i="1"/>
  <c r="Q51" i="18"/>
  <c r="T63" i="1"/>
  <c r="Q64" i="18"/>
  <c r="T54" i="1"/>
  <c r="Q55" i="18"/>
  <c r="T46" i="1"/>
  <c r="Q47" i="18"/>
  <c r="T3" i="1"/>
  <c r="Q4" i="18"/>
  <c r="T53" i="1"/>
  <c r="Q54" i="18"/>
  <c r="T36" i="1"/>
  <c r="Q37" i="18"/>
  <c r="T22" i="1"/>
  <c r="Q23" i="18"/>
  <c r="T62" i="1"/>
  <c r="Q63" i="18"/>
  <c r="T10" i="1"/>
  <c r="Q11" i="18"/>
  <c r="T57" i="1"/>
  <c r="Q58" i="18"/>
  <c r="T64" i="1"/>
  <c r="Q65" i="18"/>
  <c r="T45" i="1"/>
  <c r="Q46" i="18"/>
  <c r="T16" i="1"/>
  <c r="Q17" i="18"/>
  <c r="T52" i="1"/>
  <c r="Q53" i="18"/>
  <c r="T19" i="1"/>
  <c r="Q20" i="18"/>
  <c r="T58" i="1"/>
  <c r="Q59" i="18"/>
  <c r="T37" i="1"/>
  <c r="Q38" i="18"/>
  <c r="T20" i="1"/>
  <c r="Q21" i="18"/>
  <c r="T51" i="1"/>
  <c r="Q52" i="18"/>
  <c r="T33" i="1"/>
  <c r="Q34" i="18"/>
  <c r="T14" i="1"/>
  <c r="Q15" i="18"/>
  <c r="T28" i="1"/>
  <c r="Q29" i="18"/>
  <c r="T29" i="1"/>
  <c r="Q30" i="18"/>
  <c r="T47" i="1"/>
  <c r="Q48" i="18"/>
  <c r="T56" i="1"/>
  <c r="Q57" i="18"/>
  <c r="T44" i="1"/>
  <c r="Q45" i="18"/>
  <c r="T41" i="1"/>
  <c r="Q42" i="18"/>
  <c r="T59" i="1"/>
  <c r="Q60" i="18"/>
  <c r="T13" i="1"/>
  <c r="Q14" i="18"/>
  <c r="T61" i="1"/>
  <c r="Q62" i="18"/>
  <c r="T23" i="1"/>
  <c r="Q24" i="18"/>
  <c r="T6" i="1"/>
  <c r="Q7" i="18"/>
  <c r="T24" i="1"/>
  <c r="Q25" i="18"/>
  <c r="T15" i="1"/>
  <c r="Q16" i="18"/>
  <c r="T40" i="1"/>
  <c r="Q41" i="18"/>
  <c r="T26" i="1"/>
  <c r="Q27" i="18"/>
  <c r="T39" i="1"/>
  <c r="Q40" i="18"/>
  <c r="T55" i="1"/>
  <c r="Q56" i="18"/>
  <c r="T7" i="1"/>
  <c r="Q8" i="18"/>
  <c r="T4" i="1"/>
  <c r="Q5" i="18"/>
  <c r="T38" i="1"/>
  <c r="Q39" i="18"/>
  <c r="T25" i="1"/>
  <c r="Q26" i="18"/>
  <c r="T35" i="1"/>
  <c r="Q36" i="18"/>
  <c r="T34" i="1"/>
  <c r="Q35" i="18"/>
  <c r="T21" i="1"/>
  <c r="Q22" i="18"/>
  <c r="T9" i="1"/>
  <c r="Q10" i="18"/>
  <c r="T11" i="1"/>
  <c r="Q12" i="18"/>
  <c r="T17" i="1"/>
  <c r="Q18" i="18"/>
  <c r="AQ41" i="1"/>
  <c r="AU41" i="1" s="1"/>
  <c r="AQ63" i="1"/>
  <c r="AU63" i="1" s="1"/>
  <c r="AQ54" i="1"/>
  <c r="AU54" i="1" s="1"/>
  <c r="AQ56" i="1"/>
  <c r="AU56" i="1" s="1"/>
  <c r="AQ51" i="1"/>
  <c r="AU51" i="1" s="1"/>
  <c r="AQ55" i="1"/>
  <c r="AU55" i="1" s="1"/>
  <c r="AQ48" i="1"/>
  <c r="AU48" i="1" s="1"/>
  <c r="AQ42" i="1"/>
  <c r="AU42" i="1" s="1"/>
  <c r="AQ46" i="1"/>
  <c r="AU46" i="1" s="1"/>
  <c r="AQ60" i="1"/>
  <c r="AU60" i="1" s="1"/>
  <c r="AQ45" i="1"/>
  <c r="AU45" i="1" s="1"/>
  <c r="AQ50" i="1"/>
  <c r="AU50" i="1" s="1"/>
  <c r="AQ61" i="1"/>
  <c r="AU61" i="1" s="1"/>
  <c r="AQ43" i="1"/>
  <c r="AU43" i="1" s="1"/>
  <c r="AQ52" i="1"/>
  <c r="AU52" i="1" s="1"/>
  <c r="AQ64" i="1"/>
  <c r="AU64" i="1" s="1"/>
  <c r="AQ53" i="1"/>
  <c r="AU53" i="1" s="1"/>
  <c r="AQ57" i="1"/>
  <c r="AU57" i="1" s="1"/>
  <c r="AQ44" i="1"/>
  <c r="AU44" i="1" s="1"/>
  <c r="AQ49" i="1"/>
  <c r="AU49" i="1" s="1"/>
  <c r="AQ58" i="1"/>
  <c r="AU58" i="1" s="1"/>
  <c r="AQ47" i="1"/>
  <c r="AU47" i="1" s="1"/>
  <c r="AQ59" i="1"/>
  <c r="AU59" i="1" s="1"/>
  <c r="AQ62" i="1"/>
  <c r="AU62" i="1" s="1"/>
  <c r="AQ13" i="1"/>
  <c r="AU13" i="1" s="1"/>
  <c r="AQ3" i="1"/>
  <c r="AU3" i="1" s="1"/>
  <c r="AQ15" i="1"/>
  <c r="AU15" i="1" s="1"/>
  <c r="AQ39" i="1"/>
  <c r="AU39" i="1" s="1"/>
  <c r="AQ10" i="1"/>
  <c r="AU10" i="1" s="1"/>
  <c r="AQ34" i="1"/>
  <c r="AU34" i="1" s="1"/>
  <c r="AQ27" i="1"/>
  <c r="AU27" i="1" s="1"/>
  <c r="AQ4" i="1"/>
  <c r="AU4" i="1" s="1"/>
  <c r="AQ20" i="1"/>
  <c r="AU20" i="1" s="1"/>
  <c r="AQ14" i="1"/>
  <c r="AU14" i="1" s="1"/>
  <c r="AQ36" i="1"/>
  <c r="AU36" i="1" s="1"/>
  <c r="AQ24" i="1"/>
  <c r="AU24" i="1" s="1"/>
  <c r="AQ18" i="1"/>
  <c r="AU18" i="1" s="1"/>
  <c r="AQ12" i="1"/>
  <c r="AU12" i="1" s="1"/>
  <c r="AQ37" i="1"/>
  <c r="AU37" i="1" s="1"/>
  <c r="AQ8" i="1"/>
  <c r="AU8" i="1" s="1"/>
  <c r="AQ31" i="1"/>
  <c r="AU31" i="1" s="1"/>
  <c r="AQ25" i="1"/>
  <c r="AU25" i="1" s="1"/>
  <c r="AQ35" i="1"/>
  <c r="AU35" i="1" s="1"/>
  <c r="AQ40" i="1"/>
  <c r="AU40" i="1" s="1"/>
  <c r="AQ17" i="1"/>
  <c r="AU17" i="1" s="1"/>
  <c r="AQ30" i="1"/>
  <c r="AU30" i="1" s="1"/>
  <c r="AQ11" i="1"/>
  <c r="AU11" i="1" s="1"/>
  <c r="AQ23" i="1"/>
  <c r="AU23" i="1" s="1"/>
  <c r="AQ29" i="1"/>
  <c r="AU29" i="1" s="1"/>
  <c r="AQ6" i="1"/>
  <c r="AU6" i="1" s="1"/>
  <c r="AQ33" i="1"/>
  <c r="AU33" i="1" s="1"/>
  <c r="AQ26" i="1"/>
  <c r="AU26" i="1" s="1"/>
  <c r="AQ38" i="1"/>
  <c r="AU38" i="1" s="1"/>
  <c r="AQ19" i="1"/>
  <c r="AU19" i="1" s="1"/>
  <c r="AQ32" i="1"/>
  <c r="AU32" i="1" s="1"/>
  <c r="AQ9" i="1"/>
  <c r="AU9" i="1" s="1"/>
  <c r="AQ28" i="1"/>
  <c r="AU28" i="1" s="1"/>
  <c r="AQ7" i="1"/>
  <c r="AU7" i="1" s="1"/>
  <c r="AQ16" i="1"/>
  <c r="AU16" i="1" s="1"/>
  <c r="AQ22" i="1"/>
  <c r="AU22" i="1" s="1"/>
  <c r="AQ5" i="1"/>
  <c r="AU5" i="1" s="1"/>
  <c r="AQ21" i="1"/>
  <c r="AU21" i="1" s="1"/>
  <c r="AN23" i="1"/>
  <c r="AN51" i="1"/>
  <c r="AX51" i="1"/>
  <c r="AN34" i="1"/>
  <c r="AN22" i="1"/>
  <c r="AN13" i="1"/>
  <c r="AN54" i="1"/>
  <c r="AN35" i="1"/>
  <c r="AN14" i="1"/>
  <c r="AN36" i="1"/>
  <c r="AN24" i="1"/>
  <c r="AN15" i="1"/>
  <c r="AN37" i="1"/>
  <c r="AN25" i="1"/>
  <c r="AN8" i="1"/>
  <c r="AN48" i="1"/>
  <c r="AN30" i="1"/>
  <c r="AX30" i="1"/>
  <c r="AN9" i="1"/>
  <c r="AN49" i="1"/>
  <c r="AN31" i="1"/>
  <c r="AN10" i="1"/>
  <c r="AN32" i="1"/>
  <c r="AN11" i="1"/>
  <c r="AN33" i="1"/>
  <c r="AN47" i="1"/>
  <c r="AN5" i="1"/>
  <c r="AN42" i="1"/>
  <c r="AN27" i="1"/>
  <c r="AN18" i="1"/>
  <c r="AN6" i="1"/>
  <c r="AN43" i="1"/>
  <c r="AN19" i="1"/>
  <c r="AN44" i="1"/>
  <c r="AN28" i="1"/>
  <c r="AN7" i="1"/>
  <c r="AN29" i="1"/>
  <c r="AN41" i="1"/>
  <c r="AX41" i="1"/>
  <c r="AN21" i="1"/>
  <c r="AN58" i="1"/>
  <c r="AX58" i="1"/>
  <c r="AN38" i="1"/>
  <c r="AN16" i="1"/>
  <c r="AN60" i="1"/>
  <c r="AN39" i="1"/>
  <c r="AN3" i="1"/>
  <c r="AN40" i="1"/>
  <c r="AN26" i="1"/>
  <c r="AN17" i="1"/>
  <c r="AN4" i="1"/>
  <c r="AN12" i="1"/>
  <c r="U51" i="15"/>
  <c r="X51" i="15" s="1"/>
  <c r="Q51" i="16" s="1"/>
  <c r="U21" i="15"/>
  <c r="X21" i="15" s="1"/>
  <c r="Q21" i="16" s="1"/>
  <c r="U103" i="15"/>
  <c r="X103" i="15" s="1"/>
  <c r="Y103" i="15" s="1"/>
  <c r="AT102" i="1" s="1"/>
  <c r="U102" i="15"/>
  <c r="X102" i="15" s="1"/>
  <c r="Y102" i="15" s="1"/>
  <c r="AT101" i="1" s="1"/>
  <c r="U66" i="15"/>
  <c r="X66" i="15" s="1"/>
  <c r="Y66" i="15" s="1"/>
  <c r="AT65" i="1" s="1"/>
  <c r="U57" i="15"/>
  <c r="X57" i="15" s="1"/>
  <c r="Q57" i="16" s="1"/>
  <c r="U64" i="15"/>
  <c r="X64" i="15" s="1"/>
  <c r="Q64" i="16" s="1"/>
  <c r="U53" i="15"/>
  <c r="X53" i="15" s="1"/>
  <c r="Q53" i="16" s="1"/>
  <c r="U47" i="15"/>
  <c r="X47" i="15" s="1"/>
  <c r="Q47" i="16" s="1"/>
  <c r="U46" i="15"/>
  <c r="X46" i="15" s="1"/>
  <c r="Q46" i="16" s="1"/>
  <c r="U56" i="15"/>
  <c r="X56" i="15" s="1"/>
  <c r="Q56" i="16" s="1"/>
  <c r="U58" i="15"/>
  <c r="X58" i="15" s="1"/>
  <c r="Q58" i="16" s="1"/>
  <c r="U65" i="15"/>
  <c r="X65" i="15" s="1"/>
  <c r="Q65" i="16" s="1"/>
  <c r="U63" i="15"/>
  <c r="X63" i="15" s="1"/>
  <c r="Q63" i="16" s="1"/>
  <c r="U62" i="15"/>
  <c r="X62" i="15" s="1"/>
  <c r="Q62" i="16" s="1"/>
  <c r="U60" i="15"/>
  <c r="X60" i="15" s="1"/>
  <c r="Q60" i="16" s="1"/>
  <c r="U54" i="15"/>
  <c r="X54" i="15" s="1"/>
  <c r="Q54" i="16" s="1"/>
  <c r="AX34" i="1"/>
  <c r="AX25" i="1"/>
  <c r="AX27" i="1"/>
  <c r="AX23" i="1"/>
  <c r="AX35" i="1"/>
  <c r="AX38" i="1"/>
  <c r="Y20" i="15"/>
  <c r="Y14" i="15"/>
  <c r="Y31" i="15"/>
  <c r="Y10" i="15"/>
  <c r="Y32" i="15"/>
  <c r="Y11" i="15"/>
  <c r="Y34" i="15"/>
  <c r="Y43" i="15"/>
  <c r="Y48" i="15"/>
  <c r="Y19" i="15"/>
  <c r="Y44" i="15"/>
  <c r="Y45" i="15"/>
  <c r="Y24" i="15"/>
  <c r="Y52" i="15"/>
  <c r="Y35" i="15"/>
  <c r="Y23" i="15"/>
  <c r="Y55" i="15"/>
  <c r="Y36" i="15"/>
  <c r="Y15" i="15"/>
  <c r="Y37" i="15"/>
  <c r="Y25" i="15"/>
  <c r="Y16" i="15"/>
  <c r="Y38" i="15"/>
  <c r="Y26" i="15"/>
  <c r="Y42" i="15"/>
  <c r="Y9" i="15"/>
  <c r="Y49" i="15"/>
  <c r="Y50" i="15"/>
  <c r="Y33" i="15"/>
  <c r="Y12" i="15"/>
  <c r="Y7" i="15"/>
  <c r="Y6" i="15"/>
  <c r="Y28" i="15"/>
  <c r="Y29" i="15"/>
  <c r="Y8" i="15"/>
  <c r="Y30" i="15"/>
  <c r="Y5" i="15"/>
  <c r="Y22" i="15"/>
  <c r="Y59" i="15"/>
  <c r="Y39" i="15"/>
  <c r="Y17" i="15"/>
  <c r="Y61" i="15"/>
  <c r="Y40" i="15"/>
  <c r="Y4" i="15"/>
  <c r="Y41" i="15"/>
  <c r="Y27" i="15"/>
  <c r="Y18" i="15"/>
  <c r="Y13" i="15"/>
  <c r="V56" i="1"/>
  <c r="V48" i="1"/>
  <c r="V12" i="1"/>
  <c r="V42" i="1"/>
  <c r="V27" i="1"/>
  <c r="V18" i="1"/>
  <c r="V60" i="1"/>
  <c r="V43" i="1"/>
  <c r="V31" i="1"/>
  <c r="V5" i="1"/>
  <c r="V50" i="1"/>
  <c r="V63" i="1"/>
  <c r="V54" i="1"/>
  <c r="V46" i="1"/>
  <c r="V3" i="1"/>
  <c r="V53" i="1"/>
  <c r="V24" i="1"/>
  <c r="V15" i="1"/>
  <c r="V40" i="1"/>
  <c r="V26" i="1"/>
  <c r="V39" i="1"/>
  <c r="V55" i="1"/>
  <c r="V7" i="1"/>
  <c r="V4" i="1"/>
  <c r="V38" i="1"/>
  <c r="V25" i="1"/>
  <c r="V35" i="1"/>
  <c r="V36" i="1"/>
  <c r="V22" i="1"/>
  <c r="V62" i="1"/>
  <c r="V10" i="1"/>
  <c r="V57" i="1"/>
  <c r="V64" i="1"/>
  <c r="V45" i="1"/>
  <c r="V16" i="1"/>
  <c r="V52" i="1"/>
  <c r="V19" i="1"/>
  <c r="V58" i="1"/>
  <c r="V37" i="1"/>
  <c r="V20" i="1"/>
  <c r="V34" i="1"/>
  <c r="V21" i="1"/>
  <c r="V9" i="1"/>
  <c r="V11" i="1"/>
  <c r="V17" i="1"/>
  <c r="V30" i="1"/>
  <c r="V59" i="1"/>
  <c r="V8" i="1"/>
  <c r="V13" i="1"/>
  <c r="V49" i="1"/>
  <c r="V61" i="1"/>
  <c r="V23" i="1"/>
  <c r="V32" i="1"/>
  <c r="V6" i="1"/>
  <c r="V51" i="1"/>
  <c r="V33" i="1"/>
  <c r="V14" i="1"/>
  <c r="V28" i="1"/>
  <c r="V29" i="1"/>
  <c r="V47" i="1"/>
  <c r="V44" i="1"/>
  <c r="V41" i="1"/>
  <c r="AX5" i="1"/>
  <c r="AX19" i="1"/>
  <c r="AX21" i="1"/>
  <c r="AX29" i="1"/>
  <c r="AX33" i="1"/>
  <c r="AX37" i="1"/>
  <c r="AX48" i="1"/>
  <c r="H9" i="13"/>
  <c r="H10" i="13"/>
  <c r="H11" i="13"/>
  <c r="H35" i="13"/>
  <c r="H12" i="13"/>
  <c r="H13" i="13"/>
  <c r="H14" i="13"/>
  <c r="H17" i="13"/>
  <c r="H18" i="13"/>
  <c r="H19" i="13"/>
  <c r="H20" i="13"/>
  <c r="H21" i="13"/>
  <c r="H22" i="13"/>
  <c r="H49" i="13"/>
  <c r="H24" i="13"/>
  <c r="H52" i="13"/>
  <c r="H27" i="13"/>
  <c r="H58" i="13"/>
  <c r="H29" i="13"/>
  <c r="H30" i="13"/>
  <c r="H66" i="13"/>
  <c r="H44" i="13"/>
  <c r="H16" i="13"/>
  <c r="H23" i="13"/>
  <c r="H33" i="13"/>
  <c r="H36" i="13"/>
  <c r="H37" i="13"/>
  <c r="H34" i="13"/>
  <c r="H42" i="13"/>
  <c r="H43" i="13"/>
  <c r="H41" i="13"/>
  <c r="H68" i="13"/>
  <c r="H45" i="13"/>
  <c r="H104" i="13"/>
  <c r="H47" i="13"/>
  <c r="H105" i="13"/>
  <c r="H48" i="13"/>
  <c r="H51" i="13"/>
  <c r="H53" i="13"/>
  <c r="H54" i="13"/>
  <c r="H55" i="13"/>
  <c r="H56" i="13"/>
  <c r="H57" i="13"/>
  <c r="H59" i="13"/>
  <c r="H60" i="13"/>
  <c r="H61" i="13"/>
  <c r="H62" i="13"/>
  <c r="H63" i="13"/>
  <c r="H65" i="13"/>
  <c r="H67" i="13"/>
  <c r="H6" i="13"/>
  <c r="H7" i="13"/>
  <c r="H15" i="13"/>
  <c r="H25" i="13"/>
  <c r="H26" i="13"/>
  <c r="H28" i="13"/>
  <c r="H31" i="13"/>
  <c r="H40" i="13"/>
  <c r="H32" i="13"/>
  <c r="H38" i="13"/>
  <c r="H64" i="13"/>
  <c r="H39" i="13"/>
  <c r="H46" i="13"/>
  <c r="H50" i="13"/>
  <c r="H8" i="13"/>
  <c r="R35" i="18" l="1"/>
  <c r="N34" i="1" s="1"/>
  <c r="L34" i="1"/>
  <c r="O34" i="1" s="1"/>
  <c r="P34" i="1" s="1"/>
  <c r="R26" i="18"/>
  <c r="N25" i="1" s="1"/>
  <c r="L25" i="1"/>
  <c r="O25" i="1" s="1"/>
  <c r="P25" i="1" s="1"/>
  <c r="R5" i="18"/>
  <c r="N4" i="1" s="1"/>
  <c r="L4" i="1"/>
  <c r="O4" i="1" s="1"/>
  <c r="P4" i="1" s="1"/>
  <c r="R27" i="18"/>
  <c r="N26" i="1" s="1"/>
  <c r="L26" i="1"/>
  <c r="O26" i="1" s="1"/>
  <c r="P26" i="1" s="1"/>
  <c r="R62" i="18"/>
  <c r="N61" i="1" s="1"/>
  <c r="L61" i="1"/>
  <c r="O61" i="1" s="1"/>
  <c r="P61" i="1" s="1"/>
  <c r="R45" i="18"/>
  <c r="N44" i="1" s="1"/>
  <c r="L44" i="1"/>
  <c r="O44" i="1" s="1"/>
  <c r="P44" i="1" s="1"/>
  <c r="R34" i="18"/>
  <c r="N33" i="1" s="1"/>
  <c r="L33" i="1"/>
  <c r="O33" i="1" s="1"/>
  <c r="P33" i="1" s="1"/>
  <c r="R21" i="18"/>
  <c r="N20" i="1" s="1"/>
  <c r="L20" i="1"/>
  <c r="O20" i="1" s="1"/>
  <c r="P20" i="1" s="1"/>
  <c r="R46" i="18"/>
  <c r="N45" i="1" s="1"/>
  <c r="L45" i="1"/>
  <c r="O45" i="1" s="1"/>
  <c r="P45" i="1" s="1"/>
  <c r="R58" i="18"/>
  <c r="N57" i="1" s="1"/>
  <c r="L57" i="1"/>
  <c r="O57" i="1" s="1"/>
  <c r="P57" i="1" s="1"/>
  <c r="R37" i="18"/>
  <c r="N36" i="1" s="1"/>
  <c r="L36" i="1"/>
  <c r="O36" i="1" s="1"/>
  <c r="P36" i="1" s="1"/>
  <c r="R51" i="18"/>
  <c r="N50" i="1" s="1"/>
  <c r="L50" i="1"/>
  <c r="O50" i="1" s="1"/>
  <c r="P50" i="1" s="1"/>
  <c r="R61" i="18"/>
  <c r="N60" i="1" s="1"/>
  <c r="L60" i="1"/>
  <c r="O60" i="1" s="1"/>
  <c r="P60" i="1" s="1"/>
  <c r="R33" i="18"/>
  <c r="N32" i="1" s="1"/>
  <c r="L32" i="1"/>
  <c r="O32" i="1" s="1"/>
  <c r="P32" i="1" s="1"/>
  <c r="R12" i="18"/>
  <c r="N11" i="1" s="1"/>
  <c r="L11" i="1"/>
  <c r="O11" i="1" s="1"/>
  <c r="P11" i="1" s="1"/>
  <c r="R22" i="18"/>
  <c r="N21" i="1" s="1"/>
  <c r="L21" i="1"/>
  <c r="O21" i="1" s="1"/>
  <c r="P21" i="1" s="1"/>
  <c r="R36" i="18"/>
  <c r="N35" i="1" s="1"/>
  <c r="L35" i="1"/>
  <c r="O35" i="1" s="1"/>
  <c r="P35" i="1" s="1"/>
  <c r="R39" i="18"/>
  <c r="N38" i="1" s="1"/>
  <c r="L38" i="1"/>
  <c r="O38" i="1" s="1"/>
  <c r="P38" i="1" s="1"/>
  <c r="R8" i="18"/>
  <c r="N7" i="1" s="1"/>
  <c r="L7" i="1"/>
  <c r="O7" i="1" s="1"/>
  <c r="P7" i="1" s="1"/>
  <c r="R40" i="18"/>
  <c r="N39" i="1" s="1"/>
  <c r="L39" i="1"/>
  <c r="O39" i="1" s="1"/>
  <c r="P39" i="1" s="1"/>
  <c r="R41" i="18"/>
  <c r="N40" i="1" s="1"/>
  <c r="L40" i="1"/>
  <c r="O40" i="1" s="1"/>
  <c r="P40" i="1" s="1"/>
  <c r="R25" i="18"/>
  <c r="N24" i="1" s="1"/>
  <c r="L24" i="1"/>
  <c r="O24" i="1" s="1"/>
  <c r="P24" i="1" s="1"/>
  <c r="R24" i="18"/>
  <c r="N23" i="1" s="1"/>
  <c r="L23" i="1"/>
  <c r="O23" i="1" s="1"/>
  <c r="P23" i="1" s="1"/>
  <c r="R14" i="18"/>
  <c r="N13" i="1" s="1"/>
  <c r="Q13" i="1" s="1"/>
  <c r="L13" i="1"/>
  <c r="O13" i="1" s="1"/>
  <c r="P13" i="1" s="1"/>
  <c r="R13" i="1" s="1"/>
  <c r="R42" i="18"/>
  <c r="N41" i="1" s="1"/>
  <c r="L41" i="1"/>
  <c r="O41" i="1" s="1"/>
  <c r="P41" i="1" s="1"/>
  <c r="R57" i="18"/>
  <c r="N56" i="1" s="1"/>
  <c r="L56" i="1"/>
  <c r="O56" i="1" s="1"/>
  <c r="P56" i="1" s="1"/>
  <c r="R30" i="18"/>
  <c r="N29" i="1" s="1"/>
  <c r="L29" i="1"/>
  <c r="O29" i="1" s="1"/>
  <c r="P29" i="1" s="1"/>
  <c r="R15" i="18"/>
  <c r="N14" i="1" s="1"/>
  <c r="L14" i="1"/>
  <c r="O14" i="1" s="1"/>
  <c r="P14" i="1" s="1"/>
  <c r="R52" i="18"/>
  <c r="N51" i="1" s="1"/>
  <c r="L51" i="1"/>
  <c r="O51" i="1" s="1"/>
  <c r="P51" i="1" s="1"/>
  <c r="R38" i="18"/>
  <c r="N37" i="1" s="1"/>
  <c r="L37" i="1"/>
  <c r="O37" i="1" s="1"/>
  <c r="P37" i="1" s="1"/>
  <c r="R20" i="18"/>
  <c r="N19" i="1" s="1"/>
  <c r="L19" i="1"/>
  <c r="O19" i="1" s="1"/>
  <c r="P19" i="1" s="1"/>
  <c r="R17" i="18"/>
  <c r="N16" i="1" s="1"/>
  <c r="L16" i="1"/>
  <c r="O16" i="1" s="1"/>
  <c r="P16" i="1" s="1"/>
  <c r="R65" i="18"/>
  <c r="N64" i="1" s="1"/>
  <c r="L64" i="1"/>
  <c r="O64" i="1" s="1"/>
  <c r="P64" i="1" s="1"/>
  <c r="R11" i="18"/>
  <c r="N10" i="1" s="1"/>
  <c r="L10" i="1"/>
  <c r="O10" i="1" s="1"/>
  <c r="P10" i="1" s="1"/>
  <c r="R23" i="18"/>
  <c r="N22" i="1" s="1"/>
  <c r="L22" i="1"/>
  <c r="O22" i="1" s="1"/>
  <c r="P22" i="1" s="1"/>
  <c r="R54" i="18"/>
  <c r="N53" i="1" s="1"/>
  <c r="L53" i="1"/>
  <c r="O53" i="1" s="1"/>
  <c r="P53" i="1" s="1"/>
  <c r="R47" i="18"/>
  <c r="N46" i="1" s="1"/>
  <c r="L46" i="1"/>
  <c r="O46" i="1" s="1"/>
  <c r="P46" i="1" s="1"/>
  <c r="R64" i="18"/>
  <c r="N63" i="1" s="1"/>
  <c r="L63" i="1"/>
  <c r="O63" i="1" s="1"/>
  <c r="P63" i="1" s="1"/>
  <c r="R6" i="18"/>
  <c r="N5" i="1" s="1"/>
  <c r="L5" i="1"/>
  <c r="O5" i="1" s="1"/>
  <c r="P5" i="1" s="1"/>
  <c r="R44" i="18"/>
  <c r="N43" i="1" s="1"/>
  <c r="L43" i="1"/>
  <c r="O43" i="1" s="1"/>
  <c r="P43" i="1" s="1"/>
  <c r="R19" i="18"/>
  <c r="N18" i="1" s="1"/>
  <c r="L18" i="1"/>
  <c r="O18" i="1" s="1"/>
  <c r="P18" i="1" s="1"/>
  <c r="R43" i="18"/>
  <c r="N42" i="1" s="1"/>
  <c r="L42" i="1"/>
  <c r="O42" i="1" s="1"/>
  <c r="P42" i="1" s="1"/>
  <c r="R49" i="18"/>
  <c r="N48" i="1" s="1"/>
  <c r="L48" i="1"/>
  <c r="O48" i="1" s="1"/>
  <c r="P48" i="1" s="1"/>
  <c r="R50" i="18"/>
  <c r="N49" i="1" s="1"/>
  <c r="L49" i="1"/>
  <c r="O49" i="1" s="1"/>
  <c r="P49" i="1" s="1"/>
  <c r="R31" i="18"/>
  <c r="N30" i="1" s="1"/>
  <c r="L30" i="1"/>
  <c r="O30" i="1" s="1"/>
  <c r="P30" i="1" s="1"/>
  <c r="R18" i="18"/>
  <c r="N17" i="1" s="1"/>
  <c r="L17" i="1"/>
  <c r="O17" i="1" s="1"/>
  <c r="P17" i="1" s="1"/>
  <c r="R10" i="18"/>
  <c r="N9" i="1" s="1"/>
  <c r="L9" i="1"/>
  <c r="O9" i="1" s="1"/>
  <c r="P9" i="1" s="1"/>
  <c r="R56" i="18"/>
  <c r="N55" i="1" s="1"/>
  <c r="L55" i="1"/>
  <c r="O55" i="1" s="1"/>
  <c r="P55" i="1" s="1"/>
  <c r="R16" i="18"/>
  <c r="N15" i="1" s="1"/>
  <c r="L15" i="1"/>
  <c r="O15" i="1" s="1"/>
  <c r="P15" i="1" s="1"/>
  <c r="R7" i="18"/>
  <c r="N6" i="1" s="1"/>
  <c r="L6" i="1"/>
  <c r="O6" i="1" s="1"/>
  <c r="P6" i="1" s="1"/>
  <c r="R60" i="18"/>
  <c r="N59" i="1" s="1"/>
  <c r="L59" i="1"/>
  <c r="O59" i="1" s="1"/>
  <c r="P59" i="1" s="1"/>
  <c r="R48" i="18"/>
  <c r="N47" i="1" s="1"/>
  <c r="L47" i="1"/>
  <c r="O47" i="1" s="1"/>
  <c r="P47" i="1" s="1"/>
  <c r="R29" i="18"/>
  <c r="N28" i="1" s="1"/>
  <c r="L28" i="1"/>
  <c r="O28" i="1" s="1"/>
  <c r="P28" i="1" s="1"/>
  <c r="R59" i="18"/>
  <c r="N58" i="1" s="1"/>
  <c r="L58" i="1"/>
  <c r="O58" i="1" s="1"/>
  <c r="P58" i="1" s="1"/>
  <c r="R53" i="18"/>
  <c r="N52" i="1" s="1"/>
  <c r="L52" i="1"/>
  <c r="O52" i="1" s="1"/>
  <c r="P52" i="1" s="1"/>
  <c r="R63" i="18"/>
  <c r="N62" i="1" s="1"/>
  <c r="L62" i="1"/>
  <c r="O62" i="1" s="1"/>
  <c r="P62" i="1" s="1"/>
  <c r="R55" i="18"/>
  <c r="N54" i="1" s="1"/>
  <c r="L54" i="1"/>
  <c r="O54" i="1" s="1"/>
  <c r="P54" i="1" s="1"/>
  <c r="R32" i="18"/>
  <c r="N31" i="1" s="1"/>
  <c r="L31" i="1"/>
  <c r="O31" i="1" s="1"/>
  <c r="P31" i="1" s="1"/>
  <c r="R28" i="18"/>
  <c r="N27" i="1" s="1"/>
  <c r="L27" i="1"/>
  <c r="O27" i="1" s="1"/>
  <c r="P27" i="1" s="1"/>
  <c r="R13" i="18"/>
  <c r="N12" i="1" s="1"/>
  <c r="Q12" i="1" s="1"/>
  <c r="L12" i="1"/>
  <c r="O12" i="1" s="1"/>
  <c r="P12" i="1" s="1"/>
  <c r="R12" i="1" s="1"/>
  <c r="R9" i="18"/>
  <c r="N8" i="1" s="1"/>
  <c r="L8" i="1"/>
  <c r="O8" i="1" s="1"/>
  <c r="P8" i="1" s="1"/>
  <c r="R4" i="18"/>
  <c r="N3" i="1" s="1"/>
  <c r="L3" i="1"/>
  <c r="AN20" i="1"/>
  <c r="AX20" i="1"/>
  <c r="AN50" i="1"/>
  <c r="AX50" i="1"/>
  <c r="AP17" i="1"/>
  <c r="AT17" i="1" s="1"/>
  <c r="AP39" i="1"/>
  <c r="AT39" i="1" s="1"/>
  <c r="AP58" i="1"/>
  <c r="AT58" i="1" s="1"/>
  <c r="AP7" i="1"/>
  <c r="AT7" i="1" s="1"/>
  <c r="AP6" i="1"/>
  <c r="AT6" i="1" s="1"/>
  <c r="AP48" i="1"/>
  <c r="AT48" i="1" s="1"/>
  <c r="AP37" i="1"/>
  <c r="AT37" i="1" s="1"/>
  <c r="AP14" i="1"/>
  <c r="AT14" i="1" s="1"/>
  <c r="AP34" i="1"/>
  <c r="AT34" i="1" s="1"/>
  <c r="AP43" i="1"/>
  <c r="AT43" i="1" s="1"/>
  <c r="AP33" i="1"/>
  <c r="AT33" i="1" s="1"/>
  <c r="AP30" i="1"/>
  <c r="AT30" i="1" s="1"/>
  <c r="AP26" i="1"/>
  <c r="AT26" i="1" s="1"/>
  <c r="AP60" i="1"/>
  <c r="AT60" i="1" s="1"/>
  <c r="AP21" i="1"/>
  <c r="AT21" i="1" s="1"/>
  <c r="AP28" i="1"/>
  <c r="AT28" i="1" s="1"/>
  <c r="AP11" i="1"/>
  <c r="AT11" i="1" s="1"/>
  <c r="AP8" i="1"/>
  <c r="AT8" i="1" s="1"/>
  <c r="AP15" i="1"/>
  <c r="AT15" i="1" s="1"/>
  <c r="AP35" i="1"/>
  <c r="AT35" i="1" s="1"/>
  <c r="AP51" i="1"/>
  <c r="AT51" i="1" s="1"/>
  <c r="AP18" i="1"/>
  <c r="AT18" i="1" s="1"/>
  <c r="AP10" i="1"/>
  <c r="AT10" i="1" s="1"/>
  <c r="AP13" i="1"/>
  <c r="AT13" i="1" s="1"/>
  <c r="AP40" i="1"/>
  <c r="AT40" i="1" s="1"/>
  <c r="AP16" i="1"/>
  <c r="AT16" i="1" s="1"/>
  <c r="AP4" i="1"/>
  <c r="AT4" i="1" s="1"/>
  <c r="AP27" i="1"/>
  <c r="AT27" i="1" s="1"/>
  <c r="AP32" i="1"/>
  <c r="AT32" i="1" s="1"/>
  <c r="AP41" i="1"/>
  <c r="AT41" i="1" s="1"/>
  <c r="AP24" i="1"/>
  <c r="AT24" i="1" s="1"/>
  <c r="AP54" i="1"/>
  <c r="AT54" i="1" s="1"/>
  <c r="AP23" i="1"/>
  <c r="AT23" i="1" s="1"/>
  <c r="AP47" i="1"/>
  <c r="AT47" i="1" s="1"/>
  <c r="AP31" i="1"/>
  <c r="AT31" i="1" s="1"/>
  <c r="AP19" i="1"/>
  <c r="AT19" i="1" s="1"/>
  <c r="AP12" i="1"/>
  <c r="AT12" i="1" s="1"/>
  <c r="AP38" i="1"/>
  <c r="AT38" i="1" s="1"/>
  <c r="AP29" i="1"/>
  <c r="AT29" i="1" s="1"/>
  <c r="AP5" i="1"/>
  <c r="AT5" i="1" s="1"/>
  <c r="AP49" i="1"/>
  <c r="AT49" i="1" s="1"/>
  <c r="AP25" i="1"/>
  <c r="AT25" i="1" s="1"/>
  <c r="AP36" i="1"/>
  <c r="AT36" i="1" s="1"/>
  <c r="AP22" i="1"/>
  <c r="AT22" i="1" s="1"/>
  <c r="AP44" i="1"/>
  <c r="AT44" i="1" s="1"/>
  <c r="AP42" i="1"/>
  <c r="AT42" i="1" s="1"/>
  <c r="AP9" i="1"/>
  <c r="AT9" i="1" s="1"/>
  <c r="AP3" i="1"/>
  <c r="AT3" i="1" s="1"/>
  <c r="Y60" i="15"/>
  <c r="AN59" i="1"/>
  <c r="Y58" i="15"/>
  <c r="AN57" i="1"/>
  <c r="Y53" i="15"/>
  <c r="AN52" i="1"/>
  <c r="Y62" i="15"/>
  <c r="AN61" i="1"/>
  <c r="Y56" i="15"/>
  <c r="AN55" i="1"/>
  <c r="Y64" i="15"/>
  <c r="AN63" i="1"/>
  <c r="Y63" i="15"/>
  <c r="AN62" i="1"/>
  <c r="Y46" i="15"/>
  <c r="AN45" i="1"/>
  <c r="Y57" i="15"/>
  <c r="AN56" i="1"/>
  <c r="Y54" i="15"/>
  <c r="AN53" i="1"/>
  <c r="Y65" i="15"/>
  <c r="AN64" i="1"/>
  <c r="Y47" i="15"/>
  <c r="AN46" i="1"/>
  <c r="AX56" i="1"/>
  <c r="Y51" i="15"/>
  <c r="Y21" i="15"/>
  <c r="AX57" i="1"/>
  <c r="AX55" i="1"/>
  <c r="AX45" i="1"/>
  <c r="AX62" i="1"/>
  <c r="AX36" i="1"/>
  <c r="AX28" i="1"/>
  <c r="AX26" i="1"/>
  <c r="AX24" i="1"/>
  <c r="AX17" i="1"/>
  <c r="AX15" i="1"/>
  <c r="AX11" i="1"/>
  <c r="AX40" i="1"/>
  <c r="AX3" i="1"/>
  <c r="AX44" i="1"/>
  <c r="AX32" i="1"/>
  <c r="AX7" i="1"/>
  <c r="AX60" i="1"/>
  <c r="AX54" i="1"/>
  <c r="AX49" i="1"/>
  <c r="AX43" i="1"/>
  <c r="AX31" i="1"/>
  <c r="AX52" i="1"/>
  <c r="AX46" i="1"/>
  <c r="AX61" i="1"/>
  <c r="AX14" i="1"/>
  <c r="AX10" i="1"/>
  <c r="AX53" i="1"/>
  <c r="AX39" i="1"/>
  <c r="AX4" i="1"/>
  <c r="AX64" i="1"/>
  <c r="AX42" i="1"/>
  <c r="AX16" i="1"/>
  <c r="AX12" i="1"/>
  <c r="AX63" i="1"/>
  <c r="AX6" i="1"/>
  <c r="AX59" i="1"/>
  <c r="AX18" i="1"/>
  <c r="AX47" i="1"/>
  <c r="AX13" i="1"/>
  <c r="AX9" i="1"/>
  <c r="AX8" i="1"/>
  <c r="AX22" i="1"/>
  <c r="C3" i="12"/>
  <c r="C4" i="12"/>
  <c r="C5" i="12"/>
  <c r="C6" i="12"/>
  <c r="C7"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6" i="12"/>
  <c r="C47" i="12"/>
  <c r="C48" i="12"/>
  <c r="C49" i="12"/>
  <c r="C50" i="12"/>
  <c r="C53" i="12"/>
  <c r="C54" i="12"/>
  <c r="C58" i="12"/>
  <c r="C60" i="12"/>
  <c r="AP64" i="1" l="1"/>
  <c r="AT64" i="1" s="1"/>
  <c r="AP56" i="1"/>
  <c r="AT56" i="1" s="1"/>
  <c r="AP62" i="1"/>
  <c r="AT62" i="1" s="1"/>
  <c r="AP55" i="1"/>
  <c r="AT55" i="1" s="1"/>
  <c r="AP52" i="1"/>
  <c r="AT52" i="1" s="1"/>
  <c r="AP59" i="1"/>
  <c r="AT59" i="1" s="1"/>
  <c r="AP20" i="1"/>
  <c r="AT20" i="1" s="1"/>
  <c r="AP46" i="1"/>
  <c r="AT46" i="1" s="1"/>
  <c r="AP53" i="1"/>
  <c r="AT53" i="1" s="1"/>
  <c r="AP45" i="1"/>
  <c r="AT45" i="1" s="1"/>
  <c r="AP63" i="1"/>
  <c r="AT63" i="1" s="1"/>
  <c r="AP61" i="1"/>
  <c r="AT61" i="1" s="1"/>
  <c r="AP57" i="1"/>
  <c r="AT57" i="1" s="1"/>
  <c r="AP50" i="1"/>
  <c r="AT50" i="1" s="1"/>
  <c r="P56" i="2"/>
  <c r="H55" i="1" s="1"/>
  <c r="P13" i="16"/>
  <c r="AY12" i="1" s="1"/>
  <c r="P46" i="2"/>
  <c r="H45" i="1" s="1"/>
  <c r="P43" i="2"/>
  <c r="H42" i="1" s="1"/>
  <c r="P24" i="2"/>
  <c r="H23" i="1" s="1"/>
  <c r="P18" i="2"/>
  <c r="H17" i="1" s="1"/>
  <c r="P42" i="2"/>
  <c r="H41" i="1" s="1"/>
  <c r="P19" i="2"/>
  <c r="H18" i="1" s="1"/>
  <c r="P44" i="2"/>
  <c r="H43" i="1" s="1"/>
  <c r="P16" i="2"/>
  <c r="H15" i="1" s="1"/>
  <c r="P30" i="2"/>
  <c r="H29" i="1" s="1"/>
  <c r="P60" i="2"/>
  <c r="H59" i="1" s="1"/>
  <c r="P57" i="2"/>
  <c r="H56" i="1" s="1"/>
  <c r="P41" i="2"/>
  <c r="H40" i="1" s="1"/>
  <c r="P27" i="2"/>
  <c r="H26" i="1" s="1"/>
  <c r="P5" i="2"/>
  <c r="H4" i="1" s="1"/>
  <c r="P43" i="16"/>
  <c r="AY42" i="1" s="1"/>
  <c r="P7" i="16"/>
  <c r="AY6" i="1" s="1"/>
  <c r="P31" i="2"/>
  <c r="H30" i="1" s="1"/>
  <c r="P63" i="2"/>
  <c r="H62" i="1" s="1"/>
  <c r="P34" i="2"/>
  <c r="H33" i="1" s="1"/>
  <c r="P48" i="2"/>
  <c r="H47" i="1" s="1"/>
  <c r="P26" i="2"/>
  <c r="H25" i="1" s="1"/>
  <c r="P50" i="2"/>
  <c r="H49" i="1" s="1"/>
  <c r="P21" i="2"/>
  <c r="H20" i="1" s="1"/>
  <c r="P19" i="16"/>
  <c r="AY18" i="1" s="1"/>
  <c r="P58" i="2"/>
  <c r="H57" i="1" s="1"/>
  <c r="P9" i="2"/>
  <c r="H8" i="1" s="1"/>
  <c r="P64" i="2"/>
  <c r="H63" i="1" s="1"/>
  <c r="P10" i="2"/>
  <c r="H9" i="1" s="1"/>
  <c r="P62" i="2"/>
  <c r="H61" i="1" s="1"/>
  <c r="P51" i="2"/>
  <c r="H50" i="1" s="1"/>
  <c r="P33" i="2"/>
  <c r="H32" i="1" s="1"/>
  <c r="P6" i="2"/>
  <c r="H5" i="1" s="1"/>
  <c r="P102" i="2"/>
  <c r="P13" i="2"/>
  <c r="H12" i="1" s="1"/>
  <c r="P52" i="2"/>
  <c r="H51" i="1" s="1"/>
  <c r="P35" i="2"/>
  <c r="H34" i="1" s="1"/>
  <c r="P28" i="2"/>
  <c r="H27" i="1" s="1"/>
  <c r="P23" i="2"/>
  <c r="H22" i="1" s="1"/>
  <c r="P14" i="2"/>
  <c r="H13" i="1" s="1"/>
  <c r="P7" i="2"/>
  <c r="H6" i="1" s="1"/>
  <c r="P66" i="2"/>
  <c r="P103" i="2"/>
  <c r="P45" i="2"/>
  <c r="H44" i="1" s="1"/>
  <c r="P29" i="2"/>
  <c r="H28" i="1" s="1"/>
  <c r="P25" i="2"/>
  <c r="H24" i="1" s="1"/>
  <c r="P65" i="2"/>
  <c r="H64" i="1" s="1"/>
  <c r="P8" i="2"/>
  <c r="H7" i="1" s="1"/>
  <c r="P23" i="16"/>
  <c r="AY22" i="1" s="1"/>
  <c r="P22" i="2"/>
  <c r="H21" i="1" s="1"/>
  <c r="P38" i="2"/>
  <c r="H37" i="1" s="1"/>
  <c r="P59" i="2"/>
  <c r="H58" i="1" s="1"/>
  <c r="P20" i="2"/>
  <c r="H19" i="1" s="1"/>
  <c r="P53" i="2"/>
  <c r="H52" i="1" s="1"/>
  <c r="P4" i="2"/>
  <c r="H3" i="1" s="1"/>
  <c r="P12" i="2"/>
  <c r="H11" i="1" s="1"/>
  <c r="P37" i="2"/>
  <c r="H36" i="1" s="1"/>
  <c r="P9" i="16"/>
  <c r="AY8" i="1" s="1"/>
  <c r="P39" i="2"/>
  <c r="H38" i="1" s="1"/>
  <c r="P17" i="2"/>
  <c r="H16" i="1" s="1"/>
  <c r="P48" i="16"/>
  <c r="AY47" i="1" s="1"/>
  <c r="P17" i="16"/>
  <c r="AY16" i="1" s="1"/>
  <c r="P52" i="16"/>
  <c r="AY51" i="1" s="1"/>
  <c r="P65" i="16"/>
  <c r="AY64" i="1" s="1"/>
  <c r="P10" i="16"/>
  <c r="AY9" i="1" s="1"/>
  <c r="P49" i="2"/>
  <c r="H48" i="1" s="1"/>
  <c r="P63" i="16"/>
  <c r="AY62" i="1" s="1"/>
  <c r="P35" i="16"/>
  <c r="AY34" i="1" s="1"/>
  <c r="P36" i="2"/>
  <c r="H35" i="1" s="1"/>
  <c r="P61" i="16"/>
  <c r="AY60" i="1" s="1"/>
  <c r="P15" i="2"/>
  <c r="H14" i="1" s="1"/>
  <c r="P54" i="16"/>
  <c r="AY53" i="1" s="1"/>
  <c r="P11" i="2"/>
  <c r="H10" i="1" s="1"/>
  <c r="P62" i="16"/>
  <c r="AY61" i="1" s="1"/>
  <c r="P56" i="16"/>
  <c r="AY55" i="1" s="1"/>
  <c r="P47" i="2"/>
  <c r="H46" i="1" s="1"/>
  <c r="P32" i="16"/>
  <c r="AY31" i="1" s="1"/>
  <c r="P40" i="16"/>
  <c r="AY39" i="1" s="1"/>
  <c r="P55" i="16"/>
  <c r="AY54" i="1" s="1"/>
  <c r="P61" i="2"/>
  <c r="H60" i="1" s="1"/>
  <c r="P8" i="16"/>
  <c r="AY7" i="1" s="1"/>
  <c r="P45" i="16"/>
  <c r="AY44" i="1" s="1"/>
  <c r="P27" i="16"/>
  <c r="AY26" i="1" s="1"/>
  <c r="P41" i="16"/>
  <c r="AY40" i="1" s="1"/>
  <c r="P34" i="16"/>
  <c r="AY33" i="1" s="1"/>
  <c r="P14" i="16"/>
  <c r="AY13" i="1" s="1"/>
  <c r="P28" i="16"/>
  <c r="AY27" i="1" s="1"/>
  <c r="P11" i="16"/>
  <c r="AY10" i="1" s="1"/>
  <c r="P47" i="16"/>
  <c r="AY46" i="1" s="1"/>
  <c r="P18" i="16"/>
  <c r="AY17" i="1" s="1"/>
  <c r="P29" i="16"/>
  <c r="AY28" i="1" s="1"/>
  <c r="P50" i="16"/>
  <c r="AY49" i="1" s="1"/>
  <c r="P38" i="16"/>
  <c r="AY37" i="1" s="1"/>
  <c r="P49" i="16"/>
  <c r="AY48" i="1" s="1"/>
  <c r="P59" i="16"/>
  <c r="AY58" i="1" s="1"/>
  <c r="P46" i="16"/>
  <c r="AY45" i="1" s="1"/>
  <c r="P64" i="16"/>
  <c r="AY63" i="1" s="1"/>
  <c r="P31" i="16"/>
  <c r="AY30" i="1" s="1"/>
  <c r="P5" i="16"/>
  <c r="AY4" i="1" s="1"/>
  <c r="P54" i="2"/>
  <c r="H53" i="1" s="1"/>
  <c r="P66" i="16"/>
  <c r="P32" i="2"/>
  <c r="H31" i="1" s="1"/>
  <c r="P40" i="2"/>
  <c r="H39" i="1" s="1"/>
  <c r="P55" i="2"/>
  <c r="H54" i="1" s="1"/>
  <c r="P33" i="16"/>
  <c r="AY32" i="1" s="1"/>
  <c r="P16" i="16"/>
  <c r="AY15" i="1" s="1"/>
  <c r="P25" i="16"/>
  <c r="AY24" i="1" s="1"/>
  <c r="P22" i="16"/>
  <c r="AY21" i="1" s="1"/>
  <c r="P57" i="16"/>
  <c r="AY56" i="1" s="1"/>
  <c r="P42" i="16"/>
  <c r="AY41" i="1" s="1"/>
  <c r="P39" i="16"/>
  <c r="AY38" i="1" s="1"/>
  <c r="P51" i="16"/>
  <c r="AY50" i="1" s="1"/>
  <c r="P24" i="16"/>
  <c r="AY23" i="1" s="1"/>
  <c r="P6" i="16"/>
  <c r="AY5" i="1" s="1"/>
  <c r="P60" i="16"/>
  <c r="AY59" i="1" s="1"/>
  <c r="P58" i="16"/>
  <c r="AY57" i="1" s="1"/>
  <c r="P26" i="16"/>
  <c r="AY25" i="1" s="1"/>
  <c r="P30" i="16"/>
  <c r="AY29" i="1" s="1"/>
  <c r="P102" i="16"/>
  <c r="P44" i="16"/>
  <c r="AY43" i="1" s="1"/>
  <c r="P15" i="16"/>
  <c r="AY14" i="1" s="1"/>
  <c r="P20" i="16"/>
  <c r="AY19" i="1" s="1"/>
  <c r="P53" i="16"/>
  <c r="AY52" i="1" s="1"/>
  <c r="P36" i="16"/>
  <c r="AY35" i="1" s="1"/>
  <c r="P21" i="16"/>
  <c r="AY20" i="1" s="1"/>
  <c r="P4" i="16"/>
  <c r="AY3" i="1" s="1"/>
  <c r="P12" i="16"/>
  <c r="AY11" i="1" s="1"/>
  <c r="P37" i="16"/>
  <c r="AY36" i="1" s="1"/>
  <c r="P103" i="16"/>
  <c r="V5" i="6"/>
  <c r="V6" i="6"/>
  <c r="V7" i="6"/>
  <c r="V54" i="6"/>
  <c r="V8" i="6"/>
  <c r="V9" i="6"/>
  <c r="V10" i="6"/>
  <c r="V11" i="6"/>
  <c r="V12" i="6"/>
  <c r="V13" i="6"/>
  <c r="V14" i="6"/>
  <c r="V15" i="6"/>
  <c r="V16" i="6"/>
  <c r="V60" i="6"/>
  <c r="V17" i="6"/>
  <c r="V62" i="6"/>
  <c r="V18" i="6"/>
  <c r="V63" i="6"/>
  <c r="V19" i="6"/>
  <c r="V20" i="6"/>
  <c r="V65" i="6"/>
  <c r="V58" i="6"/>
  <c r="V46" i="6"/>
  <c r="V56" i="6"/>
  <c r="V21" i="6"/>
  <c r="V22" i="6"/>
  <c r="V23" i="6"/>
  <c r="V47" i="6"/>
  <c r="V25" i="6"/>
  <c r="V26" i="6"/>
  <c r="V64" i="6"/>
  <c r="V53" i="6"/>
  <c r="V27" i="6"/>
  <c r="V57" i="6"/>
  <c r="V28" i="6"/>
  <c r="V66" i="6"/>
  <c r="V29" i="6"/>
  <c r="V30" i="6"/>
  <c r="V31" i="6"/>
  <c r="V32" i="6"/>
  <c r="V33" i="6"/>
  <c r="V34" i="6"/>
  <c r="V35" i="6"/>
  <c r="V36" i="6"/>
  <c r="V37" i="6"/>
  <c r="V38" i="6"/>
  <c r="V39" i="6"/>
  <c r="V40" i="6"/>
  <c r="V41" i="6"/>
  <c r="V42" i="6"/>
  <c r="V43" i="6"/>
  <c r="V44" i="6"/>
  <c r="V45" i="6"/>
  <c r="V48" i="6"/>
  <c r="V49" i="6"/>
  <c r="V50" i="6"/>
  <c r="V51" i="6"/>
  <c r="V102" i="6"/>
  <c r="V52" i="6"/>
  <c r="V55" i="6"/>
  <c r="V103" i="6"/>
  <c r="V24" i="6"/>
  <c r="V59" i="6"/>
  <c r="V61" i="6"/>
  <c r="V4" i="6"/>
  <c r="Z12" i="10"/>
  <c r="BE11" i="1" s="1"/>
  <c r="Z63" i="10"/>
  <c r="BE62" i="1" s="1"/>
  <c r="Z21" i="10"/>
  <c r="BE20" i="1" s="1"/>
  <c r="Z33" i="10"/>
  <c r="BE32" i="1" s="1"/>
  <c r="Z36" i="10"/>
  <c r="BE35" i="1" s="1"/>
  <c r="Z42" i="10"/>
  <c r="BE41" i="1" s="1"/>
  <c r="Z51" i="10"/>
  <c r="BE50" i="1" s="1"/>
  <c r="Z59" i="10"/>
  <c r="BE58" i="1" s="1"/>
  <c r="V5" i="3"/>
  <c r="V6" i="3"/>
  <c r="V7" i="3"/>
  <c r="V54" i="3"/>
  <c r="V8" i="3"/>
  <c r="V9" i="3"/>
  <c r="V10" i="3"/>
  <c r="V11" i="3"/>
  <c r="V12" i="3"/>
  <c r="V13" i="3"/>
  <c r="V14" i="3"/>
  <c r="V15" i="3"/>
  <c r="V16" i="3"/>
  <c r="V60" i="3"/>
  <c r="V17" i="3"/>
  <c r="V62" i="3"/>
  <c r="V18" i="3"/>
  <c r="V63" i="3"/>
  <c r="V19" i="3"/>
  <c r="V20" i="3"/>
  <c r="V65" i="3"/>
  <c r="V58" i="3"/>
  <c r="V46" i="3"/>
  <c r="V56" i="3"/>
  <c r="V21" i="3"/>
  <c r="V22" i="3"/>
  <c r="V23" i="3"/>
  <c r="V47" i="3"/>
  <c r="V25" i="3"/>
  <c r="V26" i="3"/>
  <c r="V64" i="3"/>
  <c r="V53" i="3"/>
  <c r="V27" i="3"/>
  <c r="V57" i="3"/>
  <c r="V28" i="3"/>
  <c r="V66" i="3"/>
  <c r="V29" i="3"/>
  <c r="V30" i="3"/>
  <c r="V31" i="3"/>
  <c r="V32" i="3"/>
  <c r="V33" i="3"/>
  <c r="V34" i="3"/>
  <c r="V35" i="3"/>
  <c r="V36" i="3"/>
  <c r="V37" i="3"/>
  <c r="V38" i="3"/>
  <c r="V39" i="3"/>
  <c r="V40" i="3"/>
  <c r="V41" i="3"/>
  <c r="V42" i="3"/>
  <c r="V43" i="3"/>
  <c r="V44" i="3"/>
  <c r="V45" i="3"/>
  <c r="V48" i="3"/>
  <c r="V49" i="3"/>
  <c r="V50" i="3"/>
  <c r="V51" i="3"/>
  <c r="V102" i="3"/>
  <c r="V52" i="3"/>
  <c r="V55" i="3"/>
  <c r="V103" i="3"/>
  <c r="V24" i="3"/>
  <c r="V59" i="3"/>
  <c r="V61" i="3"/>
  <c r="V4" i="3"/>
  <c r="Z35" i="10" l="1"/>
  <c r="BE34" i="1" s="1"/>
  <c r="Z50" i="10"/>
  <c r="BE49" i="1" s="1"/>
  <c r="Z40" i="10"/>
  <c r="BE39" i="1" s="1"/>
  <c r="T2" i="6" l="1"/>
  <c r="N2" i="10"/>
  <c r="T2" i="3"/>
  <c r="AJ61" i="3" l="1"/>
  <c r="AJ59" i="3"/>
  <c r="AJ24" i="3"/>
  <c r="AJ103" i="3"/>
  <c r="AJ55" i="3"/>
  <c r="AJ52" i="3"/>
  <c r="AJ102" i="3"/>
  <c r="AJ51" i="3"/>
  <c r="AJ50" i="3"/>
  <c r="AJ49" i="3"/>
  <c r="AJ48" i="3"/>
  <c r="AJ45" i="3"/>
  <c r="AJ4" i="3"/>
  <c r="AJ44" i="3"/>
  <c r="AJ43" i="3"/>
  <c r="AJ42" i="3"/>
  <c r="AJ41" i="3"/>
  <c r="AJ40" i="3"/>
  <c r="AJ39" i="3"/>
  <c r="AJ38" i="3"/>
  <c r="AJ37" i="3"/>
  <c r="AJ36" i="3"/>
  <c r="AJ35" i="3"/>
  <c r="AJ34" i="3"/>
  <c r="AJ33" i="3"/>
  <c r="AJ32" i="3"/>
  <c r="AJ31" i="3"/>
  <c r="AJ30" i="3"/>
  <c r="AJ29" i="3"/>
  <c r="AJ66" i="3"/>
  <c r="AJ28" i="3"/>
  <c r="AJ57" i="3"/>
  <c r="AJ27" i="3"/>
  <c r="AJ53" i="3"/>
  <c r="AJ64" i="3"/>
  <c r="AJ26" i="3"/>
  <c r="AJ25" i="3"/>
  <c r="AJ47" i="3"/>
  <c r="AJ23" i="3"/>
  <c r="AJ22" i="3"/>
  <c r="AJ21" i="3"/>
  <c r="AJ56" i="3"/>
  <c r="AJ46" i="3"/>
  <c r="AJ58" i="3"/>
  <c r="AJ65" i="3"/>
  <c r="AJ20" i="3"/>
  <c r="AJ19" i="3"/>
  <c r="AJ63" i="3"/>
  <c r="AJ18" i="3"/>
  <c r="AJ62" i="3"/>
  <c r="AJ17" i="3"/>
  <c r="AJ60" i="3"/>
  <c r="AJ16" i="3"/>
  <c r="AJ15" i="3"/>
  <c r="AJ14" i="3"/>
  <c r="AJ13" i="3"/>
  <c r="AJ12" i="3"/>
  <c r="AJ11" i="3"/>
  <c r="AJ10" i="3"/>
  <c r="AJ9" i="3"/>
  <c r="AJ8" i="3"/>
  <c r="AJ54" i="3"/>
  <c r="AJ7" i="3"/>
  <c r="AJ6" i="3"/>
  <c r="AJ5" i="3"/>
  <c r="AI61" i="3"/>
  <c r="AI59" i="3"/>
  <c r="AI24" i="3"/>
  <c r="AI103" i="3"/>
  <c r="AI55" i="3"/>
  <c r="AI52" i="3"/>
  <c r="AI102" i="3"/>
  <c r="AI51" i="3"/>
  <c r="AI50" i="3"/>
  <c r="AI49" i="3"/>
  <c r="AI48" i="3"/>
  <c r="AI45" i="3"/>
  <c r="AI4" i="3"/>
  <c r="AI44" i="3"/>
  <c r="AI43" i="3"/>
  <c r="AI42" i="3"/>
  <c r="AI41" i="3"/>
  <c r="AI40" i="3"/>
  <c r="AI39" i="3"/>
  <c r="AI38" i="3"/>
  <c r="AI37" i="3"/>
  <c r="AI36" i="3"/>
  <c r="AI35" i="3"/>
  <c r="AI34" i="3"/>
  <c r="AI33" i="3"/>
  <c r="AI32" i="3"/>
  <c r="AI31" i="3"/>
  <c r="AI30" i="3"/>
  <c r="AI29" i="3"/>
  <c r="AI66" i="3"/>
  <c r="AI28" i="3"/>
  <c r="AI57" i="3"/>
  <c r="AI27" i="3"/>
  <c r="AI53" i="3"/>
  <c r="AI64" i="3"/>
  <c r="AI26" i="3"/>
  <c r="AI25" i="3"/>
  <c r="AI47" i="3"/>
  <c r="AI23" i="3"/>
  <c r="AI22" i="3"/>
  <c r="AI21" i="3"/>
  <c r="AI56" i="3"/>
  <c r="AI46" i="3"/>
  <c r="AI58" i="3"/>
  <c r="AI65" i="3"/>
  <c r="AI20" i="3"/>
  <c r="AI19" i="3"/>
  <c r="AI63" i="3"/>
  <c r="AI18" i="3"/>
  <c r="AI62" i="3"/>
  <c r="AI17" i="3"/>
  <c r="AI60" i="3"/>
  <c r="AI16" i="3"/>
  <c r="AI15" i="3"/>
  <c r="AI14" i="3"/>
  <c r="AI13" i="3"/>
  <c r="AI12" i="3"/>
  <c r="AI11" i="3"/>
  <c r="AI10" i="3"/>
  <c r="AI9" i="3"/>
  <c r="AI8" i="3"/>
  <c r="AI54" i="3"/>
  <c r="AI7" i="3"/>
  <c r="AI6" i="3"/>
  <c r="AI5" i="3"/>
  <c r="AH61" i="3"/>
  <c r="AH59" i="3"/>
  <c r="AH24" i="3"/>
  <c r="AH103" i="3"/>
  <c r="AH55" i="3"/>
  <c r="AH52" i="3"/>
  <c r="AH102" i="3"/>
  <c r="AH51" i="3"/>
  <c r="AH50" i="3"/>
  <c r="AH49" i="3"/>
  <c r="AH48" i="3"/>
  <c r="AH45" i="3"/>
  <c r="AH4" i="3"/>
  <c r="AH44" i="3"/>
  <c r="AH43" i="3"/>
  <c r="AH42" i="3"/>
  <c r="AH41" i="3"/>
  <c r="AH40" i="3"/>
  <c r="AH39" i="3"/>
  <c r="AH38" i="3"/>
  <c r="AH37" i="3"/>
  <c r="AH36" i="3"/>
  <c r="AH35" i="3"/>
  <c r="AH34" i="3"/>
  <c r="AH33" i="3"/>
  <c r="AH32" i="3"/>
  <c r="AH31" i="3"/>
  <c r="AH30" i="3"/>
  <c r="AH29" i="3"/>
  <c r="AH66" i="3"/>
  <c r="AH28" i="3"/>
  <c r="AH57" i="3"/>
  <c r="AH27" i="3"/>
  <c r="AH53" i="3"/>
  <c r="AH64" i="3"/>
  <c r="AH26" i="3"/>
  <c r="AH25" i="3"/>
  <c r="AH47" i="3"/>
  <c r="AH23" i="3"/>
  <c r="AH22" i="3"/>
  <c r="AH21" i="3"/>
  <c r="AH56" i="3"/>
  <c r="AH46" i="3"/>
  <c r="AH58" i="3"/>
  <c r="AH65" i="3"/>
  <c r="AH20" i="3"/>
  <c r="AH19" i="3"/>
  <c r="AH63" i="3"/>
  <c r="AH18" i="3"/>
  <c r="AH62" i="3"/>
  <c r="AH17" i="3"/>
  <c r="AH60" i="3"/>
  <c r="AH16" i="3"/>
  <c r="AH15" i="3"/>
  <c r="AH14" i="3"/>
  <c r="AH13" i="3"/>
  <c r="AH12" i="3"/>
  <c r="AH11" i="3"/>
  <c r="AH10" i="3"/>
  <c r="AH9" i="3"/>
  <c r="AH8" i="3"/>
  <c r="AH54" i="3"/>
  <c r="AH7" i="3"/>
  <c r="AH6" i="3"/>
  <c r="AH5" i="3"/>
  <c r="AG61" i="3"/>
  <c r="AG59" i="3"/>
  <c r="AG24" i="3"/>
  <c r="AG103" i="3"/>
  <c r="AG55" i="3"/>
  <c r="AG52" i="3"/>
  <c r="AG102" i="3"/>
  <c r="AG51" i="3"/>
  <c r="AG50" i="3"/>
  <c r="AG49" i="3"/>
  <c r="AG48" i="3"/>
  <c r="AG45" i="3"/>
  <c r="AG4" i="3"/>
  <c r="AG44" i="3"/>
  <c r="AG43" i="3"/>
  <c r="AG42" i="3"/>
  <c r="AG41" i="3"/>
  <c r="AG40" i="3"/>
  <c r="AG39" i="3"/>
  <c r="AG38" i="3"/>
  <c r="AG37" i="3"/>
  <c r="AG36" i="3"/>
  <c r="AG35" i="3"/>
  <c r="AG34" i="3"/>
  <c r="AG33" i="3"/>
  <c r="AG32" i="3"/>
  <c r="AG31" i="3"/>
  <c r="AG30" i="3"/>
  <c r="AG29" i="3"/>
  <c r="AG66" i="3"/>
  <c r="AG28" i="3"/>
  <c r="AG57" i="3"/>
  <c r="AG27" i="3"/>
  <c r="AG53" i="3"/>
  <c r="AG64" i="3"/>
  <c r="AG26" i="3"/>
  <c r="AG25" i="3"/>
  <c r="AG47" i="3"/>
  <c r="AG23" i="3"/>
  <c r="AG22" i="3"/>
  <c r="AG21" i="3"/>
  <c r="AG56" i="3"/>
  <c r="AG46" i="3"/>
  <c r="AG58" i="3"/>
  <c r="AG65" i="3"/>
  <c r="AG20" i="3"/>
  <c r="AG19" i="3"/>
  <c r="AG63" i="3"/>
  <c r="AG18" i="3"/>
  <c r="AG62" i="3"/>
  <c r="AG17" i="3"/>
  <c r="AG60" i="3"/>
  <c r="AG16" i="3"/>
  <c r="AG15" i="3"/>
  <c r="AG14" i="3"/>
  <c r="AG13" i="3"/>
  <c r="AG12" i="3"/>
  <c r="AG11" i="3"/>
  <c r="AG10" i="3"/>
  <c r="AG9" i="3"/>
  <c r="AG8" i="3"/>
  <c r="AG54" i="3"/>
  <c r="AG7" i="3"/>
  <c r="AG6" i="3"/>
  <c r="AG5" i="3"/>
  <c r="AF61" i="3"/>
  <c r="AF59" i="3"/>
  <c r="AF24" i="3"/>
  <c r="AF103" i="3"/>
  <c r="AF55" i="3"/>
  <c r="AF52" i="3"/>
  <c r="AF102" i="3"/>
  <c r="AF51" i="3"/>
  <c r="AF50" i="3"/>
  <c r="AF49" i="3"/>
  <c r="AF48" i="3"/>
  <c r="AF45" i="3"/>
  <c r="AF4" i="3"/>
  <c r="AF44" i="3"/>
  <c r="AF43" i="3"/>
  <c r="AF42" i="3"/>
  <c r="AF41" i="3"/>
  <c r="AF40" i="3"/>
  <c r="AF39" i="3"/>
  <c r="AF38" i="3"/>
  <c r="AF37" i="3"/>
  <c r="AF36" i="3"/>
  <c r="AF35" i="3"/>
  <c r="AF34" i="3"/>
  <c r="AF33" i="3"/>
  <c r="AF32" i="3"/>
  <c r="AF31" i="3"/>
  <c r="AF30" i="3"/>
  <c r="AF29" i="3"/>
  <c r="AF66" i="3"/>
  <c r="AF28" i="3"/>
  <c r="AF57" i="3"/>
  <c r="AF27" i="3"/>
  <c r="AF53" i="3"/>
  <c r="AF64" i="3"/>
  <c r="AF26" i="3"/>
  <c r="AF25" i="3"/>
  <c r="AF47" i="3"/>
  <c r="AF23" i="3"/>
  <c r="AF22" i="3"/>
  <c r="AF21" i="3"/>
  <c r="AF56" i="3"/>
  <c r="AF46" i="3"/>
  <c r="AF58" i="3"/>
  <c r="AF65" i="3"/>
  <c r="AF20" i="3"/>
  <c r="AF19" i="3"/>
  <c r="AF63" i="3"/>
  <c r="AF18" i="3"/>
  <c r="AF62" i="3"/>
  <c r="AF17" i="3"/>
  <c r="AF60" i="3"/>
  <c r="AF16" i="3"/>
  <c r="AF15" i="3"/>
  <c r="AF14" i="3"/>
  <c r="AF13" i="3"/>
  <c r="AF12" i="3"/>
  <c r="AF11" i="3"/>
  <c r="AF10" i="3"/>
  <c r="AF9" i="3"/>
  <c r="AF8" i="3"/>
  <c r="AF54" i="3"/>
  <c r="AF7" i="3"/>
  <c r="AF6" i="3"/>
  <c r="AF5" i="3"/>
  <c r="AE61" i="3"/>
  <c r="AE59" i="3"/>
  <c r="AE24" i="3"/>
  <c r="AE103" i="3"/>
  <c r="AE55" i="3"/>
  <c r="AE52" i="3"/>
  <c r="AE102" i="3"/>
  <c r="AE51" i="3"/>
  <c r="AE50" i="3"/>
  <c r="AE49" i="3"/>
  <c r="AE48" i="3"/>
  <c r="AE45" i="3"/>
  <c r="AE4" i="3"/>
  <c r="AE44" i="3"/>
  <c r="AE43" i="3"/>
  <c r="AE42" i="3"/>
  <c r="AE41" i="3"/>
  <c r="AE40" i="3"/>
  <c r="AE39" i="3"/>
  <c r="AE38" i="3"/>
  <c r="AE37" i="3"/>
  <c r="AE36" i="3"/>
  <c r="AE35" i="3"/>
  <c r="AE34" i="3"/>
  <c r="AE33" i="3"/>
  <c r="AE32" i="3"/>
  <c r="AE31" i="3"/>
  <c r="AE30" i="3"/>
  <c r="AE29" i="3"/>
  <c r="AE66" i="3"/>
  <c r="AE28" i="3"/>
  <c r="AE57" i="3"/>
  <c r="AE27" i="3"/>
  <c r="AE53" i="3"/>
  <c r="AE64" i="3"/>
  <c r="AE26" i="3"/>
  <c r="AE25" i="3"/>
  <c r="AE47" i="3"/>
  <c r="AE23" i="3"/>
  <c r="AE22" i="3"/>
  <c r="AE21" i="3"/>
  <c r="AE56" i="3"/>
  <c r="AE46" i="3"/>
  <c r="AE58" i="3"/>
  <c r="AE65" i="3"/>
  <c r="AE20" i="3"/>
  <c r="AE19" i="3"/>
  <c r="AE63" i="3"/>
  <c r="AE18" i="3"/>
  <c r="AE62" i="3"/>
  <c r="AE17" i="3"/>
  <c r="AE60" i="3"/>
  <c r="AE16" i="3"/>
  <c r="AE15" i="3"/>
  <c r="AE14" i="3"/>
  <c r="AE13" i="3"/>
  <c r="AE12" i="3"/>
  <c r="AE11" i="3"/>
  <c r="AE10" i="3"/>
  <c r="AE9" i="3"/>
  <c r="AE8" i="3"/>
  <c r="AE54" i="3"/>
  <c r="AE7" i="3"/>
  <c r="AE6" i="3"/>
  <c r="AE5" i="3"/>
  <c r="AD61" i="3"/>
  <c r="AD59" i="3"/>
  <c r="AD24" i="3"/>
  <c r="AD103" i="3"/>
  <c r="AD55" i="3"/>
  <c r="AD52" i="3"/>
  <c r="AD102" i="3"/>
  <c r="AD51" i="3"/>
  <c r="AD50" i="3"/>
  <c r="AD49" i="3"/>
  <c r="AD48" i="3"/>
  <c r="AD45" i="3"/>
  <c r="AD4" i="3"/>
  <c r="AD44" i="3"/>
  <c r="AD43" i="3"/>
  <c r="AD42" i="3"/>
  <c r="AD41" i="3"/>
  <c r="AD40" i="3"/>
  <c r="AD39" i="3"/>
  <c r="AD38" i="3"/>
  <c r="AD37" i="3"/>
  <c r="AD36" i="3"/>
  <c r="AD35" i="3"/>
  <c r="AD34" i="3"/>
  <c r="AD33" i="3"/>
  <c r="AD32" i="3"/>
  <c r="AD31" i="3"/>
  <c r="AD30" i="3"/>
  <c r="AD29" i="3"/>
  <c r="AD66" i="3"/>
  <c r="AD28" i="3"/>
  <c r="AD57" i="3"/>
  <c r="AD27" i="3"/>
  <c r="AD53" i="3"/>
  <c r="AD64" i="3"/>
  <c r="AD26" i="3"/>
  <c r="AD25" i="3"/>
  <c r="AD47" i="3"/>
  <c r="AD23" i="3"/>
  <c r="AD22" i="3"/>
  <c r="AD21" i="3"/>
  <c r="AD56" i="3"/>
  <c r="AD46" i="3"/>
  <c r="AD58" i="3"/>
  <c r="AD65" i="3"/>
  <c r="AD20" i="3"/>
  <c r="AD19" i="3"/>
  <c r="AD63" i="3"/>
  <c r="AD18" i="3"/>
  <c r="AD62" i="3"/>
  <c r="AD17" i="3"/>
  <c r="AD60" i="3"/>
  <c r="AD16" i="3"/>
  <c r="AD15" i="3"/>
  <c r="AD14" i="3"/>
  <c r="AD13" i="3"/>
  <c r="AD12" i="3"/>
  <c r="AD11" i="3"/>
  <c r="AD10" i="3"/>
  <c r="AD9" i="3"/>
  <c r="AD8" i="3"/>
  <c r="AD54" i="3"/>
  <c r="AD7" i="3"/>
  <c r="AD6" i="3"/>
  <c r="AD5" i="3"/>
  <c r="AC61" i="3"/>
  <c r="AC59" i="3"/>
  <c r="AC24" i="3"/>
  <c r="AC103" i="3"/>
  <c r="AC55" i="3"/>
  <c r="AC52" i="3"/>
  <c r="AC102" i="3"/>
  <c r="AC51" i="3"/>
  <c r="AC50" i="3"/>
  <c r="AC49" i="3"/>
  <c r="AC48" i="3"/>
  <c r="AC45" i="3"/>
  <c r="AC4" i="3"/>
  <c r="AC44" i="3"/>
  <c r="AC43" i="3"/>
  <c r="AC42" i="3"/>
  <c r="AC41" i="3"/>
  <c r="AC40" i="3"/>
  <c r="AC39" i="3"/>
  <c r="AC38" i="3"/>
  <c r="AC37" i="3"/>
  <c r="AC36" i="3"/>
  <c r="AC35" i="3"/>
  <c r="AC34" i="3"/>
  <c r="AC33" i="3"/>
  <c r="AC32" i="3"/>
  <c r="AC31" i="3"/>
  <c r="AC30" i="3"/>
  <c r="AC29" i="3"/>
  <c r="AC66" i="3"/>
  <c r="AC28" i="3"/>
  <c r="AC57" i="3"/>
  <c r="AC27" i="3"/>
  <c r="AC53" i="3"/>
  <c r="AC64" i="3"/>
  <c r="AC26" i="3"/>
  <c r="AC25" i="3"/>
  <c r="AC47" i="3"/>
  <c r="AC23" i="3"/>
  <c r="AC22" i="3"/>
  <c r="AC21" i="3"/>
  <c r="AC56" i="3"/>
  <c r="AC46" i="3"/>
  <c r="AC58" i="3"/>
  <c r="AC65" i="3"/>
  <c r="AC20" i="3"/>
  <c r="AC19" i="3"/>
  <c r="AC63" i="3"/>
  <c r="AC18" i="3"/>
  <c r="AC62" i="3"/>
  <c r="AC17" i="3"/>
  <c r="AC60" i="3"/>
  <c r="AC16" i="3"/>
  <c r="AC15" i="3"/>
  <c r="AC14" i="3"/>
  <c r="AC13" i="3"/>
  <c r="AC12" i="3"/>
  <c r="AC11" i="3"/>
  <c r="AC10" i="3"/>
  <c r="AC9" i="3"/>
  <c r="AC8" i="3"/>
  <c r="AC54" i="3"/>
  <c r="AC7" i="3"/>
  <c r="AC6" i="3"/>
  <c r="AC5" i="3"/>
  <c r="AB6" i="3"/>
  <c r="AB7" i="3"/>
  <c r="AB54" i="3"/>
  <c r="AB8" i="3"/>
  <c r="AB9" i="3"/>
  <c r="AB10" i="3"/>
  <c r="AB11" i="3"/>
  <c r="AB12" i="3"/>
  <c r="AB13" i="3"/>
  <c r="AB14" i="3"/>
  <c r="AB15" i="3"/>
  <c r="AB16" i="3"/>
  <c r="AB60" i="3"/>
  <c r="AB17" i="3"/>
  <c r="AB62" i="3"/>
  <c r="AB18" i="3"/>
  <c r="AB63" i="3"/>
  <c r="AB19" i="3"/>
  <c r="AB20" i="3"/>
  <c r="AB65" i="3"/>
  <c r="AB58" i="3"/>
  <c r="AB46" i="3"/>
  <c r="AB56" i="3"/>
  <c r="AB21" i="3"/>
  <c r="AB22" i="3"/>
  <c r="AB23" i="3"/>
  <c r="AB47" i="3"/>
  <c r="AB25" i="3"/>
  <c r="AB26" i="3"/>
  <c r="AB64" i="3"/>
  <c r="AB53" i="3"/>
  <c r="AB27" i="3"/>
  <c r="AB57" i="3"/>
  <c r="AB28" i="3"/>
  <c r="AB66" i="3"/>
  <c r="AB29" i="3"/>
  <c r="AB30" i="3"/>
  <c r="AB31" i="3"/>
  <c r="AB32" i="3"/>
  <c r="AB33" i="3"/>
  <c r="AB34" i="3"/>
  <c r="AB35" i="3"/>
  <c r="AB36" i="3"/>
  <c r="AB37" i="3"/>
  <c r="AB38" i="3"/>
  <c r="AB39" i="3"/>
  <c r="AB40" i="3"/>
  <c r="AB41" i="3"/>
  <c r="AB42" i="3"/>
  <c r="AB43" i="3"/>
  <c r="AB44" i="3"/>
  <c r="AB4" i="3"/>
  <c r="AB45" i="3"/>
  <c r="AB48" i="3"/>
  <c r="AB49" i="3"/>
  <c r="AB50" i="3"/>
  <c r="AB51" i="3"/>
  <c r="AB102" i="3"/>
  <c r="AB52" i="3"/>
  <c r="AB55" i="3"/>
  <c r="AB103" i="3"/>
  <c r="AB24" i="3"/>
  <c r="AB59" i="3"/>
  <c r="AB61" i="3"/>
  <c r="AB5" i="3"/>
  <c r="AK5" i="3" l="1"/>
  <c r="AG4" i="1" s="1"/>
  <c r="AK8" i="3"/>
  <c r="AG7" i="1" s="1"/>
  <c r="AK12" i="3"/>
  <c r="AG11" i="1" s="1"/>
  <c r="AK16" i="3"/>
  <c r="AG15" i="1" s="1"/>
  <c r="AK18" i="3"/>
  <c r="AG17" i="1" s="1"/>
  <c r="AK65" i="3"/>
  <c r="AG64" i="1" s="1"/>
  <c r="AK21" i="3"/>
  <c r="AG20" i="1" s="1"/>
  <c r="AK25" i="3"/>
  <c r="AG24" i="1" s="1"/>
  <c r="AK27" i="3"/>
  <c r="AG26" i="1" s="1"/>
  <c r="AK29" i="3"/>
  <c r="AG28" i="1" s="1"/>
  <c r="AK33" i="3"/>
  <c r="AG32" i="1" s="1"/>
  <c r="AK37" i="3"/>
  <c r="AG36" i="1" s="1"/>
  <c r="AK41" i="3"/>
  <c r="AG40" i="1" s="1"/>
  <c r="AK4" i="3"/>
  <c r="AG3" i="1" s="1"/>
  <c r="AK50" i="3"/>
  <c r="AG49" i="1" s="1"/>
  <c r="AK55" i="3"/>
  <c r="AG54" i="1" s="1"/>
  <c r="AK61" i="3"/>
  <c r="AG60" i="1" s="1"/>
  <c r="AK6" i="3"/>
  <c r="AG5" i="1" s="1"/>
  <c r="AK9" i="3"/>
  <c r="AG8" i="1" s="1"/>
  <c r="AK13" i="3"/>
  <c r="AG12" i="1" s="1"/>
  <c r="AK60" i="3"/>
  <c r="AG59" i="1" s="1"/>
  <c r="AK63" i="3"/>
  <c r="AG62" i="1" s="1"/>
  <c r="AK58" i="3"/>
  <c r="AG57" i="1" s="1"/>
  <c r="AK22" i="3"/>
  <c r="AG21" i="1" s="1"/>
  <c r="AK26" i="3"/>
  <c r="AG25" i="1" s="1"/>
  <c r="AK57" i="3"/>
  <c r="AG56" i="1" s="1"/>
  <c r="AK30" i="3"/>
  <c r="AG29" i="1" s="1"/>
  <c r="AK34" i="3"/>
  <c r="AG33" i="1" s="1"/>
  <c r="AK38" i="3"/>
  <c r="AG37" i="1" s="1"/>
  <c r="AK42" i="3"/>
  <c r="AG41" i="1" s="1"/>
  <c r="AK45" i="3"/>
  <c r="AG44" i="1" s="1"/>
  <c r="AK51" i="3"/>
  <c r="AG50" i="1" s="1"/>
  <c r="AK103" i="3"/>
  <c r="AK7" i="3"/>
  <c r="AG6" i="1" s="1"/>
  <c r="AK10" i="3"/>
  <c r="AG9" i="1" s="1"/>
  <c r="AK14" i="3"/>
  <c r="AG13" i="1" s="1"/>
  <c r="AK17" i="3"/>
  <c r="AG16" i="1" s="1"/>
  <c r="AK19" i="3"/>
  <c r="AG18" i="1" s="1"/>
  <c r="AK46" i="3"/>
  <c r="AG45" i="1" s="1"/>
  <c r="AK23" i="3"/>
  <c r="AG22" i="1" s="1"/>
  <c r="AK64" i="3"/>
  <c r="AG63" i="1" s="1"/>
  <c r="AK28" i="3"/>
  <c r="AG27" i="1" s="1"/>
  <c r="AK31" i="3"/>
  <c r="AG30" i="1" s="1"/>
  <c r="AK35" i="3"/>
  <c r="AG34" i="1" s="1"/>
  <c r="AK39" i="3"/>
  <c r="AG38" i="1" s="1"/>
  <c r="AK43" i="3"/>
  <c r="AG42" i="1" s="1"/>
  <c r="AK48" i="3"/>
  <c r="AG47" i="1" s="1"/>
  <c r="AK102" i="3"/>
  <c r="AK24" i="3"/>
  <c r="AG23" i="1" s="1"/>
  <c r="AK54" i="3"/>
  <c r="AG53" i="1" s="1"/>
  <c r="AK11" i="3"/>
  <c r="AG10" i="1" s="1"/>
  <c r="AK15" i="3"/>
  <c r="AG14" i="1" s="1"/>
  <c r="AK62" i="3"/>
  <c r="AG61" i="1" s="1"/>
  <c r="AK20" i="3"/>
  <c r="AG19" i="1" s="1"/>
  <c r="AK56" i="3"/>
  <c r="AG55" i="1" s="1"/>
  <c r="AK47" i="3"/>
  <c r="AG46" i="1" s="1"/>
  <c r="AK53" i="3"/>
  <c r="AG52" i="1" s="1"/>
  <c r="AK66" i="3"/>
  <c r="AK32" i="3"/>
  <c r="AG31" i="1" s="1"/>
  <c r="AK36" i="3"/>
  <c r="AG35" i="1" s="1"/>
  <c r="AK40" i="3"/>
  <c r="AG39" i="1" s="1"/>
  <c r="AK44" i="3"/>
  <c r="AG43" i="1" s="1"/>
  <c r="AK49" i="3"/>
  <c r="AG48" i="1" s="1"/>
  <c r="AK52" i="3"/>
  <c r="AG51" i="1" s="1"/>
  <c r="AK59" i="3"/>
  <c r="AG58" i="1" s="1"/>
  <c r="AA53" i="1" l="1"/>
  <c r="AA9" i="1"/>
  <c r="AA18" i="1"/>
  <c r="AA64" i="1"/>
  <c r="AA45" i="1"/>
  <c r="AA46" i="1"/>
  <c r="AA52" i="1"/>
  <c r="AA28" i="1"/>
  <c r="AA30" i="1"/>
  <c r="AA34" i="1"/>
  <c r="AA36" i="1"/>
  <c r="AA38" i="1"/>
  <c r="AA42" i="1"/>
  <c r="AA3" i="1"/>
  <c r="AA47" i="1"/>
  <c r="AA101" i="1"/>
  <c r="AA54" i="1"/>
  <c r="AA60" i="1"/>
  <c r="AA11" i="1"/>
  <c r="AA61" i="1"/>
  <c r="AA22" i="1"/>
  <c r="AA6" i="1"/>
  <c r="AA13" i="1"/>
  <c r="AA19" i="1"/>
  <c r="AA55" i="1"/>
  <c r="AA24" i="1"/>
  <c r="AA63" i="1"/>
  <c r="AA31" i="1"/>
  <c r="AA35" i="1"/>
  <c r="AA39" i="1"/>
  <c r="AA43" i="1"/>
  <c r="AA48" i="1"/>
  <c r="AA51" i="1"/>
  <c r="AA58" i="1"/>
  <c r="AA5" i="1"/>
  <c r="AA7" i="1"/>
  <c r="AA15" i="1"/>
  <c r="AA16" i="1"/>
  <c r="AA27" i="1"/>
  <c r="AA23" i="1"/>
  <c r="AA10" i="1"/>
  <c r="AA65" i="1"/>
  <c r="AA4" i="1"/>
  <c r="AA14" i="1"/>
  <c r="AA17" i="1"/>
  <c r="AA20" i="1"/>
  <c r="AA26" i="1"/>
  <c r="AA32" i="1"/>
  <c r="AA40" i="1"/>
  <c r="AA49" i="1"/>
  <c r="AA8" i="1"/>
  <c r="AA59" i="1"/>
  <c r="AA57" i="1"/>
  <c r="AA25" i="1"/>
  <c r="AA29" i="1"/>
  <c r="AA37" i="1"/>
  <c r="AA44" i="1"/>
  <c r="AA102" i="1"/>
  <c r="AA12" i="1"/>
  <c r="AA62" i="1"/>
  <c r="AA21" i="1"/>
  <c r="AA56" i="1"/>
  <c r="AA33" i="1"/>
  <c r="AA41" i="1"/>
  <c r="AA50" i="1"/>
  <c r="Z7" i="10"/>
  <c r="BE6" i="1" s="1"/>
  <c r="Z54" i="10"/>
  <c r="BE53" i="1" s="1"/>
  <c r="Z10" i="10"/>
  <c r="BE9" i="1" s="1"/>
  <c r="Z11" i="10"/>
  <c r="BE10" i="1" s="1"/>
  <c r="BH11" i="1"/>
  <c r="Z14" i="10"/>
  <c r="BE13" i="1" s="1"/>
  <c r="Z15" i="10"/>
  <c r="BE14" i="1" s="1"/>
  <c r="Z17" i="10"/>
  <c r="BE16" i="1" s="1"/>
  <c r="BH62" i="1"/>
  <c r="Z19" i="10"/>
  <c r="BE18" i="1" s="1"/>
  <c r="Z20" i="10"/>
  <c r="BE19" i="1" s="1"/>
  <c r="Z46" i="10"/>
  <c r="BE45" i="1" s="1"/>
  <c r="Z56" i="10"/>
  <c r="BE55" i="1" s="1"/>
  <c r="BH20" i="1"/>
  <c r="Z23" i="10"/>
  <c r="BE22" i="1" s="1"/>
  <c r="Z47" i="10"/>
  <c r="BE46" i="1" s="1"/>
  <c r="Z64" i="10"/>
  <c r="BE63" i="1" s="1"/>
  <c r="Z32" i="10"/>
  <c r="BE31" i="1" s="1"/>
  <c r="BH32" i="1"/>
  <c r="BH34" i="1"/>
  <c r="BH41" i="1"/>
  <c r="Z44" i="10"/>
  <c r="BE43" i="1" s="1"/>
  <c r="Z49" i="10"/>
  <c r="BE48" i="1" s="1"/>
  <c r="BH49" i="1"/>
  <c r="BH50" i="1"/>
  <c r="Z52" i="10"/>
  <c r="BE51" i="1" s="1"/>
  <c r="W2" i="10"/>
  <c r="V2" i="10"/>
  <c r="U2" i="10"/>
  <c r="T2" i="10"/>
  <c r="S2" i="10"/>
  <c r="R2" i="10"/>
  <c r="Q2" i="10"/>
  <c r="P2" i="10"/>
  <c r="O2" i="10"/>
  <c r="Z5" i="10" l="1"/>
  <c r="Z103" i="10"/>
  <c r="BH102" i="1" s="1"/>
  <c r="Z38" i="10"/>
  <c r="Z34" i="10"/>
  <c r="Z30" i="10"/>
  <c r="Z57" i="10"/>
  <c r="Z26" i="10"/>
  <c r="Z22" i="10"/>
  <c r="Z58" i="10"/>
  <c r="Z60" i="10"/>
  <c r="Z13" i="10"/>
  <c r="Z6" i="10"/>
  <c r="Z45" i="10"/>
  <c r="Z9" i="10"/>
  <c r="BJ25" i="1"/>
  <c r="BI21" i="1"/>
  <c r="BJ59" i="1"/>
  <c r="BI12" i="1"/>
  <c r="Z61" i="10"/>
  <c r="Z55" i="10"/>
  <c r="Z4" i="10"/>
  <c r="Z41" i="10"/>
  <c r="Z37" i="10"/>
  <c r="Z29" i="10"/>
  <c r="Z27" i="10"/>
  <c r="Z25" i="10"/>
  <c r="Z65" i="10"/>
  <c r="Z18" i="10"/>
  <c r="Z16" i="10"/>
  <c r="Z8" i="10"/>
  <c r="BJ54" i="1"/>
  <c r="BI49" i="1"/>
  <c r="BI3" i="1"/>
  <c r="BJ40" i="1"/>
  <c r="BJ36" i="1"/>
  <c r="BI32" i="1"/>
  <c r="BJ20" i="1"/>
  <c r="BI64" i="1"/>
  <c r="BI11" i="1"/>
  <c r="BJ7" i="1"/>
  <c r="Z66" i="10"/>
  <c r="BH65" i="1" s="1"/>
  <c r="Z53" i="10"/>
  <c r="Z62" i="10"/>
  <c r="BI51" i="1"/>
  <c r="BJ43" i="1"/>
  <c r="BJ35" i="1"/>
  <c r="BI46" i="1"/>
  <c r="BI19" i="1"/>
  <c r="BJ14" i="1"/>
  <c r="BI53" i="1"/>
  <c r="Z24" i="10"/>
  <c r="Z102" i="10"/>
  <c r="BH101" i="1" s="1"/>
  <c r="Z48" i="10"/>
  <c r="Z43" i="10"/>
  <c r="Z39" i="10"/>
  <c r="Z31" i="10"/>
  <c r="Z28" i="10"/>
  <c r="X9" i="1"/>
  <c r="Y9" i="1" s="1"/>
  <c r="AB9" i="1" s="1"/>
  <c r="Z9" i="1"/>
  <c r="X46" i="1"/>
  <c r="Y46" i="1" s="1"/>
  <c r="AB46" i="1" s="1"/>
  <c r="Z46" i="1"/>
  <c r="X65" i="1"/>
  <c r="Y65" i="1" s="1"/>
  <c r="AB65" i="1" s="1"/>
  <c r="Z65" i="1"/>
  <c r="X22" i="1"/>
  <c r="Y22" i="1" s="1"/>
  <c r="AB22" i="1" s="1"/>
  <c r="Z22" i="1"/>
  <c r="X10" i="1"/>
  <c r="Y10" i="1" s="1"/>
  <c r="AB10" i="1" s="1"/>
  <c r="Z10" i="1"/>
  <c r="BH10" i="1"/>
  <c r="BH14" i="1"/>
  <c r="BH46" i="1"/>
  <c r="BH35" i="1"/>
  <c r="BH51" i="1"/>
  <c r="BH55" i="1"/>
  <c r="BH53" i="1"/>
  <c r="BH19" i="1"/>
  <c r="BH43" i="1"/>
  <c r="BH58" i="1"/>
  <c r="BH48" i="1"/>
  <c r="BH39" i="1"/>
  <c r="BH31" i="1"/>
  <c r="BH63" i="1"/>
  <c r="BH45" i="1"/>
  <c r="BH16" i="1"/>
  <c r="BH9" i="1"/>
  <c r="BH22" i="1"/>
  <c r="BH18" i="1"/>
  <c r="BH13" i="1"/>
  <c r="BH6" i="1"/>
  <c r="X18" i="1"/>
  <c r="X7" i="1"/>
  <c r="Y7" i="1" s="1"/>
  <c r="AB7" i="1" s="1"/>
  <c r="X14" i="1"/>
  <c r="Y14" i="1" s="1"/>
  <c r="AB14" i="1" s="1"/>
  <c r="X27" i="1"/>
  <c r="X13" i="1"/>
  <c r="Y13" i="1" s="1"/>
  <c r="AB13" i="1" s="1"/>
  <c r="BE30" i="1" l="1"/>
  <c r="BH30" i="1" s="1"/>
  <c r="BE17" i="1"/>
  <c r="BH17" i="1" s="1"/>
  <c r="BE5" i="1"/>
  <c r="BH5" i="1" s="1"/>
  <c r="BE33" i="1"/>
  <c r="BH33" i="1" s="1"/>
  <c r="BE38" i="1"/>
  <c r="BH38" i="1" s="1"/>
  <c r="BE23" i="1"/>
  <c r="BH23" i="1" s="1"/>
  <c r="BE61" i="1"/>
  <c r="BH61" i="1" s="1"/>
  <c r="BE64" i="1"/>
  <c r="BH64" i="1" s="1"/>
  <c r="BE36" i="1"/>
  <c r="BH36" i="1" s="1"/>
  <c r="BE60" i="1"/>
  <c r="BH60" i="1" s="1"/>
  <c r="BE12" i="1"/>
  <c r="BH12" i="1" s="1"/>
  <c r="BE25" i="1"/>
  <c r="BH25" i="1" s="1"/>
  <c r="BE37" i="1"/>
  <c r="BH37" i="1" s="1"/>
  <c r="BE42" i="1"/>
  <c r="BH42" i="1" s="1"/>
  <c r="BE52" i="1"/>
  <c r="BH52" i="1" s="1"/>
  <c r="BE7" i="1"/>
  <c r="BH7" i="1" s="1"/>
  <c r="BE24" i="1"/>
  <c r="BH24" i="1" s="1"/>
  <c r="BE40" i="1"/>
  <c r="BH40" i="1" s="1"/>
  <c r="BE8" i="1"/>
  <c r="BH8" i="1" s="1"/>
  <c r="BE59" i="1"/>
  <c r="BH59" i="1" s="1"/>
  <c r="BE56" i="1"/>
  <c r="BH56" i="1" s="1"/>
  <c r="BE28" i="1"/>
  <c r="BH28" i="1" s="1"/>
  <c r="BE54" i="1"/>
  <c r="BH54" i="1" s="1"/>
  <c r="BE21" i="1"/>
  <c r="BH21" i="1" s="1"/>
  <c r="BE27" i="1"/>
  <c r="BH27" i="1" s="1"/>
  <c r="BE47" i="1"/>
  <c r="BH47" i="1" s="1"/>
  <c r="BE15" i="1"/>
  <c r="BH15" i="1" s="1"/>
  <c r="BE26" i="1"/>
  <c r="BH26" i="1" s="1"/>
  <c r="BE3" i="1"/>
  <c r="BH3" i="1" s="1"/>
  <c r="BE44" i="1"/>
  <c r="BH44" i="1" s="1"/>
  <c r="BE57" i="1"/>
  <c r="BH57" i="1" s="1"/>
  <c r="BE29" i="1"/>
  <c r="BH29" i="1" s="1"/>
  <c r="BE4" i="1"/>
  <c r="BH4" i="1" s="1"/>
  <c r="BJ12" i="1"/>
  <c r="BI5" i="1"/>
  <c r="BI101" i="1"/>
  <c r="BI58" i="1"/>
  <c r="BJ31" i="1"/>
  <c r="BI10" i="1"/>
  <c r="BJ18" i="1"/>
  <c r="BJ6" i="1"/>
  <c r="BJ61" i="1"/>
  <c r="BI7" i="1"/>
  <c r="BJ3" i="1"/>
  <c r="BI55" i="1"/>
  <c r="BJ48" i="1"/>
  <c r="BI20" i="1"/>
  <c r="BJ21" i="1"/>
  <c r="BI33" i="1"/>
  <c r="BJ42" i="1"/>
  <c r="BJ49" i="1"/>
  <c r="BJ32" i="1"/>
  <c r="BI60" i="1"/>
  <c r="BI4" i="1"/>
  <c r="BJ27" i="1"/>
  <c r="BJ26" i="1"/>
  <c r="BJ17" i="1"/>
  <c r="BI8" i="1"/>
  <c r="BJ37" i="1"/>
  <c r="BI102" i="1"/>
  <c r="BI22" i="1"/>
  <c r="BI39" i="1"/>
  <c r="BI40" i="1"/>
  <c r="BJ41" i="1"/>
  <c r="BI52" i="1"/>
  <c r="BJ11" i="1"/>
  <c r="BI44" i="1"/>
  <c r="BI62" i="1"/>
  <c r="BI56" i="1"/>
  <c r="BJ13" i="1"/>
  <c r="BI14" i="1"/>
  <c r="BJ46" i="1"/>
  <c r="BI35" i="1"/>
  <c r="BJ51" i="1"/>
  <c r="BJ15" i="1"/>
  <c r="BI36" i="1"/>
  <c r="BI57" i="1"/>
  <c r="BJ34" i="1"/>
  <c r="BJ28" i="1"/>
  <c r="BI59" i="1"/>
  <c r="BI25" i="1"/>
  <c r="BJ64" i="1"/>
  <c r="BI54" i="1"/>
  <c r="BJ16" i="1"/>
  <c r="BJ63" i="1"/>
  <c r="BI38" i="1"/>
  <c r="BI23" i="1"/>
  <c r="BI24" i="1"/>
  <c r="BI29" i="1"/>
  <c r="BI45" i="1"/>
  <c r="BJ47" i="1"/>
  <c r="BJ53" i="1"/>
  <c r="BJ65" i="1"/>
  <c r="BJ9" i="1"/>
  <c r="BI30" i="1"/>
  <c r="BJ19" i="1"/>
  <c r="BI43" i="1"/>
  <c r="X36" i="1"/>
  <c r="Y36" i="1" s="1"/>
  <c r="AB36" i="1" s="1"/>
  <c r="Z36" i="1"/>
  <c r="X29" i="1"/>
  <c r="Y29" i="1" s="1"/>
  <c r="AB29" i="1" s="1"/>
  <c r="Z29" i="1"/>
  <c r="X56" i="1"/>
  <c r="Y56" i="1" s="1"/>
  <c r="AB56" i="1" s="1"/>
  <c r="Z56" i="1"/>
  <c r="X30" i="1"/>
  <c r="Y30" i="1" s="1"/>
  <c r="AB30" i="1" s="1"/>
  <c r="Z30" i="1"/>
  <c r="X59" i="1"/>
  <c r="Y59" i="1" s="1"/>
  <c r="AB59" i="1" s="1"/>
  <c r="Z59" i="1"/>
  <c r="X12" i="1"/>
  <c r="Y12" i="1" s="1"/>
  <c r="AB12" i="1" s="1"/>
  <c r="Z12" i="1"/>
  <c r="X38" i="1"/>
  <c r="Y38" i="1" s="1"/>
  <c r="AB38" i="1" s="1"/>
  <c r="Z38" i="1"/>
  <c r="X57" i="1"/>
  <c r="Y57" i="1" s="1"/>
  <c r="AB57" i="1" s="1"/>
  <c r="Z57" i="1"/>
  <c r="X5" i="1"/>
  <c r="Y5" i="1" s="1"/>
  <c r="AB5" i="1" s="1"/>
  <c r="Z5" i="1"/>
  <c r="X16" i="1"/>
  <c r="Y16" i="1" s="1"/>
  <c r="AB16" i="1" s="1"/>
  <c r="Z16" i="1"/>
  <c r="X8" i="1"/>
  <c r="Y8" i="1" s="1"/>
  <c r="AB8" i="1" s="1"/>
  <c r="Z8" i="1"/>
  <c r="X31" i="1"/>
  <c r="Y31" i="1" s="1"/>
  <c r="AB31" i="1" s="1"/>
  <c r="Z31" i="1"/>
  <c r="X3" i="1"/>
  <c r="Y3" i="1" s="1"/>
  <c r="AB3" i="1" s="1"/>
  <c r="Z3" i="1"/>
  <c r="X44" i="1"/>
  <c r="Y44" i="1" s="1"/>
  <c r="AB44" i="1" s="1"/>
  <c r="Z44" i="1"/>
  <c r="X55" i="1"/>
  <c r="Y55" i="1" s="1"/>
  <c r="AB55" i="1" s="1"/>
  <c r="Z55" i="1"/>
  <c r="X47" i="1"/>
  <c r="Y47" i="1" s="1"/>
  <c r="AB47" i="1" s="1"/>
  <c r="Z47" i="1"/>
  <c r="X58" i="1"/>
  <c r="Y58" i="1" s="1"/>
  <c r="AB58" i="1" s="1"/>
  <c r="Z58" i="1"/>
  <c r="X32" i="1"/>
  <c r="Y32" i="1" s="1"/>
  <c r="AB32" i="1" s="1"/>
  <c r="Z32" i="1"/>
  <c r="X50" i="1"/>
  <c r="Y50" i="1" s="1"/>
  <c r="AB50" i="1" s="1"/>
  <c r="Z50" i="1"/>
  <c r="X11" i="1"/>
  <c r="Y11" i="1" s="1"/>
  <c r="AB11" i="1" s="1"/>
  <c r="Z11" i="1"/>
  <c r="X34" i="1"/>
  <c r="Y34" i="1" s="1"/>
  <c r="AB34" i="1" s="1"/>
  <c r="Z34" i="1"/>
  <c r="X62" i="1"/>
  <c r="Y62" i="1" s="1"/>
  <c r="AB62" i="1" s="1"/>
  <c r="Z62" i="1"/>
  <c r="Z27" i="1"/>
  <c r="Y27" i="1"/>
  <c r="AB27" i="1" s="1"/>
  <c r="Z18" i="1"/>
  <c r="Y18" i="1"/>
  <c r="AB18" i="1" s="1"/>
  <c r="BJ60" i="1"/>
  <c r="BI26" i="1"/>
  <c r="BJ30" i="1"/>
  <c r="BJ29" i="1"/>
  <c r="BJ8" i="1"/>
  <c r="BJ33" i="1"/>
  <c r="BI50" i="1"/>
  <c r="BJ50" i="1"/>
  <c r="BI6" i="1"/>
  <c r="BI18" i="1"/>
  <c r="BJ5" i="1"/>
  <c r="BI34" i="1"/>
  <c r="BJ101" i="1"/>
  <c r="BI31" i="1"/>
  <c r="BJ39" i="1"/>
  <c r="BI48" i="1"/>
  <c r="BJ58" i="1"/>
  <c r="BJ62" i="1"/>
  <c r="BJ38" i="1"/>
  <c r="BJ23" i="1"/>
  <c r="BI16" i="1"/>
  <c r="BI63" i="1"/>
  <c r="BJ24" i="1"/>
  <c r="BI61" i="1"/>
  <c r="BJ57" i="1"/>
  <c r="BI41" i="1"/>
  <c r="BJ4" i="1"/>
  <c r="BI13" i="1"/>
  <c r="BJ22" i="1"/>
  <c r="BJ56" i="1"/>
  <c r="BI42" i="1"/>
  <c r="BI27" i="1"/>
  <c r="BI28" i="1"/>
  <c r="BI65" i="1"/>
  <c r="BJ10" i="1"/>
  <c r="BI47" i="1"/>
  <c r="BI9" i="1"/>
  <c r="BJ45" i="1"/>
  <c r="BJ52" i="1"/>
  <c r="BJ44" i="1"/>
  <c r="BI15" i="1"/>
  <c r="BI17" i="1"/>
  <c r="BI37" i="1"/>
  <c r="BJ102" i="1"/>
  <c r="BJ55" i="1"/>
  <c r="X60" i="1"/>
  <c r="X6" i="1"/>
  <c r="Y6" i="1" s="1"/>
  <c r="AB6" i="1" s="1"/>
  <c r="X63" i="1"/>
  <c r="X49" i="1"/>
  <c r="Y49" i="1" s="1"/>
  <c r="AB49" i="1" s="1"/>
  <c r="X41" i="1"/>
  <c r="X45" i="1"/>
  <c r="Y45" i="1" s="1"/>
  <c r="AB45" i="1" s="1"/>
  <c r="X64" i="1"/>
  <c r="X39" i="1"/>
  <c r="Y39" i="1" s="1"/>
  <c r="AB39" i="1" s="1"/>
  <c r="X26" i="1"/>
  <c r="X21" i="1"/>
  <c r="Y21" i="1" s="1"/>
  <c r="AB21" i="1" s="1"/>
  <c r="X53" i="1"/>
  <c r="X15" i="1"/>
  <c r="Y15" i="1" s="1"/>
  <c r="AB15" i="1" s="1"/>
  <c r="X48" i="1"/>
  <c r="X20" i="1"/>
  <c r="Y20" i="1" s="1"/>
  <c r="AB20" i="1" s="1"/>
  <c r="X37" i="1"/>
  <c r="X51" i="1"/>
  <c r="Y51" i="1" s="1"/>
  <c r="AB51" i="1" s="1"/>
  <c r="X61" i="1"/>
  <c r="X17" i="1"/>
  <c r="Y17" i="1" s="1"/>
  <c r="AB17" i="1" s="1"/>
  <c r="X54" i="1"/>
  <c r="X28" i="1"/>
  <c r="Y28" i="1" s="1"/>
  <c r="AB28" i="1" s="1"/>
  <c r="X25" i="1"/>
  <c r="X35" i="1"/>
  <c r="Y35" i="1" s="1"/>
  <c r="AB35" i="1" s="1"/>
  <c r="X40" i="1"/>
  <c r="X33" i="1"/>
  <c r="Y33" i="1" s="1"/>
  <c r="AB33" i="1" s="1"/>
  <c r="X101" i="1"/>
  <c r="X24" i="1"/>
  <c r="Y24" i="1" s="1"/>
  <c r="AB24" i="1" s="1"/>
  <c r="X42" i="1"/>
  <c r="X19" i="1"/>
  <c r="Y19" i="1" s="1"/>
  <c r="AB19" i="1" s="1"/>
  <c r="X102" i="1"/>
  <c r="X23" i="1"/>
  <c r="Y23" i="1" s="1"/>
  <c r="AB23" i="1" s="1"/>
  <c r="X52" i="1"/>
  <c r="X43" i="1"/>
  <c r="Y43" i="1" s="1"/>
  <c r="AB43" i="1" s="1"/>
  <c r="X4" i="1"/>
  <c r="Z13" i="1"/>
  <c r="Z7" i="1"/>
  <c r="Z14" i="1"/>
  <c r="Y4" i="1" l="1"/>
  <c r="AB4" i="1" s="1"/>
  <c r="Y52" i="1"/>
  <c r="AB52" i="1" s="1"/>
  <c r="Y102" i="1"/>
  <c r="AB102" i="1" s="1"/>
  <c r="Y42" i="1"/>
  <c r="AB42" i="1" s="1"/>
  <c r="Y101" i="1"/>
  <c r="AB101" i="1" s="1"/>
  <c r="Y40" i="1"/>
  <c r="AB40" i="1" s="1"/>
  <c r="Y25" i="1"/>
  <c r="AB25" i="1" s="1"/>
  <c r="Y54" i="1"/>
  <c r="AB54" i="1" s="1"/>
  <c r="Y61" i="1"/>
  <c r="AB61" i="1" s="1"/>
  <c r="Y37" i="1"/>
  <c r="AB37" i="1" s="1"/>
  <c r="Y48" i="1"/>
  <c r="AB48" i="1" s="1"/>
  <c r="Y53" i="1"/>
  <c r="AB53" i="1" s="1"/>
  <c r="Y26" i="1"/>
  <c r="AB26" i="1" s="1"/>
  <c r="Y64" i="1"/>
  <c r="AB64" i="1" s="1"/>
  <c r="Y41" i="1"/>
  <c r="AB41" i="1" s="1"/>
  <c r="Y63" i="1"/>
  <c r="AB63" i="1" s="1"/>
  <c r="Y60" i="1"/>
  <c r="AB60" i="1" s="1"/>
  <c r="Z42" i="1"/>
  <c r="Z40" i="1"/>
  <c r="Z63" i="1"/>
  <c r="Z49" i="1"/>
  <c r="Z6" i="1"/>
  <c r="Z52" i="1"/>
  <c r="Z20" i="1"/>
  <c r="Z35" i="1"/>
  <c r="Z41" i="1"/>
  <c r="Z60" i="1"/>
  <c r="Z102" i="1"/>
  <c r="Z101" i="1"/>
  <c r="Z15" i="1"/>
  <c r="Z28" i="1"/>
  <c r="Z64" i="1"/>
  <c r="Z43" i="1"/>
  <c r="Z25" i="1"/>
  <c r="Z33" i="1"/>
  <c r="Z17" i="1"/>
  <c r="Z51" i="1"/>
  <c r="Z21" i="1"/>
  <c r="Z26" i="1"/>
  <c r="Z48" i="1"/>
  <c r="Z24" i="1"/>
  <c r="Z4" i="1"/>
  <c r="Z61" i="1"/>
  <c r="Z39" i="1"/>
  <c r="Z23" i="1"/>
  <c r="Z53" i="1"/>
  <c r="Z37" i="1"/>
  <c r="Z19" i="1"/>
  <c r="Z45" i="1"/>
  <c r="Z54" i="1"/>
  <c r="U61" i="6"/>
  <c r="U59" i="6"/>
  <c r="U24" i="6"/>
  <c r="U103" i="6"/>
  <c r="U55" i="6"/>
  <c r="U52" i="6"/>
  <c r="U102" i="6"/>
  <c r="U51" i="6"/>
  <c r="U50" i="6"/>
  <c r="U49" i="6"/>
  <c r="U48" i="6"/>
  <c r="U45" i="6"/>
  <c r="U4" i="6"/>
  <c r="U44" i="6"/>
  <c r="U43" i="6"/>
  <c r="U42" i="6"/>
  <c r="U41" i="6"/>
  <c r="U40" i="6"/>
  <c r="U39" i="6"/>
  <c r="U38" i="6"/>
  <c r="U37" i="6"/>
  <c r="U36" i="6"/>
  <c r="U35" i="6"/>
  <c r="U34" i="6"/>
  <c r="U33" i="6"/>
  <c r="U32" i="6"/>
  <c r="U31" i="6"/>
  <c r="U30" i="6"/>
  <c r="U29" i="6"/>
  <c r="U66" i="6"/>
  <c r="U28" i="6"/>
  <c r="U57" i="6"/>
  <c r="U27" i="6"/>
  <c r="U53" i="6"/>
  <c r="U64" i="6"/>
  <c r="U26" i="6"/>
  <c r="U25" i="6"/>
  <c r="U47" i="6"/>
  <c r="U23" i="6"/>
  <c r="U22" i="6"/>
  <c r="U21" i="6"/>
  <c r="U56" i="6"/>
  <c r="U46" i="6"/>
  <c r="U58" i="6"/>
  <c r="U65" i="6"/>
  <c r="U20" i="6"/>
  <c r="U19" i="6"/>
  <c r="U63" i="6"/>
  <c r="U18" i="6"/>
  <c r="U62" i="6"/>
  <c r="U17" i="6"/>
  <c r="U60" i="6"/>
  <c r="U16" i="6"/>
  <c r="U15" i="6"/>
  <c r="U14" i="6"/>
  <c r="U13" i="6"/>
  <c r="U12" i="6"/>
  <c r="U11" i="6"/>
  <c r="U10" i="6"/>
  <c r="U9" i="6"/>
  <c r="U8" i="6"/>
  <c r="U54" i="6"/>
  <c r="U7" i="6"/>
  <c r="U6" i="6"/>
  <c r="U5" i="6"/>
  <c r="U61" i="3"/>
  <c r="U59" i="3"/>
  <c r="U24" i="3"/>
  <c r="U103" i="3"/>
  <c r="U55" i="3"/>
  <c r="U52" i="3"/>
  <c r="U102" i="3"/>
  <c r="U51" i="3"/>
  <c r="U50" i="3"/>
  <c r="U49" i="3"/>
  <c r="U48" i="3"/>
  <c r="U45" i="3"/>
  <c r="U4" i="3"/>
  <c r="U44" i="3"/>
  <c r="U43" i="3"/>
  <c r="U42" i="3"/>
  <c r="U41" i="3"/>
  <c r="U40" i="3"/>
  <c r="U39" i="3"/>
  <c r="U38" i="3"/>
  <c r="U37" i="3"/>
  <c r="U36" i="3"/>
  <c r="U35" i="3"/>
  <c r="U34" i="3"/>
  <c r="U33" i="3"/>
  <c r="U32" i="3"/>
  <c r="U31" i="3"/>
  <c r="U30" i="3"/>
  <c r="U29" i="3"/>
  <c r="U66" i="3"/>
  <c r="U28" i="3"/>
  <c r="U57" i="3"/>
  <c r="U27" i="3"/>
  <c r="U53" i="3"/>
  <c r="U64" i="3"/>
  <c r="U26" i="3"/>
  <c r="U25" i="3"/>
  <c r="U47" i="3"/>
  <c r="U23" i="3"/>
  <c r="U22" i="3"/>
  <c r="U21" i="3"/>
  <c r="U56" i="3"/>
  <c r="U46" i="3"/>
  <c r="U58" i="3"/>
  <c r="U65" i="3"/>
  <c r="U20" i="3"/>
  <c r="U19" i="3"/>
  <c r="U63" i="3"/>
  <c r="U18" i="3"/>
  <c r="U62" i="3"/>
  <c r="U17" i="3"/>
  <c r="U60" i="3"/>
  <c r="U16" i="3"/>
  <c r="U15" i="3"/>
  <c r="U14" i="3"/>
  <c r="U13" i="3"/>
  <c r="U12" i="3"/>
  <c r="U11" i="3"/>
  <c r="U10" i="3"/>
  <c r="U9" i="3"/>
  <c r="U8" i="3"/>
  <c r="U54" i="3"/>
  <c r="U7" i="3"/>
  <c r="U6" i="3"/>
  <c r="U5" i="3"/>
  <c r="T10" i="3" l="1"/>
  <c r="T17" i="3"/>
  <c r="T19" i="3"/>
  <c r="T23" i="3"/>
  <c r="T28" i="3"/>
  <c r="T39" i="3"/>
  <c r="T48" i="3"/>
  <c r="T24" i="3"/>
  <c r="T11" i="6"/>
  <c r="T62" i="6"/>
  <c r="T47" i="6"/>
  <c r="T66" i="6"/>
  <c r="T49" i="6"/>
  <c r="T54" i="3"/>
  <c r="T15" i="3"/>
  <c r="T56" i="3"/>
  <c r="T53" i="3"/>
  <c r="T32" i="3"/>
  <c r="T44" i="3"/>
  <c r="T52" i="3"/>
  <c r="T5" i="6"/>
  <c r="T8" i="6"/>
  <c r="T16" i="6"/>
  <c r="T18" i="6"/>
  <c r="T65" i="6"/>
  <c r="T25" i="6"/>
  <c r="T27" i="6"/>
  <c r="T29" i="6"/>
  <c r="T37" i="6"/>
  <c r="T41" i="6"/>
  <c r="T4" i="6"/>
  <c r="T55" i="6"/>
  <c r="T61" i="6"/>
  <c r="T5" i="3"/>
  <c r="T8" i="3"/>
  <c r="T16" i="3"/>
  <c r="T18" i="3"/>
  <c r="T65" i="3"/>
  <c r="T25" i="3"/>
  <c r="T27" i="3"/>
  <c r="T29" i="3"/>
  <c r="T37" i="3"/>
  <c r="T41" i="3"/>
  <c r="T4" i="3"/>
  <c r="T55" i="3"/>
  <c r="T61" i="3"/>
  <c r="T6" i="6"/>
  <c r="T9" i="6"/>
  <c r="T13" i="6"/>
  <c r="T60" i="6"/>
  <c r="T58" i="6"/>
  <c r="T22" i="6"/>
  <c r="T26" i="6"/>
  <c r="T57" i="6"/>
  <c r="T30" i="6"/>
  <c r="T34" i="6"/>
  <c r="T38" i="6"/>
  <c r="T45" i="6"/>
  <c r="T103" i="6"/>
  <c r="T7" i="3"/>
  <c r="T14" i="3"/>
  <c r="T46" i="3"/>
  <c r="T64" i="3"/>
  <c r="T31" i="3"/>
  <c r="T43" i="3"/>
  <c r="T102" i="3"/>
  <c r="T54" i="6"/>
  <c r="T15" i="6"/>
  <c r="T56" i="6"/>
  <c r="T53" i="6"/>
  <c r="T32" i="6"/>
  <c r="T44" i="6"/>
  <c r="T52" i="6"/>
  <c r="T11" i="3"/>
  <c r="T62" i="3"/>
  <c r="T47" i="3"/>
  <c r="T66" i="3"/>
  <c r="T49" i="3"/>
  <c r="T6" i="3"/>
  <c r="T9" i="3"/>
  <c r="T13" i="3"/>
  <c r="T60" i="3"/>
  <c r="T58" i="3"/>
  <c r="T22" i="3"/>
  <c r="T26" i="3"/>
  <c r="T57" i="3"/>
  <c r="T30" i="3"/>
  <c r="T34" i="3"/>
  <c r="T38" i="3"/>
  <c r="T45" i="3"/>
  <c r="T103" i="3"/>
  <c r="T7" i="6"/>
  <c r="T10" i="6"/>
  <c r="T14" i="6"/>
  <c r="T17" i="6"/>
  <c r="T19" i="6"/>
  <c r="T46" i="6"/>
  <c r="T23" i="6"/>
  <c r="T64" i="6"/>
  <c r="T28" i="6"/>
  <c r="T31" i="6"/>
  <c r="T39" i="6"/>
  <c r="T43" i="6"/>
  <c r="T48" i="6"/>
  <c r="T102" i="6"/>
  <c r="T24" i="6"/>
  <c r="T20" i="6"/>
  <c r="T36" i="6"/>
  <c r="T40" i="6"/>
  <c r="T59" i="6"/>
  <c r="T12" i="6"/>
  <c r="T21" i="6"/>
  <c r="T33" i="6"/>
  <c r="T50" i="6"/>
  <c r="T63" i="6"/>
  <c r="T42" i="6"/>
  <c r="T51" i="6"/>
  <c r="T35" i="6"/>
  <c r="T35" i="3"/>
  <c r="T20" i="3"/>
  <c r="T36" i="3"/>
  <c r="T40" i="3"/>
  <c r="T59" i="3"/>
  <c r="T12" i="3"/>
  <c r="T21" i="3"/>
  <c r="T33" i="3"/>
  <c r="T50" i="3"/>
  <c r="T63" i="3"/>
  <c r="T42" i="3"/>
  <c r="T51" i="3"/>
  <c r="V2" i="6"/>
  <c r="U2" i="6"/>
  <c r="AE2" i="3"/>
  <c r="AF2" i="3"/>
  <c r="AG2" i="3"/>
  <c r="AH2" i="3"/>
  <c r="AI2" i="3"/>
  <c r="AJ2" i="3"/>
  <c r="AD2" i="3"/>
  <c r="AC2" i="3"/>
  <c r="AB2" i="3"/>
  <c r="AK4" i="1"/>
  <c r="AK42" i="1"/>
  <c r="V2" i="3"/>
  <c r="U2" i="3"/>
  <c r="BB60" i="1"/>
  <c r="BB11" i="1"/>
  <c r="BB7" i="1"/>
  <c r="BB5" i="1"/>
  <c r="BB6" i="1"/>
  <c r="BB53" i="1"/>
  <c r="BB8" i="1"/>
  <c r="BB9" i="1"/>
  <c r="BB10" i="1"/>
  <c r="BB12" i="1"/>
  <c r="BB13" i="1"/>
  <c r="BB14" i="1"/>
  <c r="BB15" i="1"/>
  <c r="BB59" i="1"/>
  <c r="BB16" i="1"/>
  <c r="BB61" i="1"/>
  <c r="BB17" i="1"/>
  <c r="BB62" i="1"/>
  <c r="BB18" i="1"/>
  <c r="BB19" i="1"/>
  <c r="BB64" i="1"/>
  <c r="BB57" i="1"/>
  <c r="BB45" i="1"/>
  <c r="BB55" i="1"/>
  <c r="BB20" i="1"/>
  <c r="BB21" i="1"/>
  <c r="BB22" i="1"/>
  <c r="BB46" i="1"/>
  <c r="BB24" i="1"/>
  <c r="BB25" i="1"/>
  <c r="BB63" i="1"/>
  <c r="BB52" i="1"/>
  <c r="BB26" i="1"/>
  <c r="BB56" i="1"/>
  <c r="BB27" i="1"/>
  <c r="BB65" i="1"/>
  <c r="BB28" i="1"/>
  <c r="BB29" i="1"/>
  <c r="BB30" i="1"/>
  <c r="BB31" i="1"/>
  <c r="BB32" i="1"/>
  <c r="BB33" i="1"/>
  <c r="BB34" i="1"/>
  <c r="BB35" i="1"/>
  <c r="BB36" i="1"/>
  <c r="BB37" i="1"/>
  <c r="BB38" i="1"/>
  <c r="BB39" i="1"/>
  <c r="BB40" i="1"/>
  <c r="BB41" i="1"/>
  <c r="BB42" i="1"/>
  <c r="BB43" i="1"/>
  <c r="BB3" i="1"/>
  <c r="BB44" i="1"/>
  <c r="BB47" i="1"/>
  <c r="BB48" i="1"/>
  <c r="BB49" i="1"/>
  <c r="BB50" i="1"/>
  <c r="BB101" i="1"/>
  <c r="BB51" i="1"/>
  <c r="BB54" i="1"/>
  <c r="BB102" i="1"/>
  <c r="BB23" i="1"/>
  <c r="BB58" i="1"/>
  <c r="BB4" i="1"/>
  <c r="W35" i="6" l="1"/>
  <c r="BL34" i="1" s="1"/>
  <c r="BP34" i="1"/>
  <c r="W50" i="6"/>
  <c r="BL49" i="1" s="1"/>
  <c r="BP49" i="1"/>
  <c r="W59" i="6"/>
  <c r="BL58" i="1" s="1"/>
  <c r="BP58" i="1"/>
  <c r="W24" i="6"/>
  <c r="BL23" i="1" s="1"/>
  <c r="BP23" i="1"/>
  <c r="W39" i="6"/>
  <c r="BL38" i="1" s="1"/>
  <c r="W23" i="6"/>
  <c r="BL22" i="1" s="1"/>
  <c r="BP22" i="1"/>
  <c r="W14" i="6"/>
  <c r="BL13" i="1" s="1"/>
  <c r="W52" i="6"/>
  <c r="BL51" i="1" s="1"/>
  <c r="BP51" i="1"/>
  <c r="W56" i="6"/>
  <c r="BL55" i="1" s="1"/>
  <c r="BP55" i="1"/>
  <c r="W38" i="6"/>
  <c r="BL37" i="1" s="1"/>
  <c r="BP37" i="1"/>
  <c r="W26" i="6"/>
  <c r="BL25" i="1" s="1"/>
  <c r="W13" i="6"/>
  <c r="BL12" i="1" s="1"/>
  <c r="BP12" i="1"/>
  <c r="W55" i="6"/>
  <c r="BL54" i="1" s="1"/>
  <c r="BP54" i="1"/>
  <c r="W29" i="6"/>
  <c r="BL28" i="1" s="1"/>
  <c r="BP28" i="1"/>
  <c r="W18" i="6"/>
  <c r="BL17" i="1" s="1"/>
  <c r="W62" i="6"/>
  <c r="BL61" i="1" s="1"/>
  <c r="BP61" i="1"/>
  <c r="W51" i="6"/>
  <c r="BL50" i="1" s="1"/>
  <c r="BP50" i="1"/>
  <c r="W33" i="6"/>
  <c r="BL32" i="1" s="1"/>
  <c r="W40" i="6"/>
  <c r="BL39" i="1" s="1"/>
  <c r="W102" i="6"/>
  <c r="BP101" i="1"/>
  <c r="W31" i="6"/>
  <c r="BL30" i="1" s="1"/>
  <c r="BP30" i="1"/>
  <c r="W46" i="6"/>
  <c r="BL45" i="1" s="1"/>
  <c r="W10" i="6"/>
  <c r="BL9" i="1" s="1"/>
  <c r="W44" i="6"/>
  <c r="BL43" i="1" s="1"/>
  <c r="W15" i="6"/>
  <c r="BL14" i="1" s="1"/>
  <c r="BP14" i="1"/>
  <c r="W34" i="6"/>
  <c r="BL33" i="1" s="1"/>
  <c r="BP33" i="1"/>
  <c r="W22" i="6"/>
  <c r="BL21" i="1" s="1"/>
  <c r="BP21" i="1"/>
  <c r="W9" i="6"/>
  <c r="BL8" i="1" s="1"/>
  <c r="BP8" i="1"/>
  <c r="W4" i="6"/>
  <c r="BL3" i="1" s="1"/>
  <c r="W27" i="6"/>
  <c r="BL26" i="1" s="1"/>
  <c r="BP26" i="1"/>
  <c r="W16" i="6"/>
  <c r="BL15" i="1" s="1"/>
  <c r="W49" i="6"/>
  <c r="BL48" i="1" s="1"/>
  <c r="BP48" i="1"/>
  <c r="W11" i="6"/>
  <c r="BL10" i="1" s="1"/>
  <c r="W42" i="6"/>
  <c r="BL41" i="1" s="1"/>
  <c r="BP41" i="1"/>
  <c r="W21" i="6"/>
  <c r="BL20" i="1" s="1"/>
  <c r="BP20" i="1"/>
  <c r="W36" i="6"/>
  <c r="BL35" i="1" s="1"/>
  <c r="BP35" i="1"/>
  <c r="W48" i="6"/>
  <c r="BL47" i="1" s="1"/>
  <c r="W28" i="6"/>
  <c r="BL27" i="1" s="1"/>
  <c r="BP27" i="1"/>
  <c r="W19" i="6"/>
  <c r="BL18" i="1" s="1"/>
  <c r="W7" i="6"/>
  <c r="BL6" i="1" s="1"/>
  <c r="BP6" i="1"/>
  <c r="W32" i="6"/>
  <c r="BL31" i="1" s="1"/>
  <c r="W54" i="6"/>
  <c r="BL53" i="1" s="1"/>
  <c r="BP53" i="1"/>
  <c r="W103" i="6"/>
  <c r="BP102" i="1"/>
  <c r="W30" i="6"/>
  <c r="BL29" i="1" s="1"/>
  <c r="BP29" i="1"/>
  <c r="W58" i="6"/>
  <c r="BL57" i="1" s="1"/>
  <c r="BP57" i="1"/>
  <c r="W6" i="6"/>
  <c r="BL5" i="1" s="1"/>
  <c r="BP5" i="1"/>
  <c r="W41" i="6"/>
  <c r="BL40" i="1" s="1"/>
  <c r="W25" i="6"/>
  <c r="BL24" i="1" s="1"/>
  <c r="BP24" i="1"/>
  <c r="W8" i="6"/>
  <c r="BL7" i="1" s="1"/>
  <c r="BP7" i="1"/>
  <c r="W66" i="6"/>
  <c r="BP65" i="1"/>
  <c r="W63" i="6"/>
  <c r="BL62" i="1" s="1"/>
  <c r="W12" i="6"/>
  <c r="BL11" i="1" s="1"/>
  <c r="BP11" i="1"/>
  <c r="W20" i="6"/>
  <c r="BL19" i="1" s="1"/>
  <c r="W43" i="6"/>
  <c r="BL42" i="1" s="1"/>
  <c r="BP42" i="1"/>
  <c r="W64" i="6"/>
  <c r="BL63" i="1" s="1"/>
  <c r="BP63" i="1"/>
  <c r="W17" i="6"/>
  <c r="BL16" i="1" s="1"/>
  <c r="BP16" i="1"/>
  <c r="W53" i="6"/>
  <c r="BL52" i="1" s="1"/>
  <c r="BP52" i="1"/>
  <c r="W45" i="6"/>
  <c r="BL44" i="1" s="1"/>
  <c r="BP44" i="1"/>
  <c r="W57" i="6"/>
  <c r="BL56" i="1" s="1"/>
  <c r="W60" i="6"/>
  <c r="BL59" i="1" s="1"/>
  <c r="BP59" i="1"/>
  <c r="W61" i="6"/>
  <c r="BL60" i="1" s="1"/>
  <c r="W37" i="6"/>
  <c r="BL36" i="1" s="1"/>
  <c r="BP36" i="1"/>
  <c r="W65" i="6"/>
  <c r="BL64" i="1" s="1"/>
  <c r="BP64" i="1"/>
  <c r="W5" i="6"/>
  <c r="BL4" i="1" s="1"/>
  <c r="BP4" i="1"/>
  <c r="W47" i="6"/>
  <c r="BL46" i="1" s="1"/>
  <c r="BP46" i="1"/>
  <c r="W40" i="3"/>
  <c r="W30" i="3"/>
  <c r="W6" i="3"/>
  <c r="W66" i="3"/>
  <c r="W14" i="3"/>
  <c r="W32" i="3"/>
  <c r="W21" i="3"/>
  <c r="W45" i="3"/>
  <c r="W57" i="3"/>
  <c r="W60" i="3"/>
  <c r="W47" i="3"/>
  <c r="W31" i="3"/>
  <c r="W7" i="3"/>
  <c r="W41" i="3"/>
  <c r="W25" i="3"/>
  <c r="W8" i="3"/>
  <c r="W53" i="3"/>
  <c r="W48" i="3"/>
  <c r="W19" i="3"/>
  <c r="W51" i="3"/>
  <c r="W103" i="3"/>
  <c r="W43" i="3"/>
  <c r="W27" i="3"/>
  <c r="W54" i="3"/>
  <c r="W23" i="3"/>
  <c r="W36" i="3"/>
  <c r="W63" i="3"/>
  <c r="W12" i="3"/>
  <c r="W20" i="3"/>
  <c r="W38" i="3"/>
  <c r="W26" i="3"/>
  <c r="W13" i="3"/>
  <c r="W62" i="3"/>
  <c r="W64" i="3"/>
  <c r="W61" i="3"/>
  <c r="W37" i="3"/>
  <c r="W65" i="3"/>
  <c r="W5" i="3"/>
  <c r="W52" i="3"/>
  <c r="W56" i="3"/>
  <c r="W39" i="3"/>
  <c r="W17" i="3"/>
  <c r="W33" i="3"/>
  <c r="W58" i="3"/>
  <c r="W4" i="3"/>
  <c r="W16" i="3"/>
  <c r="W24" i="3"/>
  <c r="W42" i="3"/>
  <c r="W50" i="3"/>
  <c r="W59" i="3"/>
  <c r="W35" i="3"/>
  <c r="W34" i="3"/>
  <c r="W22" i="3"/>
  <c r="W9" i="3"/>
  <c r="W49" i="3"/>
  <c r="W11" i="3"/>
  <c r="W102" i="3"/>
  <c r="W46" i="3"/>
  <c r="W55" i="3"/>
  <c r="W29" i="3"/>
  <c r="W18" i="3"/>
  <c r="W44" i="3"/>
  <c r="W15" i="3"/>
  <c r="W28" i="3"/>
  <c r="W10" i="3"/>
  <c r="BA64" i="1"/>
  <c r="BA52" i="1"/>
  <c r="BA28" i="1"/>
  <c r="BA4" i="1"/>
  <c r="BA53" i="1"/>
  <c r="BA11" i="1"/>
  <c r="BA19" i="1"/>
  <c r="BA20" i="1"/>
  <c r="BA65" i="1"/>
  <c r="BA32" i="1"/>
  <c r="BA7" i="1"/>
  <c r="BA61" i="1"/>
  <c r="BA15" i="1"/>
  <c r="BA24" i="1"/>
  <c r="BA36" i="1"/>
  <c r="AK14" i="1"/>
  <c r="AK13" i="1"/>
  <c r="AK12" i="1"/>
  <c r="AK11" i="1"/>
  <c r="AK9" i="1"/>
  <c r="AK8" i="1"/>
  <c r="AK7" i="1"/>
  <c r="AK53" i="1"/>
  <c r="AK56" i="1"/>
  <c r="AK26" i="1"/>
  <c r="AK52" i="1"/>
  <c r="AK63" i="1"/>
  <c r="AK39" i="1"/>
  <c r="AK38" i="1"/>
  <c r="AK37" i="1"/>
  <c r="AK36" i="1"/>
  <c r="AK47" i="1"/>
  <c r="AK44" i="1"/>
  <c r="AK3" i="1"/>
  <c r="AK43" i="1"/>
  <c r="AK48" i="1"/>
  <c r="AK51" i="1"/>
  <c r="AK101" i="1"/>
  <c r="AK50" i="1"/>
  <c r="AK32" i="1"/>
  <c r="AK31" i="1"/>
  <c r="AK30" i="1"/>
  <c r="AK18" i="1"/>
  <c r="AK62" i="1"/>
  <c r="AK17" i="1"/>
  <c r="AK46" i="1"/>
  <c r="AK22" i="1"/>
  <c r="AK102" i="1"/>
  <c r="AK20" i="1"/>
  <c r="AK65" i="1"/>
  <c r="AK45" i="1"/>
  <c r="AK57" i="1"/>
  <c r="AK16" i="1"/>
  <c r="AK59" i="1"/>
  <c r="AK15" i="1"/>
  <c r="AK34" i="1"/>
  <c r="AK5" i="1"/>
  <c r="AK6" i="1"/>
  <c r="AK23" i="1"/>
  <c r="AK35" i="1"/>
  <c r="AK27" i="1"/>
  <c r="AK58" i="1"/>
  <c r="AK60" i="1"/>
  <c r="AK49" i="1"/>
  <c r="AK33" i="1"/>
  <c r="AK25" i="1"/>
  <c r="AK24" i="1"/>
  <c r="AK28" i="1"/>
  <c r="AK41" i="1"/>
  <c r="AK29" i="1"/>
  <c r="AK55" i="1"/>
  <c r="AK61" i="1"/>
  <c r="AK64" i="1"/>
  <c r="BP9" i="1"/>
  <c r="BP13" i="1"/>
  <c r="BP45" i="1"/>
  <c r="BP10" i="1"/>
  <c r="BP19" i="1"/>
  <c r="BP39" i="1"/>
  <c r="BP43" i="1"/>
  <c r="BP15" i="1"/>
  <c r="BP17" i="1"/>
  <c r="BP32" i="1"/>
  <c r="BP40" i="1"/>
  <c r="BP60" i="1"/>
  <c r="BP18" i="1"/>
  <c r="BP38" i="1"/>
  <c r="BP47" i="1"/>
  <c r="BP31" i="1"/>
  <c r="BP62" i="1"/>
  <c r="BP25" i="1"/>
  <c r="BP56" i="1"/>
  <c r="AK19" i="1"/>
  <c r="AK21" i="1"/>
  <c r="AK40" i="1"/>
  <c r="AK54" i="1"/>
  <c r="BA5" i="1"/>
  <c r="BA62" i="1"/>
  <c r="BA56" i="1"/>
  <c r="BA25" i="1"/>
  <c r="BA12" i="1"/>
  <c r="BA21" i="1"/>
  <c r="BA33" i="1"/>
  <c r="BA59" i="1"/>
  <c r="BA57" i="1"/>
  <c r="BA29" i="1"/>
  <c r="BA10" i="1"/>
  <c r="BA14" i="1"/>
  <c r="BA55" i="1"/>
  <c r="BA46" i="1"/>
  <c r="BA31" i="1"/>
  <c r="BA35" i="1"/>
  <c r="BA8" i="1"/>
  <c r="BA17" i="1"/>
  <c r="BA26" i="1"/>
  <c r="Q44" i="2" l="1"/>
  <c r="G43" i="1" s="1"/>
  <c r="Q46" i="2"/>
  <c r="G45" i="1" s="1"/>
  <c r="Q9" i="2"/>
  <c r="G8" i="1" s="1"/>
  <c r="Q59" i="2"/>
  <c r="G58" i="1" s="1"/>
  <c r="Q16" i="2"/>
  <c r="G15" i="1" s="1"/>
  <c r="Q17" i="2"/>
  <c r="G16" i="1" s="1"/>
  <c r="Q5" i="2"/>
  <c r="G4" i="1" s="1"/>
  <c r="Q64" i="2"/>
  <c r="G63" i="1" s="1"/>
  <c r="Q38" i="2"/>
  <c r="G37" i="1" s="1"/>
  <c r="Q36" i="2"/>
  <c r="G35" i="1" s="1"/>
  <c r="Q43" i="2"/>
  <c r="G42" i="1" s="1"/>
  <c r="Q48" i="2"/>
  <c r="G47" i="1" s="1"/>
  <c r="Q41" i="2"/>
  <c r="G40" i="1" s="1"/>
  <c r="Q60" i="2"/>
  <c r="G59" i="1" s="1"/>
  <c r="Q32" i="2"/>
  <c r="G31" i="1" s="1"/>
  <c r="Q30" i="2"/>
  <c r="G29" i="1" s="1"/>
  <c r="Q10" i="2"/>
  <c r="G9" i="1" s="1"/>
  <c r="Q18" i="2"/>
  <c r="G17" i="1" s="1"/>
  <c r="Q22" i="2"/>
  <c r="G21" i="1" s="1"/>
  <c r="Q50" i="2"/>
  <c r="G49" i="1" s="1"/>
  <c r="Q4" i="2"/>
  <c r="Q39" i="2"/>
  <c r="G38" i="1" s="1"/>
  <c r="Q65" i="2"/>
  <c r="G64" i="1" s="1"/>
  <c r="Q62" i="2"/>
  <c r="G61" i="1" s="1"/>
  <c r="Q20" i="2"/>
  <c r="G19" i="1" s="1"/>
  <c r="Q23" i="2"/>
  <c r="G22" i="1" s="1"/>
  <c r="Q53" i="2"/>
  <c r="G52" i="1" s="1"/>
  <c r="Q7" i="2"/>
  <c r="G6" i="1" s="1"/>
  <c r="Q57" i="2"/>
  <c r="G56" i="1" s="1"/>
  <c r="Q14" i="2"/>
  <c r="G13" i="1" s="1"/>
  <c r="Q40" i="2"/>
  <c r="G39" i="1" s="1"/>
  <c r="Q28" i="2"/>
  <c r="G27" i="1" s="1"/>
  <c r="Q29" i="2"/>
  <c r="G28" i="1" s="1"/>
  <c r="Q11" i="2"/>
  <c r="G10" i="1" s="1"/>
  <c r="Q34" i="2"/>
  <c r="G33" i="1" s="1"/>
  <c r="Q42" i="2"/>
  <c r="G41" i="1" s="1"/>
  <c r="Q58" i="2"/>
  <c r="G57" i="1" s="1"/>
  <c r="Q56" i="2"/>
  <c r="G55" i="1" s="1"/>
  <c r="Q37" i="2"/>
  <c r="G36" i="1" s="1"/>
  <c r="Q13" i="2"/>
  <c r="G12" i="1" s="1"/>
  <c r="Q12" i="2"/>
  <c r="G11" i="1" s="1"/>
  <c r="Q54" i="2"/>
  <c r="G53" i="1" s="1"/>
  <c r="Q51" i="2"/>
  <c r="G50" i="1" s="1"/>
  <c r="Q8" i="2"/>
  <c r="G7" i="1" s="1"/>
  <c r="Q31" i="2"/>
  <c r="G30" i="1" s="1"/>
  <c r="Q45" i="2"/>
  <c r="G44" i="1" s="1"/>
  <c r="Q15" i="2"/>
  <c r="G14" i="1" s="1"/>
  <c r="Q55" i="2"/>
  <c r="G54" i="1" s="1"/>
  <c r="Q49" i="2"/>
  <c r="G48" i="1" s="1"/>
  <c r="Q35" i="2"/>
  <c r="G34" i="1" s="1"/>
  <c r="Q24" i="2"/>
  <c r="G23" i="1" s="1"/>
  <c r="Q33" i="2"/>
  <c r="G32" i="1" s="1"/>
  <c r="Q52" i="2"/>
  <c r="G51" i="1" s="1"/>
  <c r="Q61" i="2"/>
  <c r="G60" i="1" s="1"/>
  <c r="Q26" i="2"/>
  <c r="G25" i="1" s="1"/>
  <c r="Q63" i="2"/>
  <c r="G62" i="1" s="1"/>
  <c r="Q27" i="2"/>
  <c r="G26" i="1" s="1"/>
  <c r="Q19" i="2"/>
  <c r="G18" i="1" s="1"/>
  <c r="Q25" i="2"/>
  <c r="G24" i="1" s="1"/>
  <c r="Q47" i="2"/>
  <c r="G46" i="1" s="1"/>
  <c r="Q21" i="2"/>
  <c r="G20" i="1" s="1"/>
  <c r="Q6" i="2"/>
  <c r="G5" i="1" s="1"/>
  <c r="AD43" i="1"/>
  <c r="AD45" i="1"/>
  <c r="AD8" i="1"/>
  <c r="AD58" i="1"/>
  <c r="AD15" i="1"/>
  <c r="AD16" i="1"/>
  <c r="AD4" i="1"/>
  <c r="AD63" i="1"/>
  <c r="AD37" i="1"/>
  <c r="AD35" i="1"/>
  <c r="AD42" i="1"/>
  <c r="AD47" i="1"/>
  <c r="AD40" i="1"/>
  <c r="AD59" i="1"/>
  <c r="AD31" i="1"/>
  <c r="AD29" i="1"/>
  <c r="AD17" i="1"/>
  <c r="AD21" i="1"/>
  <c r="AD3" i="1"/>
  <c r="AD64" i="1"/>
  <c r="AD19" i="1"/>
  <c r="AD22" i="1"/>
  <c r="AD52" i="1"/>
  <c r="AD56" i="1"/>
  <c r="AD13" i="1"/>
  <c r="AD39" i="1"/>
  <c r="AD27" i="1"/>
  <c r="AD28" i="1"/>
  <c r="AD10" i="1"/>
  <c r="AD33" i="1"/>
  <c r="AD41" i="1"/>
  <c r="AD57" i="1"/>
  <c r="AD55" i="1"/>
  <c r="AD36" i="1"/>
  <c r="AD12" i="1"/>
  <c r="AD11" i="1"/>
  <c r="AD53" i="1"/>
  <c r="AH53" i="1" s="1"/>
  <c r="AI53" i="1" s="1"/>
  <c r="AL53" i="1" s="1"/>
  <c r="AD50" i="1"/>
  <c r="AD7" i="1"/>
  <c r="AD30" i="1"/>
  <c r="AD44" i="1"/>
  <c r="AD9" i="1"/>
  <c r="AD49" i="1"/>
  <c r="AD38" i="1"/>
  <c r="AD61" i="1"/>
  <c r="AD6" i="1"/>
  <c r="AD14" i="1"/>
  <c r="AH14" i="1" s="1"/>
  <c r="AI14" i="1" s="1"/>
  <c r="AL14" i="1" s="1"/>
  <c r="AD54" i="1"/>
  <c r="AD48" i="1"/>
  <c r="AD34" i="1"/>
  <c r="AD23" i="1"/>
  <c r="AD32" i="1"/>
  <c r="AD51" i="1"/>
  <c r="AH51" i="1" s="1"/>
  <c r="AI51" i="1" s="1"/>
  <c r="AL51" i="1" s="1"/>
  <c r="AD60" i="1"/>
  <c r="AD25" i="1"/>
  <c r="AD62" i="1"/>
  <c r="AD26" i="1"/>
  <c r="AD18" i="1"/>
  <c r="AD24" i="1"/>
  <c r="AD46" i="1"/>
  <c r="AD20" i="1"/>
  <c r="AD5" i="1"/>
  <c r="R19" i="16"/>
  <c r="AZ18" i="1" s="1"/>
  <c r="R46" i="16"/>
  <c r="AZ45" i="1" s="1"/>
  <c r="R59" i="16"/>
  <c r="AZ58" i="1" s="1"/>
  <c r="R17" i="16"/>
  <c r="AZ16" i="1" s="1"/>
  <c r="R5" i="16"/>
  <c r="R38" i="16"/>
  <c r="AZ37" i="1" s="1"/>
  <c r="R48" i="16"/>
  <c r="AZ47" i="1" s="1"/>
  <c r="R60" i="16"/>
  <c r="R10" i="16"/>
  <c r="AZ9" i="1" s="1"/>
  <c r="R18" i="16"/>
  <c r="R22" i="16"/>
  <c r="R50" i="16"/>
  <c r="AZ49" i="1" s="1"/>
  <c r="R39" i="16"/>
  <c r="AZ38" i="1" s="1"/>
  <c r="R65" i="16"/>
  <c r="R62" i="16"/>
  <c r="R20" i="16"/>
  <c r="R23" i="16"/>
  <c r="AZ22" i="1" s="1"/>
  <c r="R103" i="16"/>
  <c r="R53" i="16"/>
  <c r="R7" i="16"/>
  <c r="AZ6" i="1" s="1"/>
  <c r="R57" i="16"/>
  <c r="R14" i="16"/>
  <c r="AZ13" i="1" s="1"/>
  <c r="R40" i="16"/>
  <c r="AZ39" i="1" s="1"/>
  <c r="R28" i="16"/>
  <c r="AZ27" i="1" s="1"/>
  <c r="R29" i="16"/>
  <c r="R11" i="16"/>
  <c r="R34" i="16"/>
  <c r="R42" i="16"/>
  <c r="AZ41" i="1" s="1"/>
  <c r="R58" i="16"/>
  <c r="R56" i="16"/>
  <c r="R37" i="16"/>
  <c r="R13" i="16"/>
  <c r="R12" i="16"/>
  <c r="R54" i="16"/>
  <c r="R51" i="16"/>
  <c r="AZ50" i="1" s="1"/>
  <c r="R8" i="16"/>
  <c r="R31" i="16"/>
  <c r="AZ30" i="1" s="1"/>
  <c r="R45" i="16"/>
  <c r="AZ44" i="1" s="1"/>
  <c r="R66" i="16"/>
  <c r="BC65" i="1" s="1"/>
  <c r="R44" i="16"/>
  <c r="AZ43" i="1" s="1"/>
  <c r="R9" i="16"/>
  <c r="R16" i="16"/>
  <c r="R64" i="16"/>
  <c r="AZ63" i="1" s="1"/>
  <c r="R36" i="16"/>
  <c r="R43" i="16"/>
  <c r="AZ42" i="1" s="1"/>
  <c r="R41" i="16"/>
  <c r="AZ40" i="1" s="1"/>
  <c r="R32" i="16"/>
  <c r="R30" i="16"/>
  <c r="R102" i="16"/>
  <c r="R4" i="16"/>
  <c r="AZ3" i="1" s="1"/>
  <c r="R15" i="16"/>
  <c r="R55" i="16"/>
  <c r="AZ54" i="1" s="1"/>
  <c r="R49" i="16"/>
  <c r="AZ48" i="1" s="1"/>
  <c r="R35" i="16"/>
  <c r="AZ34" i="1" s="1"/>
  <c r="R24" i="16"/>
  <c r="AZ23" i="1" s="1"/>
  <c r="R33" i="16"/>
  <c r="R52" i="16"/>
  <c r="AZ51" i="1" s="1"/>
  <c r="R61" i="16"/>
  <c r="AZ60" i="1" s="1"/>
  <c r="R26" i="16"/>
  <c r="R63" i="16"/>
  <c r="R27" i="16"/>
  <c r="R25" i="16"/>
  <c r="R47" i="16"/>
  <c r="R21" i="16"/>
  <c r="R6" i="16"/>
  <c r="BO29" i="1"/>
  <c r="BO35" i="1"/>
  <c r="BO60" i="1"/>
  <c r="BO30" i="1"/>
  <c r="X19" i="3"/>
  <c r="AF18" i="1" s="1"/>
  <c r="X46" i="3"/>
  <c r="AF45" i="1" s="1"/>
  <c r="X17" i="3"/>
  <c r="AF16" i="1" s="1"/>
  <c r="X66" i="3"/>
  <c r="X64" i="3"/>
  <c r="AF63" i="1" s="1"/>
  <c r="X54" i="3"/>
  <c r="AF53" i="1" s="1"/>
  <c r="X10" i="3"/>
  <c r="AF9" i="1" s="1"/>
  <c r="X15" i="3"/>
  <c r="AF14" i="1" s="1"/>
  <c r="X49" i="3"/>
  <c r="AF48" i="1" s="1"/>
  <c r="X35" i="3"/>
  <c r="AF34" i="1" s="1"/>
  <c r="X24" i="3"/>
  <c r="AF23" i="1" s="1"/>
  <c r="X52" i="3"/>
  <c r="AF51" i="1" s="1"/>
  <c r="X20" i="3"/>
  <c r="AF19" i="1" s="1"/>
  <c r="X23" i="3"/>
  <c r="AF22" i="1" s="1"/>
  <c r="X7" i="3"/>
  <c r="AF6" i="1" s="1"/>
  <c r="X47" i="3"/>
  <c r="AF46" i="1" s="1"/>
  <c r="X14" i="3"/>
  <c r="AF13" i="1" s="1"/>
  <c r="X28" i="3"/>
  <c r="AF27" i="1" s="1"/>
  <c r="X11" i="3"/>
  <c r="AF10" i="1" s="1"/>
  <c r="X36" i="3"/>
  <c r="AF35" i="1" s="1"/>
  <c r="X31" i="3"/>
  <c r="AF30" i="1" s="1"/>
  <c r="X48" i="3"/>
  <c r="AF47" i="1" s="1"/>
  <c r="X51" i="3"/>
  <c r="AF50" i="1" s="1"/>
  <c r="X34" i="3"/>
  <c r="AF33" i="1" s="1"/>
  <c r="X22" i="3"/>
  <c r="AF21" i="1" s="1"/>
  <c r="X13" i="3"/>
  <c r="AF12" i="1" s="1"/>
  <c r="X55" i="3"/>
  <c r="AF54" i="1" s="1"/>
  <c r="X37" i="3"/>
  <c r="AF36" i="1" s="1"/>
  <c r="X25" i="3"/>
  <c r="AF24" i="1" s="1"/>
  <c r="X16" i="3"/>
  <c r="AF15" i="1" s="1"/>
  <c r="X59" i="3"/>
  <c r="AF58" i="1" s="1"/>
  <c r="X32" i="3"/>
  <c r="AF31" i="1" s="1"/>
  <c r="X43" i="3"/>
  <c r="AF42" i="1" s="1"/>
  <c r="X45" i="3"/>
  <c r="AF44" i="1" s="1"/>
  <c r="X30" i="3"/>
  <c r="AF29" i="1" s="1"/>
  <c r="X58" i="3"/>
  <c r="AF57" i="1" s="1"/>
  <c r="X9" i="3"/>
  <c r="AF8" i="1" s="1"/>
  <c r="X50" i="3"/>
  <c r="AF49" i="1" s="1"/>
  <c r="X33" i="3"/>
  <c r="AF32" i="1" s="1"/>
  <c r="X21" i="3"/>
  <c r="AF20" i="1" s="1"/>
  <c r="X12" i="3"/>
  <c r="AF11" i="1" s="1"/>
  <c r="X40" i="3"/>
  <c r="AF39" i="1" s="1"/>
  <c r="X53" i="3"/>
  <c r="AF52" i="1" s="1"/>
  <c r="X39" i="3"/>
  <c r="AF38" i="1" s="1"/>
  <c r="X42" i="3"/>
  <c r="AF41" i="1" s="1"/>
  <c r="X57" i="3"/>
  <c r="AF56" i="1" s="1"/>
  <c r="X63" i="3"/>
  <c r="AF62" i="1" s="1"/>
  <c r="X6" i="3"/>
  <c r="AF5" i="1" s="1"/>
  <c r="X4" i="3"/>
  <c r="AF3" i="1" s="1"/>
  <c r="X29" i="3"/>
  <c r="AF28" i="1" s="1"/>
  <c r="X65" i="3"/>
  <c r="AF64" i="1" s="1"/>
  <c r="X8" i="3"/>
  <c r="AF7" i="1" s="1"/>
  <c r="X44" i="3"/>
  <c r="AF43" i="1" s="1"/>
  <c r="X62" i="3"/>
  <c r="AF61" i="1" s="1"/>
  <c r="X102" i="3"/>
  <c r="X103" i="3"/>
  <c r="X38" i="3"/>
  <c r="AF37" i="1" s="1"/>
  <c r="X26" i="3"/>
  <c r="AF25" i="1" s="1"/>
  <c r="X60" i="3"/>
  <c r="AF59" i="1" s="1"/>
  <c r="X61" i="3"/>
  <c r="AF60" i="1" s="1"/>
  <c r="X41" i="3"/>
  <c r="AF40" i="1" s="1"/>
  <c r="X27" i="3"/>
  <c r="AF26" i="1" s="1"/>
  <c r="X18" i="3"/>
  <c r="AF17" i="1" s="1"/>
  <c r="X56" i="3"/>
  <c r="AF55" i="1" s="1"/>
  <c r="X5" i="3"/>
  <c r="AF4" i="1" s="1"/>
  <c r="AK10" i="1"/>
  <c r="X66" i="6"/>
  <c r="X20" i="6"/>
  <c r="BN19" i="1" s="1"/>
  <c r="X44" i="6"/>
  <c r="BN43" i="1" s="1"/>
  <c r="X31" i="6"/>
  <c r="BN30" i="1" s="1"/>
  <c r="X103" i="6"/>
  <c r="X26" i="6"/>
  <c r="BN25" i="1" s="1"/>
  <c r="X61" i="6"/>
  <c r="BN60" i="1" s="1"/>
  <c r="X27" i="6"/>
  <c r="BN26" i="1" s="1"/>
  <c r="X5" i="6"/>
  <c r="BN4" i="1" s="1"/>
  <c r="X59" i="6"/>
  <c r="BN58" i="1" s="1"/>
  <c r="X43" i="6"/>
  <c r="BN42" i="1" s="1"/>
  <c r="X19" i="6"/>
  <c r="BN18" i="1" s="1"/>
  <c r="X34" i="6"/>
  <c r="BN33" i="1" s="1"/>
  <c r="X13" i="6"/>
  <c r="BN12" i="1" s="1"/>
  <c r="X37" i="6"/>
  <c r="BN36" i="1" s="1"/>
  <c r="X16" i="6"/>
  <c r="BN15" i="1" s="1"/>
  <c r="X49" i="6"/>
  <c r="BN48" i="1" s="1"/>
  <c r="X52" i="6"/>
  <c r="BN51" i="1" s="1"/>
  <c r="X7" i="6"/>
  <c r="BN6" i="1" s="1"/>
  <c r="X39" i="6"/>
  <c r="BN38" i="1" s="1"/>
  <c r="X64" i="6"/>
  <c r="BN63" i="1" s="1"/>
  <c r="X17" i="6"/>
  <c r="BN16" i="1" s="1"/>
  <c r="X45" i="6"/>
  <c r="BN44" i="1" s="1"/>
  <c r="X30" i="6"/>
  <c r="BN29" i="1" s="1"/>
  <c r="X58" i="6"/>
  <c r="BN57" i="1" s="1"/>
  <c r="X9" i="6"/>
  <c r="BN8" i="1" s="1"/>
  <c r="X50" i="6"/>
  <c r="BN49" i="1" s="1"/>
  <c r="X33" i="6"/>
  <c r="BN32" i="1" s="1"/>
  <c r="X21" i="6"/>
  <c r="BN20" i="1" s="1"/>
  <c r="X12" i="6"/>
  <c r="BN11" i="1" s="1"/>
  <c r="X32" i="6"/>
  <c r="BN31" i="1" s="1"/>
  <c r="X36" i="6"/>
  <c r="BN35" i="1" s="1"/>
  <c r="X24" i="6"/>
  <c r="BN23" i="1" s="1"/>
  <c r="X53" i="6"/>
  <c r="BN52" i="1" s="1"/>
  <c r="X48" i="6"/>
  <c r="BN47" i="1" s="1"/>
  <c r="X46" i="6"/>
  <c r="BN45" i="1" s="1"/>
  <c r="X38" i="6"/>
  <c r="BN37" i="1" s="1"/>
  <c r="X60" i="6"/>
  <c r="BN59" i="1" s="1"/>
  <c r="X41" i="6"/>
  <c r="BN40" i="1" s="1"/>
  <c r="X18" i="6"/>
  <c r="BN17" i="1" s="1"/>
  <c r="X11" i="6"/>
  <c r="BN10" i="1" s="1"/>
  <c r="X15" i="6"/>
  <c r="BN14" i="1" s="1"/>
  <c r="X54" i="6"/>
  <c r="BN53" i="1" s="1"/>
  <c r="X28" i="6"/>
  <c r="BN27" i="1" s="1"/>
  <c r="X51" i="6"/>
  <c r="BN50" i="1" s="1"/>
  <c r="X22" i="6"/>
  <c r="BN21" i="1" s="1"/>
  <c r="X55" i="6"/>
  <c r="BN54" i="1" s="1"/>
  <c r="X25" i="6"/>
  <c r="BN24" i="1" s="1"/>
  <c r="X40" i="6"/>
  <c r="BN39" i="1" s="1"/>
  <c r="X102" i="6"/>
  <c r="X35" i="6"/>
  <c r="BN34" i="1" s="1"/>
  <c r="X23" i="6"/>
  <c r="BN22" i="1" s="1"/>
  <c r="X14" i="6"/>
  <c r="BN13" i="1" s="1"/>
  <c r="X42" i="6"/>
  <c r="BN41" i="1" s="1"/>
  <c r="X57" i="6"/>
  <c r="BN56" i="1" s="1"/>
  <c r="X63" i="6"/>
  <c r="BN62" i="1" s="1"/>
  <c r="X6" i="6"/>
  <c r="BN5" i="1" s="1"/>
  <c r="X29" i="6"/>
  <c r="BN28" i="1" s="1"/>
  <c r="X65" i="6"/>
  <c r="BN64" i="1" s="1"/>
  <c r="X8" i="6"/>
  <c r="BN7" i="1" s="1"/>
  <c r="X56" i="6"/>
  <c r="BN55" i="1" s="1"/>
  <c r="X47" i="6"/>
  <c r="BN46" i="1" s="1"/>
  <c r="X10" i="6"/>
  <c r="BN9" i="1" s="1"/>
  <c r="X62" i="6"/>
  <c r="BN61" i="1" s="1"/>
  <c r="G3" i="1" l="1"/>
  <c r="O3" i="1"/>
  <c r="AZ31" i="1"/>
  <c r="BC31" i="1" s="1"/>
  <c r="AZ12" i="1"/>
  <c r="BC12" i="1" s="1"/>
  <c r="AZ19" i="1"/>
  <c r="BC19" i="1" s="1"/>
  <c r="AZ59" i="1"/>
  <c r="BC59" i="1" s="1"/>
  <c r="AZ20" i="1"/>
  <c r="BC20" i="1" s="1"/>
  <c r="AZ62" i="1"/>
  <c r="BC62" i="1" s="1"/>
  <c r="AZ15" i="1"/>
  <c r="BC15" i="1" s="1"/>
  <c r="AZ53" i="1"/>
  <c r="BC53" i="1" s="1"/>
  <c r="AZ36" i="1"/>
  <c r="BC36" i="1" s="1"/>
  <c r="AZ33" i="1"/>
  <c r="BC33" i="1" s="1"/>
  <c r="AZ52" i="1"/>
  <c r="BC52" i="1" s="1"/>
  <c r="AZ61" i="1"/>
  <c r="BC61" i="1" s="1"/>
  <c r="AZ21" i="1"/>
  <c r="BC21" i="1" s="1"/>
  <c r="AZ5" i="1"/>
  <c r="BC5" i="1" s="1"/>
  <c r="AZ26" i="1"/>
  <c r="BC26" i="1" s="1"/>
  <c r="AZ46" i="1"/>
  <c r="BC46" i="1" s="1"/>
  <c r="AZ25" i="1"/>
  <c r="BC25" i="1" s="1"/>
  <c r="AZ32" i="1"/>
  <c r="BC32" i="1" s="1"/>
  <c r="AZ8" i="1"/>
  <c r="BC8" i="1" s="1"/>
  <c r="AZ55" i="1"/>
  <c r="BC55" i="1" s="1"/>
  <c r="AZ10" i="1"/>
  <c r="BC10" i="1" s="1"/>
  <c r="AZ64" i="1"/>
  <c r="BC64" i="1" s="1"/>
  <c r="AZ17" i="1"/>
  <c r="BC17" i="1" s="1"/>
  <c r="AZ24" i="1"/>
  <c r="BC24" i="1" s="1"/>
  <c r="AZ14" i="1"/>
  <c r="BC14" i="1" s="1"/>
  <c r="AZ29" i="1"/>
  <c r="BC29" i="1" s="1"/>
  <c r="AZ35" i="1"/>
  <c r="BC35" i="1" s="1"/>
  <c r="AZ7" i="1"/>
  <c r="BC7" i="1" s="1"/>
  <c r="AZ11" i="1"/>
  <c r="BC11" i="1" s="1"/>
  <c r="AZ57" i="1"/>
  <c r="BC57" i="1" s="1"/>
  <c r="AZ28" i="1"/>
  <c r="BC28" i="1" s="1"/>
  <c r="AZ56" i="1"/>
  <c r="BC56" i="1" s="1"/>
  <c r="AZ4" i="1"/>
  <c r="BC4" i="1" s="1"/>
  <c r="AJ17" i="1"/>
  <c r="AJ59" i="1"/>
  <c r="AJ101" i="1"/>
  <c r="AJ62" i="1"/>
  <c r="AJ52" i="1"/>
  <c r="AJ32" i="1"/>
  <c r="AJ29" i="1"/>
  <c r="AJ58" i="1"/>
  <c r="AJ54" i="1"/>
  <c r="AJ50" i="1"/>
  <c r="AJ35" i="1"/>
  <c r="AJ23" i="1"/>
  <c r="AJ4" i="1"/>
  <c r="AJ37" i="1"/>
  <c r="AJ3" i="1"/>
  <c r="AJ11" i="1"/>
  <c r="AJ55" i="1"/>
  <c r="AJ60" i="1"/>
  <c r="AJ102" i="1"/>
  <c r="AJ7" i="1"/>
  <c r="AJ5" i="1"/>
  <c r="AJ38" i="1"/>
  <c r="AJ20" i="1"/>
  <c r="AJ57" i="1"/>
  <c r="AJ31" i="1"/>
  <c r="AJ36" i="1"/>
  <c r="AJ33" i="1"/>
  <c r="AJ30" i="1"/>
  <c r="AJ64" i="1"/>
  <c r="AJ63" i="1"/>
  <c r="AJ26" i="1"/>
  <c r="AJ25" i="1"/>
  <c r="AJ61" i="1"/>
  <c r="AJ28" i="1"/>
  <c r="AJ56" i="1"/>
  <c r="AJ39" i="1"/>
  <c r="AJ49" i="1"/>
  <c r="AJ44" i="1"/>
  <c r="AJ15" i="1"/>
  <c r="AJ12" i="1"/>
  <c r="AJ47" i="1"/>
  <c r="AJ10" i="1"/>
  <c r="AJ18" i="1"/>
  <c r="AJ40" i="1"/>
  <c r="AJ43" i="1"/>
  <c r="AJ41" i="1"/>
  <c r="AJ8" i="1"/>
  <c r="AJ42" i="1"/>
  <c r="AJ24" i="1"/>
  <c r="AJ21" i="1"/>
  <c r="AJ27" i="1"/>
  <c r="BO55" i="1"/>
  <c r="BQ55" i="1"/>
  <c r="BO41" i="1"/>
  <c r="BQ41" i="1"/>
  <c r="BO21" i="1"/>
  <c r="BQ21" i="1"/>
  <c r="BO14" i="1"/>
  <c r="BQ14" i="1"/>
  <c r="BO52" i="1"/>
  <c r="BQ52" i="1"/>
  <c r="BO16" i="1"/>
  <c r="BQ16" i="1"/>
  <c r="BO51" i="1"/>
  <c r="BQ51" i="1"/>
  <c r="BO61" i="1"/>
  <c r="BQ61" i="1"/>
  <c r="BO7" i="1"/>
  <c r="BQ7" i="1"/>
  <c r="BO13" i="1"/>
  <c r="BQ13" i="1"/>
  <c r="BO50" i="1"/>
  <c r="BQ50" i="1"/>
  <c r="BO37" i="1"/>
  <c r="BQ37" i="1"/>
  <c r="BO20" i="1"/>
  <c r="BQ20" i="1"/>
  <c r="BO57" i="1"/>
  <c r="BQ57" i="1"/>
  <c r="BO48" i="1"/>
  <c r="BQ48" i="1"/>
  <c r="BO33" i="1"/>
  <c r="BQ33" i="1"/>
  <c r="BO4" i="1"/>
  <c r="BQ4" i="1"/>
  <c r="BO102" i="1"/>
  <c r="BQ102" i="1"/>
  <c r="BO65" i="1"/>
  <c r="BQ65" i="1"/>
  <c r="BO3" i="1"/>
  <c r="BO12" i="1"/>
  <c r="BO9" i="1"/>
  <c r="BQ9" i="1"/>
  <c r="BO64" i="1"/>
  <c r="BQ64" i="1"/>
  <c r="BO62" i="1"/>
  <c r="BQ62" i="1"/>
  <c r="BO22" i="1"/>
  <c r="BQ22" i="1"/>
  <c r="BO24" i="1"/>
  <c r="BQ24" i="1"/>
  <c r="BO27" i="1"/>
  <c r="BQ27" i="1"/>
  <c r="BO17" i="1"/>
  <c r="BQ17" i="1"/>
  <c r="BO45" i="1"/>
  <c r="BQ45" i="1"/>
  <c r="BO32" i="1"/>
  <c r="BQ32" i="1"/>
  <c r="BO15" i="1"/>
  <c r="BQ15" i="1"/>
  <c r="BO18" i="1"/>
  <c r="BQ18" i="1"/>
  <c r="BO26" i="1"/>
  <c r="BQ26" i="1"/>
  <c r="BO38" i="1"/>
  <c r="BO47" i="1"/>
  <c r="BO101" i="1"/>
  <c r="BO11" i="1"/>
  <c r="BO58" i="1"/>
  <c r="BQ58" i="1"/>
  <c r="BO25" i="1"/>
  <c r="BQ25" i="1"/>
  <c r="BO5" i="1"/>
  <c r="BQ5" i="1"/>
  <c r="BO39" i="1"/>
  <c r="BQ39" i="1"/>
  <c r="BO10" i="1"/>
  <c r="BQ10" i="1"/>
  <c r="BO23" i="1"/>
  <c r="BQ23" i="1"/>
  <c r="BO63" i="1"/>
  <c r="BQ63" i="1"/>
  <c r="BO46" i="1"/>
  <c r="BQ46" i="1"/>
  <c r="BO28" i="1"/>
  <c r="BQ28" i="1"/>
  <c r="BO56" i="1"/>
  <c r="BQ56" i="1"/>
  <c r="BO34" i="1"/>
  <c r="BQ34" i="1"/>
  <c r="BO53" i="1"/>
  <c r="BQ53" i="1"/>
  <c r="BO40" i="1"/>
  <c r="BQ40" i="1"/>
  <c r="BO31" i="1"/>
  <c r="BQ31" i="1"/>
  <c r="BO49" i="1"/>
  <c r="BQ49" i="1"/>
  <c r="BO44" i="1"/>
  <c r="BQ44" i="1"/>
  <c r="BO6" i="1"/>
  <c r="BQ6" i="1"/>
  <c r="BO36" i="1"/>
  <c r="BQ36" i="1"/>
  <c r="BO42" i="1"/>
  <c r="BQ42" i="1"/>
  <c r="BO43" i="1"/>
  <c r="BQ43" i="1"/>
  <c r="BO54" i="1"/>
  <c r="BO19" i="1"/>
  <c r="BO8" i="1"/>
  <c r="BO59" i="1"/>
  <c r="AJ46" i="1"/>
  <c r="AJ22" i="1"/>
  <c r="AJ51" i="1"/>
  <c r="AJ34" i="1"/>
  <c r="AJ14" i="1"/>
  <c r="AJ53" i="1"/>
  <c r="AJ65" i="1"/>
  <c r="AJ45" i="1"/>
  <c r="AJ13" i="1"/>
  <c r="AJ6" i="1"/>
  <c r="AJ19" i="1"/>
  <c r="AJ48" i="1"/>
  <c r="AJ9" i="1"/>
  <c r="AJ16" i="1"/>
  <c r="R54" i="2"/>
  <c r="I53" i="1" s="1"/>
  <c r="Q53" i="1" s="1"/>
  <c r="J53" i="1"/>
  <c r="AH23" i="1"/>
  <c r="AI23" i="1" s="1"/>
  <c r="AH63" i="1"/>
  <c r="AI63" i="1" s="1"/>
  <c r="AL63" i="1" s="1"/>
  <c r="AH9" i="1"/>
  <c r="AI9" i="1" s="1"/>
  <c r="AL9" i="1" s="1"/>
  <c r="AH13" i="1"/>
  <c r="AI13" i="1" s="1"/>
  <c r="AL13" i="1" s="1"/>
  <c r="AH48" i="1"/>
  <c r="AI48" i="1" s="1"/>
  <c r="AL48" i="1" s="1"/>
  <c r="AH10" i="1"/>
  <c r="AI10" i="1" s="1"/>
  <c r="AL10" i="1" s="1"/>
  <c r="AH55" i="1"/>
  <c r="AI55" i="1" s="1"/>
  <c r="AL55" i="1" s="1"/>
  <c r="AH26" i="1"/>
  <c r="AI26" i="1" s="1"/>
  <c r="AL26" i="1" s="1"/>
  <c r="AH60" i="1"/>
  <c r="AI60" i="1" s="1"/>
  <c r="AL60" i="1" s="1"/>
  <c r="AH25" i="1"/>
  <c r="AI25" i="1" s="1"/>
  <c r="AL25" i="1" s="1"/>
  <c r="AH102" i="1"/>
  <c r="AI102" i="1" s="1"/>
  <c r="AL102" i="1" s="1"/>
  <c r="AH61" i="1"/>
  <c r="AI61" i="1" s="1"/>
  <c r="AL61" i="1" s="1"/>
  <c r="AH7" i="1"/>
  <c r="AI7" i="1" s="1"/>
  <c r="AL7" i="1" s="1"/>
  <c r="AH28" i="1"/>
  <c r="AI28" i="1" s="1"/>
  <c r="AL28" i="1" s="1"/>
  <c r="AH5" i="1"/>
  <c r="AI5" i="1" s="1"/>
  <c r="AL5" i="1" s="1"/>
  <c r="AH56" i="1"/>
  <c r="AI56" i="1" s="1"/>
  <c r="AL56" i="1" s="1"/>
  <c r="AH38" i="1"/>
  <c r="AI38" i="1" s="1"/>
  <c r="AL38" i="1" s="1"/>
  <c r="AH39" i="1"/>
  <c r="AI39" i="1" s="1"/>
  <c r="AL39" i="1" s="1"/>
  <c r="AH20" i="1"/>
  <c r="AI20" i="1" s="1"/>
  <c r="AH49" i="1"/>
  <c r="AI49" i="1" s="1"/>
  <c r="AL49" i="1" s="1"/>
  <c r="AH57" i="1"/>
  <c r="AI57" i="1" s="1"/>
  <c r="AL57" i="1" s="1"/>
  <c r="AH44" i="1"/>
  <c r="AI44" i="1" s="1"/>
  <c r="AL44" i="1" s="1"/>
  <c r="AH31" i="1"/>
  <c r="AI31" i="1" s="1"/>
  <c r="AL31" i="1" s="1"/>
  <c r="AH15" i="1"/>
  <c r="AI15" i="1" s="1"/>
  <c r="AH36" i="1"/>
  <c r="AI36" i="1" s="1"/>
  <c r="AL36" i="1" s="1"/>
  <c r="AH12" i="1"/>
  <c r="AI12" i="1" s="1"/>
  <c r="AL12" i="1" s="1"/>
  <c r="AH33" i="1"/>
  <c r="AI33" i="1" s="1"/>
  <c r="AL33" i="1" s="1"/>
  <c r="AH47" i="1"/>
  <c r="AI47" i="1" s="1"/>
  <c r="AL47" i="1" s="1"/>
  <c r="AH27" i="1"/>
  <c r="AI27" i="1" s="1"/>
  <c r="AH30" i="1"/>
  <c r="AI30" i="1" s="1"/>
  <c r="AL30" i="1" s="1"/>
  <c r="AH4" i="1"/>
  <c r="AI4" i="1" s="1"/>
  <c r="AL4" i="1" s="1"/>
  <c r="AH17" i="1"/>
  <c r="AI17" i="1" s="1"/>
  <c r="AL17" i="1" s="1"/>
  <c r="AH40" i="1"/>
  <c r="AI40" i="1" s="1"/>
  <c r="AL40" i="1" s="1"/>
  <c r="AH59" i="1"/>
  <c r="AI59" i="1" s="1"/>
  <c r="AH37" i="1"/>
  <c r="AI37" i="1" s="1"/>
  <c r="AL37" i="1" s="1"/>
  <c r="AH101" i="1"/>
  <c r="AI101" i="1" s="1"/>
  <c r="AL101" i="1" s="1"/>
  <c r="AH43" i="1"/>
  <c r="AI43" i="1" s="1"/>
  <c r="AL43" i="1" s="1"/>
  <c r="AH64" i="1"/>
  <c r="AI64" i="1" s="1"/>
  <c r="AL64" i="1" s="1"/>
  <c r="AH3" i="1"/>
  <c r="AI3" i="1" s="1"/>
  <c r="AL3" i="1" s="1"/>
  <c r="AH62" i="1"/>
  <c r="AI62" i="1" s="1"/>
  <c r="AL62" i="1" s="1"/>
  <c r="AH41" i="1"/>
  <c r="AI41" i="1" s="1"/>
  <c r="AL41" i="1" s="1"/>
  <c r="AH52" i="1"/>
  <c r="AI52" i="1" s="1"/>
  <c r="AL52" i="1" s="1"/>
  <c r="AH11" i="1"/>
  <c r="AI11" i="1" s="1"/>
  <c r="AL11" i="1" s="1"/>
  <c r="AH32" i="1"/>
  <c r="AI32" i="1" s="1"/>
  <c r="AL32" i="1" s="1"/>
  <c r="AH8" i="1"/>
  <c r="AI8" i="1" s="1"/>
  <c r="AL8" i="1" s="1"/>
  <c r="AH29" i="1"/>
  <c r="AI29" i="1" s="1"/>
  <c r="AL29" i="1" s="1"/>
  <c r="AH42" i="1"/>
  <c r="AI42" i="1" s="1"/>
  <c r="AL42" i="1" s="1"/>
  <c r="AH58" i="1"/>
  <c r="AI58" i="1" s="1"/>
  <c r="AH24" i="1"/>
  <c r="AI24" i="1" s="1"/>
  <c r="AL24" i="1" s="1"/>
  <c r="AH54" i="1"/>
  <c r="AI54" i="1" s="1"/>
  <c r="AL54" i="1" s="1"/>
  <c r="AH21" i="1"/>
  <c r="AI21" i="1" s="1"/>
  <c r="AL21" i="1" s="1"/>
  <c r="AH50" i="1"/>
  <c r="AI50" i="1" s="1"/>
  <c r="AL50" i="1" s="1"/>
  <c r="R6" i="2"/>
  <c r="I5" i="1" s="1"/>
  <c r="Q5" i="1" s="1"/>
  <c r="AH35" i="1"/>
  <c r="AI35" i="1" s="1"/>
  <c r="R9" i="2"/>
  <c r="I8" i="1" s="1"/>
  <c r="Q8" i="1" s="1"/>
  <c r="BQ35" i="1"/>
  <c r="BQ29" i="1"/>
  <c r="BQ38" i="1"/>
  <c r="BQ30" i="1"/>
  <c r="BQ54" i="1"/>
  <c r="BQ47" i="1"/>
  <c r="BQ60" i="1"/>
  <c r="BQ101" i="1"/>
  <c r="BQ59" i="1"/>
  <c r="BQ11" i="1"/>
  <c r="BQ8" i="1"/>
  <c r="BQ12" i="1"/>
  <c r="BQ19" i="1"/>
  <c r="BA38" i="1"/>
  <c r="BA37" i="1"/>
  <c r="BA45" i="1"/>
  <c r="BA22" i="1"/>
  <c r="BA41" i="1"/>
  <c r="BA3" i="1"/>
  <c r="BA43" i="1"/>
  <c r="BA51" i="1"/>
  <c r="BA23" i="1"/>
  <c r="BA27" i="1"/>
  <c r="BA34" i="1"/>
  <c r="BA39" i="1"/>
  <c r="BA9" i="1"/>
  <c r="BA18" i="1"/>
  <c r="BA16" i="1"/>
  <c r="BA50" i="1"/>
  <c r="BA30" i="1"/>
  <c r="AH65" i="1"/>
  <c r="AI65" i="1" s="1"/>
  <c r="AH45" i="1"/>
  <c r="AI45" i="1" s="1"/>
  <c r="AH22" i="1"/>
  <c r="AI22" i="1" s="1"/>
  <c r="AH46" i="1"/>
  <c r="AI46" i="1" s="1"/>
  <c r="AH16" i="1"/>
  <c r="AI16" i="1" s="1"/>
  <c r="AH34" i="1"/>
  <c r="AI34" i="1" s="1"/>
  <c r="AH6" i="1"/>
  <c r="AI6" i="1" s="1"/>
  <c r="AH19" i="1"/>
  <c r="AI19" i="1" s="1"/>
  <c r="AH18" i="1"/>
  <c r="AI18" i="1" s="1"/>
  <c r="BA63" i="1"/>
  <c r="BA58" i="1"/>
  <c r="BA44" i="1"/>
  <c r="BA60" i="1"/>
  <c r="BA13" i="1"/>
  <c r="BA49" i="1"/>
  <c r="BA102" i="1"/>
  <c r="BA40" i="1"/>
  <c r="BA47" i="1"/>
  <c r="BA54" i="1"/>
  <c r="BA101" i="1"/>
  <c r="BA42" i="1"/>
  <c r="BA6" i="1"/>
  <c r="BA48" i="1"/>
  <c r="R5" i="2"/>
  <c r="I4" i="1" s="1"/>
  <c r="Q4" i="1" s="1"/>
  <c r="P3" i="1" l="1"/>
  <c r="K53" i="1"/>
  <c r="R53" i="1" s="1"/>
  <c r="J5" i="1"/>
  <c r="J4" i="1"/>
  <c r="BC16" i="1"/>
  <c r="BC30" i="1"/>
  <c r="BC48" i="1"/>
  <c r="BC23" i="1"/>
  <c r="BC13" i="1"/>
  <c r="BC63" i="1"/>
  <c r="BC38" i="1"/>
  <c r="BC39" i="1"/>
  <c r="BC27" i="1"/>
  <c r="BC18" i="1"/>
  <c r="BC50" i="1"/>
  <c r="BC43" i="1"/>
  <c r="BC101" i="1"/>
  <c r="BC6" i="1"/>
  <c r="BC45" i="1"/>
  <c r="BC9" i="1"/>
  <c r="BC51" i="1"/>
  <c r="BC3" i="1"/>
  <c r="BC54" i="1"/>
  <c r="BC102" i="1"/>
  <c r="BC58" i="1"/>
  <c r="BC41" i="1"/>
  <c r="BC37" i="1"/>
  <c r="BC22" i="1"/>
  <c r="BC34" i="1"/>
  <c r="BC42" i="1"/>
  <c r="BC49" i="1"/>
  <c r="BC47" i="1"/>
  <c r="BC60" i="1"/>
  <c r="BC44" i="1"/>
  <c r="BC40" i="1"/>
  <c r="AL59" i="1"/>
  <c r="AL16" i="1"/>
  <c r="AL19" i="1"/>
  <c r="AL35" i="1"/>
  <c r="AL23" i="1"/>
  <c r="AL6" i="1"/>
  <c r="AL46" i="1"/>
  <c r="AL65" i="1"/>
  <c r="AL20" i="1"/>
  <c r="AL58" i="1"/>
  <c r="AL27" i="1"/>
  <c r="AL22" i="1"/>
  <c r="AL15" i="1"/>
  <c r="AL18" i="1"/>
  <c r="AL34" i="1"/>
  <c r="AL45" i="1"/>
  <c r="J8" i="1"/>
  <c r="R7" i="2"/>
  <c r="I6" i="1" s="1"/>
  <c r="Q6" i="1" s="1"/>
  <c r="K4" i="1" l="1"/>
  <c r="R4" i="1" s="1"/>
  <c r="K5" i="1"/>
  <c r="R5" i="1" s="1"/>
  <c r="J6" i="1"/>
  <c r="K8" i="1"/>
  <c r="R8" i="1" s="1"/>
  <c r="R11" i="2"/>
  <c r="I10" i="1" s="1"/>
  <c r="Q10" i="1" s="1"/>
  <c r="R8" i="2"/>
  <c r="I7" i="1" s="1"/>
  <c r="Q7" i="1" s="1"/>
  <c r="R13" i="2"/>
  <c r="I12" i="1" s="1"/>
  <c r="K6" i="1" l="1"/>
  <c r="R6" i="1" s="1"/>
  <c r="AR53" i="1"/>
  <c r="AS53" i="1" s="1"/>
  <c r="AV53" i="1" s="1"/>
  <c r="D53" i="1" s="1"/>
  <c r="AR5" i="1"/>
  <c r="AS5" i="1" s="1"/>
  <c r="AV5" i="1" s="1"/>
  <c r="D5" i="1" s="1"/>
  <c r="J10" i="1"/>
  <c r="J7" i="1"/>
  <c r="R10" i="2"/>
  <c r="I9" i="1" s="1"/>
  <c r="Q9" i="1" s="1"/>
  <c r="J12" i="1"/>
  <c r="K10" i="1" l="1"/>
  <c r="R10" i="1" s="1"/>
  <c r="K7" i="1"/>
  <c r="R7" i="1" s="1"/>
  <c r="AR4" i="1"/>
  <c r="AS4" i="1" s="1"/>
  <c r="AV4" i="1" s="1"/>
  <c r="D4" i="1" s="1"/>
  <c r="AR6" i="1"/>
  <c r="AS6" i="1" s="1"/>
  <c r="AV6" i="1" s="1"/>
  <c r="D6" i="1" s="1"/>
  <c r="J9" i="1"/>
  <c r="K12" i="1"/>
  <c r="R15" i="2"/>
  <c r="I14" i="1" s="1"/>
  <c r="Q14" i="1" s="1"/>
  <c r="R12" i="2"/>
  <c r="I11" i="1" s="1"/>
  <c r="Q11" i="1" s="1"/>
  <c r="R14" i="2"/>
  <c r="I13" i="1" s="1"/>
  <c r="K9" i="1" l="1"/>
  <c r="R9" i="1" s="1"/>
  <c r="AR10" i="1"/>
  <c r="AS10" i="1" s="1"/>
  <c r="AV10" i="1" s="1"/>
  <c r="D10" i="1" s="1"/>
  <c r="AR8" i="1"/>
  <c r="AS8" i="1" s="1"/>
  <c r="AV8" i="1" s="1"/>
  <c r="D8" i="1" s="1"/>
  <c r="J11" i="1"/>
  <c r="J14" i="1"/>
  <c r="R60" i="2"/>
  <c r="I59" i="1" s="1"/>
  <c r="Q59" i="1" s="1"/>
  <c r="K14" i="1" l="1"/>
  <c r="R14" i="1" s="1"/>
  <c r="K11" i="1"/>
  <c r="R11" i="1" s="1"/>
  <c r="AR7" i="1"/>
  <c r="AS7" i="1" s="1"/>
  <c r="AV7" i="1" s="1"/>
  <c r="D7" i="1" s="1"/>
  <c r="J59" i="1"/>
  <c r="J13" i="1"/>
  <c r="R62" i="2"/>
  <c r="I61" i="1" s="1"/>
  <c r="Q61" i="1" s="1"/>
  <c r="R16" i="2"/>
  <c r="I15" i="1" s="1"/>
  <c r="Q15" i="1" s="1"/>
  <c r="K59" i="1" l="1"/>
  <c r="R59" i="1" s="1"/>
  <c r="AR9" i="1"/>
  <c r="AS9" i="1" s="1"/>
  <c r="AV9" i="1" s="1"/>
  <c r="D9" i="1" s="1"/>
  <c r="AR14" i="1"/>
  <c r="AS14" i="1" s="1"/>
  <c r="AV14" i="1" s="1"/>
  <c r="D14" i="1" s="1"/>
  <c r="AR12" i="1"/>
  <c r="AS12" i="1" s="1"/>
  <c r="AV12" i="1" s="1"/>
  <c r="D12" i="1" s="1"/>
  <c r="J15" i="1"/>
  <c r="J61" i="1"/>
  <c r="K13" i="1"/>
  <c r="R17" i="2"/>
  <c r="I16" i="1" s="1"/>
  <c r="Q16" i="1" s="1"/>
  <c r="R63" i="2"/>
  <c r="I62" i="1" s="1"/>
  <c r="Q62" i="1" s="1"/>
  <c r="R18" i="2"/>
  <c r="I17" i="1" s="1"/>
  <c r="Q17" i="1" s="1"/>
  <c r="K15" i="1" l="1"/>
  <c r="R15" i="1" s="1"/>
  <c r="K61" i="1"/>
  <c r="R61" i="1" s="1"/>
  <c r="AR11" i="1"/>
  <c r="AS11" i="1" s="1"/>
  <c r="AV11" i="1" s="1"/>
  <c r="D11" i="1" s="1"/>
  <c r="AR59" i="1"/>
  <c r="AS59" i="1" s="1"/>
  <c r="AV59" i="1" s="1"/>
  <c r="D59" i="1" s="1"/>
  <c r="J62" i="1"/>
  <c r="J16" i="1"/>
  <c r="R20" i="2"/>
  <c r="I19" i="1" s="1"/>
  <c r="Q19" i="1" s="1"/>
  <c r="J17" i="1"/>
  <c r="R58" i="2"/>
  <c r="I57" i="1" s="1"/>
  <c r="Q57" i="1" s="1"/>
  <c r="K62" i="1" l="1"/>
  <c r="R62" i="1" s="1"/>
  <c r="K16" i="1"/>
  <c r="R16" i="1" s="1"/>
  <c r="AR15" i="1"/>
  <c r="AS15" i="1" s="1"/>
  <c r="AV15" i="1" s="1"/>
  <c r="D15" i="1" s="1"/>
  <c r="AR61" i="1"/>
  <c r="AS61" i="1" s="1"/>
  <c r="AV61" i="1" s="1"/>
  <c r="D61" i="1" s="1"/>
  <c r="J19" i="1"/>
  <c r="R19" i="2"/>
  <c r="I18" i="1" s="1"/>
  <c r="Q18" i="1" s="1"/>
  <c r="J57" i="1"/>
  <c r="K19" i="1" l="1"/>
  <c r="R19" i="1" s="1"/>
  <c r="AR16" i="1"/>
  <c r="AS16" i="1" s="1"/>
  <c r="AV16" i="1" s="1"/>
  <c r="D16" i="1" s="1"/>
  <c r="AR62" i="1"/>
  <c r="AS62" i="1" s="1"/>
  <c r="AV62" i="1" s="1"/>
  <c r="D62" i="1" s="1"/>
  <c r="AR13" i="1"/>
  <c r="AS13" i="1" s="1"/>
  <c r="AV13" i="1" s="1"/>
  <c r="D13" i="1" s="1"/>
  <c r="J18" i="1"/>
  <c r="K17" i="1"/>
  <c r="R17" i="1" s="1"/>
  <c r="K57" i="1"/>
  <c r="R57" i="1" s="1"/>
  <c r="R56" i="2"/>
  <c r="I55" i="1" s="1"/>
  <c r="Q55" i="1" s="1"/>
  <c r="R65" i="2"/>
  <c r="I64" i="1" s="1"/>
  <c r="Q64" i="1" s="1"/>
  <c r="R46" i="2"/>
  <c r="I45" i="1" s="1"/>
  <c r="Q45" i="1" s="1"/>
  <c r="K18" i="1" l="1"/>
  <c r="R18" i="1" s="1"/>
  <c r="AR19" i="1"/>
  <c r="AS19" i="1" s="1"/>
  <c r="AV19" i="1" s="1"/>
  <c r="D19" i="1" s="1"/>
  <c r="J64" i="1"/>
  <c r="J55" i="1"/>
  <c r="R22" i="2"/>
  <c r="I21" i="1" s="1"/>
  <c r="Q21" i="1" s="1"/>
  <c r="J45" i="1"/>
  <c r="K55" i="1" l="1"/>
  <c r="R55" i="1" s="1"/>
  <c r="K64" i="1"/>
  <c r="R64" i="1" s="1"/>
  <c r="AR18" i="1"/>
  <c r="AS18" i="1" s="1"/>
  <c r="AV18" i="1" s="1"/>
  <c r="D18" i="1" s="1"/>
  <c r="J21" i="1"/>
  <c r="K45" i="1"/>
  <c r="R45" i="1" s="1"/>
  <c r="R47" i="2"/>
  <c r="I46" i="1" s="1"/>
  <c r="Q46" i="1" s="1"/>
  <c r="R21" i="2"/>
  <c r="I20" i="1" s="1"/>
  <c r="Q20" i="1" s="1"/>
  <c r="R26" i="2"/>
  <c r="I25" i="1" s="1"/>
  <c r="Q25" i="1" s="1"/>
  <c r="K21" i="1" l="1"/>
  <c r="R21" i="1" s="1"/>
  <c r="AR17" i="1"/>
  <c r="AS17" i="1" s="1"/>
  <c r="AV17" i="1" s="1"/>
  <c r="D17" i="1" s="1"/>
  <c r="AR64" i="1"/>
  <c r="AS64" i="1" s="1"/>
  <c r="AV64" i="1" s="1"/>
  <c r="D64" i="1" s="1"/>
  <c r="AR55" i="1"/>
  <c r="AS55" i="1" s="1"/>
  <c r="AV55" i="1" s="1"/>
  <c r="D55" i="1" s="1"/>
  <c r="AR57" i="1"/>
  <c r="AS57" i="1" s="1"/>
  <c r="AV57" i="1" s="1"/>
  <c r="D57" i="1" s="1"/>
  <c r="J20" i="1"/>
  <c r="J46" i="1"/>
  <c r="J25" i="1"/>
  <c r="R23" i="2"/>
  <c r="I22" i="1" s="1"/>
  <c r="Q22" i="1" s="1"/>
  <c r="K20" i="1" l="1"/>
  <c r="R20" i="1" s="1"/>
  <c r="K46" i="1"/>
  <c r="R46" i="1" s="1"/>
  <c r="AR21" i="1"/>
  <c r="AS21" i="1" s="1"/>
  <c r="AV21" i="1" s="1"/>
  <c r="D21" i="1" s="1"/>
  <c r="J22" i="1"/>
  <c r="K25" i="1"/>
  <c r="R25" i="1" s="1"/>
  <c r="R53" i="2"/>
  <c r="I52" i="1" s="1"/>
  <c r="Q52" i="1" s="1"/>
  <c r="R25" i="2"/>
  <c r="I24" i="1" s="1"/>
  <c r="Q24" i="1" s="1"/>
  <c r="R64" i="2"/>
  <c r="I63" i="1" s="1"/>
  <c r="Q63" i="1" s="1"/>
  <c r="K22" i="1" l="1"/>
  <c r="R22" i="1" s="1"/>
  <c r="AR20" i="1"/>
  <c r="AS20" i="1" s="1"/>
  <c r="AV20" i="1" s="1"/>
  <c r="D20" i="1" s="1"/>
  <c r="AR46" i="1"/>
  <c r="AS46" i="1" s="1"/>
  <c r="AV46" i="1" s="1"/>
  <c r="D46" i="1" s="1"/>
  <c r="AR45" i="1"/>
  <c r="AS45" i="1" s="1"/>
  <c r="AV45" i="1" s="1"/>
  <c r="D45" i="1" s="1"/>
  <c r="J24" i="1"/>
  <c r="J52" i="1"/>
  <c r="J63" i="1"/>
  <c r="R66" i="2"/>
  <c r="R57" i="2"/>
  <c r="I56" i="1" s="1"/>
  <c r="Q56" i="1" s="1"/>
  <c r="R27" i="2"/>
  <c r="I26" i="1" s="1"/>
  <c r="Q26" i="1" s="1"/>
  <c r="K52" i="1" l="1"/>
  <c r="R52" i="1" s="1"/>
  <c r="K24" i="1"/>
  <c r="R24" i="1" s="1"/>
  <c r="AR22" i="1"/>
  <c r="AS22" i="1" s="1"/>
  <c r="AV22" i="1" s="1"/>
  <c r="D22" i="1" s="1"/>
  <c r="J56" i="1"/>
  <c r="K63" i="1"/>
  <c r="R63" i="1" s="1"/>
  <c r="J65" i="1"/>
  <c r="J26" i="1"/>
  <c r="K56" i="1" l="1"/>
  <c r="R56" i="1" s="1"/>
  <c r="AR25" i="1"/>
  <c r="AS25" i="1" s="1"/>
  <c r="AV25" i="1" s="1"/>
  <c r="D25" i="1" s="1"/>
  <c r="AR52" i="1"/>
  <c r="AS52" i="1" s="1"/>
  <c r="AV52" i="1" s="1"/>
  <c r="D52" i="1" s="1"/>
  <c r="AR24" i="1"/>
  <c r="AS24" i="1" s="1"/>
  <c r="AV24" i="1" s="1"/>
  <c r="D24" i="1" s="1"/>
  <c r="K26" i="1"/>
  <c r="R26" i="1" s="1"/>
  <c r="K65" i="1"/>
  <c r="R28" i="2"/>
  <c r="I27" i="1" s="1"/>
  <c r="Q27" i="1" s="1"/>
  <c r="R29" i="2"/>
  <c r="I28" i="1" s="1"/>
  <c r="Q28" i="1" s="1"/>
  <c r="R30" i="2"/>
  <c r="I29" i="1" s="1"/>
  <c r="Q29" i="1" s="1"/>
  <c r="AR56" i="1" l="1"/>
  <c r="AS56" i="1" s="1"/>
  <c r="AV56" i="1" s="1"/>
  <c r="D56" i="1" s="1"/>
  <c r="J27" i="1"/>
  <c r="J29" i="1"/>
  <c r="R32" i="2"/>
  <c r="I31" i="1" s="1"/>
  <c r="Q31" i="1" s="1"/>
  <c r="R34" i="2"/>
  <c r="I33" i="1" s="1"/>
  <c r="Q33" i="1" s="1"/>
  <c r="J28" i="1"/>
  <c r="K29" i="1" l="1"/>
  <c r="R29" i="1" s="1"/>
  <c r="K27" i="1"/>
  <c r="R27" i="1" s="1"/>
  <c r="AR63" i="1"/>
  <c r="AS63" i="1" s="1"/>
  <c r="AV63" i="1" s="1"/>
  <c r="D63" i="1" s="1"/>
  <c r="J31" i="1"/>
  <c r="K28" i="1"/>
  <c r="R28" i="1" s="1"/>
  <c r="R31" i="2"/>
  <c r="I30" i="1" s="1"/>
  <c r="Q30" i="1" s="1"/>
  <c r="J33" i="1"/>
  <c r="R36" i="2"/>
  <c r="I35" i="1" s="1"/>
  <c r="Q35" i="1" s="1"/>
  <c r="K31" i="1" l="1"/>
  <c r="R31" i="1" s="1"/>
  <c r="AR26" i="1"/>
  <c r="AS26" i="1" s="1"/>
  <c r="AV26" i="1" s="1"/>
  <c r="D26" i="1" s="1"/>
  <c r="AR65" i="1"/>
  <c r="AS65" i="1" s="1"/>
  <c r="AV65" i="1" s="1"/>
  <c r="D65" i="1" s="1"/>
  <c r="AR29" i="1"/>
  <c r="AS29" i="1" s="1"/>
  <c r="AV29" i="1" s="1"/>
  <c r="D29" i="1" s="1"/>
  <c r="AR27" i="1"/>
  <c r="AS27" i="1" s="1"/>
  <c r="AV27" i="1" s="1"/>
  <c r="D27" i="1" s="1"/>
  <c r="J30" i="1"/>
  <c r="K33" i="1"/>
  <c r="R33" i="1" s="1"/>
  <c r="J35" i="1"/>
  <c r="R38" i="2"/>
  <c r="I37" i="1" s="1"/>
  <c r="Q37" i="1" s="1"/>
  <c r="R33" i="2"/>
  <c r="I32" i="1" s="1"/>
  <c r="Q32" i="1" s="1"/>
  <c r="K30" i="1" l="1"/>
  <c r="R30" i="1" s="1"/>
  <c r="AR31" i="1"/>
  <c r="AS31" i="1" s="1"/>
  <c r="AV31" i="1" s="1"/>
  <c r="D31" i="1" s="1"/>
  <c r="J32" i="1"/>
  <c r="K35" i="1"/>
  <c r="R35" i="1" s="1"/>
  <c r="R35" i="2"/>
  <c r="I34" i="1" s="1"/>
  <c r="Q34" i="1" s="1"/>
  <c r="J37" i="1"/>
  <c r="R40" i="2"/>
  <c r="I39" i="1" s="1"/>
  <c r="Q39" i="1" s="1"/>
  <c r="K32" i="1" l="1"/>
  <c r="R32" i="1" s="1"/>
  <c r="AR28" i="1"/>
  <c r="AS28" i="1" s="1"/>
  <c r="AV28" i="1" s="1"/>
  <c r="D28" i="1" s="1"/>
  <c r="AR30" i="1"/>
  <c r="AS30" i="1" s="1"/>
  <c r="AV30" i="1" s="1"/>
  <c r="D30" i="1" s="1"/>
  <c r="J34" i="1"/>
  <c r="K37" i="1"/>
  <c r="R37" i="1" s="1"/>
  <c r="R37" i="2"/>
  <c r="I36" i="1" s="1"/>
  <c r="Q36" i="1" s="1"/>
  <c r="R42" i="2"/>
  <c r="I41" i="1" s="1"/>
  <c r="Q41" i="1" s="1"/>
  <c r="R39" i="2"/>
  <c r="I38" i="1" s="1"/>
  <c r="Q38" i="1" s="1"/>
  <c r="J39" i="1"/>
  <c r="K34" i="1" l="1"/>
  <c r="R34" i="1" s="1"/>
  <c r="AR33" i="1"/>
  <c r="AS33" i="1" s="1"/>
  <c r="AV33" i="1" s="1"/>
  <c r="D33" i="1" s="1"/>
  <c r="AR32" i="1"/>
  <c r="AS32" i="1" s="1"/>
  <c r="AV32" i="1" s="1"/>
  <c r="D32" i="1" s="1"/>
  <c r="J36" i="1"/>
  <c r="K39" i="1"/>
  <c r="R39" i="1" s="1"/>
  <c r="J38" i="1"/>
  <c r="J41" i="1"/>
  <c r="R44" i="2"/>
  <c r="I43" i="1" s="1"/>
  <c r="Q43" i="1" s="1"/>
  <c r="K36" i="1" l="1"/>
  <c r="R36" i="1" s="1"/>
  <c r="AR34" i="1"/>
  <c r="AS34" i="1" s="1"/>
  <c r="AV34" i="1" s="1"/>
  <c r="D34" i="1" s="1"/>
  <c r="AR35" i="1"/>
  <c r="AS35" i="1" s="1"/>
  <c r="AV35" i="1" s="1"/>
  <c r="D35" i="1" s="1"/>
  <c r="K41" i="1"/>
  <c r="R41" i="1" s="1"/>
  <c r="K38" i="1"/>
  <c r="R38" i="1" s="1"/>
  <c r="R41" i="2"/>
  <c r="I40" i="1" s="1"/>
  <c r="Q40" i="1" s="1"/>
  <c r="J43" i="1"/>
  <c r="R43" i="2"/>
  <c r="I42" i="1" s="1"/>
  <c r="Q42" i="1" s="1"/>
  <c r="AR36" i="1" l="1"/>
  <c r="AS36" i="1" s="1"/>
  <c r="AV36" i="1" s="1"/>
  <c r="D36" i="1" s="1"/>
  <c r="AR37" i="1"/>
  <c r="AS37" i="1" s="1"/>
  <c r="AV37" i="1" s="1"/>
  <c r="D37" i="1" s="1"/>
  <c r="J40" i="1"/>
  <c r="K43" i="1"/>
  <c r="R43" i="1" s="1"/>
  <c r="R45" i="2"/>
  <c r="I44" i="1" s="1"/>
  <c r="Q44" i="1" s="1"/>
  <c r="R49" i="2"/>
  <c r="I48" i="1" s="1"/>
  <c r="Q48" i="1" s="1"/>
  <c r="J42" i="1"/>
  <c r="K40" i="1" l="1"/>
  <c r="R40" i="1" s="1"/>
  <c r="AR39" i="1"/>
  <c r="AS39" i="1" s="1"/>
  <c r="AV39" i="1" s="1"/>
  <c r="D39" i="1" s="1"/>
  <c r="J44" i="1"/>
  <c r="K42" i="1"/>
  <c r="R42" i="1" s="1"/>
  <c r="R4" i="2"/>
  <c r="R51" i="2"/>
  <c r="I50" i="1" s="1"/>
  <c r="Q50" i="1" s="1"/>
  <c r="R48" i="2"/>
  <c r="I47" i="1" s="1"/>
  <c r="Q47" i="1" s="1"/>
  <c r="J48" i="1"/>
  <c r="K44" i="1" l="1"/>
  <c r="R44" i="1" s="1"/>
  <c r="I3" i="1"/>
  <c r="Q3" i="1" s="1"/>
  <c r="AR38" i="1"/>
  <c r="AS38" i="1" s="1"/>
  <c r="AV38" i="1" s="1"/>
  <c r="D38" i="1" s="1"/>
  <c r="AR40" i="1"/>
  <c r="AS40" i="1" s="1"/>
  <c r="AV40" i="1" s="1"/>
  <c r="D40" i="1" s="1"/>
  <c r="AR41" i="1"/>
  <c r="AS41" i="1" s="1"/>
  <c r="AV41" i="1" s="1"/>
  <c r="D41" i="1" s="1"/>
  <c r="J3" i="1"/>
  <c r="K48" i="1"/>
  <c r="R48" i="1" s="1"/>
  <c r="J47" i="1"/>
  <c r="J50" i="1"/>
  <c r="R52" i="2"/>
  <c r="I51" i="1" s="1"/>
  <c r="Q51" i="1" s="1"/>
  <c r="K3" i="1" l="1"/>
  <c r="R3" i="1" s="1"/>
  <c r="AR44" i="1"/>
  <c r="AS44" i="1" s="1"/>
  <c r="AV44" i="1" s="1"/>
  <c r="D44" i="1" s="1"/>
  <c r="AR43" i="1"/>
  <c r="AS43" i="1" s="1"/>
  <c r="AV43" i="1" s="1"/>
  <c r="D43" i="1" s="1"/>
  <c r="K50" i="1"/>
  <c r="R50" i="1" s="1"/>
  <c r="K47" i="1"/>
  <c r="R47" i="1" s="1"/>
  <c r="R50" i="2"/>
  <c r="I49" i="1" s="1"/>
  <c r="Q49" i="1" s="1"/>
  <c r="J51" i="1"/>
  <c r="R103" i="2"/>
  <c r="R59" i="2"/>
  <c r="I58" i="1" s="1"/>
  <c r="Q58" i="1" s="1"/>
  <c r="AR3" i="1" l="1"/>
  <c r="AS3" i="1" s="1"/>
  <c r="AV3" i="1" s="1"/>
  <c r="AR42" i="1"/>
  <c r="AS42" i="1" s="1"/>
  <c r="AV42" i="1" s="1"/>
  <c r="D42" i="1" s="1"/>
  <c r="J49" i="1"/>
  <c r="K51" i="1"/>
  <c r="R51" i="1" s="1"/>
  <c r="J102" i="1"/>
  <c r="R55" i="2"/>
  <c r="I54" i="1" s="1"/>
  <c r="Q54" i="1" s="1"/>
  <c r="R102" i="2"/>
  <c r="J58" i="1"/>
  <c r="K49" i="1" l="1"/>
  <c r="R49" i="1" s="1"/>
  <c r="AR48" i="1"/>
  <c r="AS48" i="1" s="1"/>
  <c r="AV48" i="1" s="1"/>
  <c r="D48" i="1" s="1"/>
  <c r="J101" i="1"/>
  <c r="K101" i="1" s="1"/>
  <c r="K58" i="1"/>
  <c r="R58" i="1" s="1"/>
  <c r="K102" i="1"/>
  <c r="J54" i="1"/>
  <c r="R24" i="2"/>
  <c r="I23" i="1" s="1"/>
  <c r="Q23" i="1" s="1"/>
  <c r="AR50" i="1" l="1"/>
  <c r="AS50" i="1" s="1"/>
  <c r="AV50" i="1" s="1"/>
  <c r="D50" i="1" s="1"/>
  <c r="AR49" i="1"/>
  <c r="AS49" i="1" s="1"/>
  <c r="AV49" i="1" s="1"/>
  <c r="D49" i="1" s="1"/>
  <c r="AR47" i="1"/>
  <c r="AS47" i="1" s="1"/>
  <c r="AV47" i="1" s="1"/>
  <c r="D47" i="1" s="1"/>
  <c r="K54" i="1"/>
  <c r="R54" i="1" s="1"/>
  <c r="J23" i="1"/>
  <c r="R61" i="2"/>
  <c r="I60" i="1" s="1"/>
  <c r="Q60" i="1" s="1"/>
  <c r="AR101" i="1" l="1"/>
  <c r="AS101" i="1" s="1"/>
  <c r="AV101" i="1" s="1"/>
  <c r="D101" i="1" s="1"/>
  <c r="AR51" i="1"/>
  <c r="AS51" i="1" s="1"/>
  <c r="AV51" i="1" s="1"/>
  <c r="D51" i="1" s="1"/>
  <c r="J60" i="1"/>
  <c r="K23" i="1"/>
  <c r="R23" i="1" s="1"/>
  <c r="K60" i="1" l="1"/>
  <c r="R60" i="1" s="1"/>
  <c r="AR58" i="1"/>
  <c r="AS58" i="1" s="1"/>
  <c r="AV58" i="1" s="1"/>
  <c r="D58" i="1" s="1"/>
  <c r="AR102" i="1"/>
  <c r="AS102" i="1" s="1"/>
  <c r="AV102" i="1" s="1"/>
  <c r="D102" i="1" s="1"/>
  <c r="AR54" i="1" l="1"/>
  <c r="AS54" i="1" s="1"/>
  <c r="AV54" i="1" s="1"/>
  <c r="D54" i="1" s="1"/>
  <c r="AR60" i="1"/>
  <c r="AS60" i="1" s="1"/>
  <c r="AV60" i="1" s="1"/>
  <c r="D60" i="1" s="1"/>
  <c r="X4" i="6"/>
  <c r="BP3" i="1"/>
  <c r="BN3" i="1" l="1"/>
  <c r="BQ3" i="1" s="1"/>
  <c r="D3" i="1" s="1"/>
  <c r="AR23" i="1"/>
  <c r="AS23" i="1" s="1"/>
  <c r="AV23" i="1" s="1"/>
  <c r="D23" i="1" s="1"/>
</calcChain>
</file>

<file path=xl/sharedStrings.xml><?xml version="1.0" encoding="utf-8"?>
<sst xmlns="http://schemas.openxmlformats.org/spreadsheetml/2006/main" count="2455" uniqueCount="322">
  <si>
    <t>Wertpapier</t>
  </si>
  <si>
    <t>ISIN</t>
  </si>
  <si>
    <t>Novartis</t>
  </si>
  <si>
    <t>CH0012005267</t>
  </si>
  <si>
    <t>Roche</t>
  </si>
  <si>
    <t>CH0012032048</t>
  </si>
  <si>
    <t>Nestle</t>
  </si>
  <si>
    <t>CH0038863350</t>
  </si>
  <si>
    <t>Beiersdorf</t>
  </si>
  <si>
    <t>DE0005200000</t>
  </si>
  <si>
    <t>Deutsche Post</t>
  </si>
  <si>
    <t>DE0005552004</t>
  </si>
  <si>
    <t>Deutsche Telekom</t>
  </si>
  <si>
    <t>DE0005557508</t>
  </si>
  <si>
    <t>SAP</t>
  </si>
  <si>
    <t>DE0007164600</t>
  </si>
  <si>
    <t>Siemens</t>
  </si>
  <si>
    <t>DE0007236101</t>
  </si>
  <si>
    <t>Allianz</t>
  </si>
  <si>
    <t>DE0008404005</t>
  </si>
  <si>
    <t>Münchener Rück</t>
  </si>
  <si>
    <t>DE0008430026</t>
  </si>
  <si>
    <t>BASF</t>
  </si>
  <si>
    <t>DE000BASF111</t>
  </si>
  <si>
    <t>Bayer</t>
  </si>
  <si>
    <t>DE000BAY0017</t>
  </si>
  <si>
    <t>Telefonica</t>
  </si>
  <si>
    <t>ES0178430E18</t>
  </si>
  <si>
    <t>Danone</t>
  </si>
  <si>
    <t>FR0000120644</t>
  </si>
  <si>
    <t>British American Tobacco</t>
  </si>
  <si>
    <t>GB0002875804</t>
  </si>
  <si>
    <t>Imperial Tobacco</t>
  </si>
  <si>
    <t>GB0004544929</t>
  </si>
  <si>
    <t>Vodafone</t>
  </si>
  <si>
    <t>GB00BH4HKS39</t>
  </si>
  <si>
    <t>Unilever</t>
  </si>
  <si>
    <t>NL0000009355</t>
  </si>
  <si>
    <t>AT&amp;T</t>
  </si>
  <si>
    <t>US00206R1023</t>
  </si>
  <si>
    <t>Coca-Cola</t>
  </si>
  <si>
    <t>US1912161007</t>
  </si>
  <si>
    <t>Colgate-Palmolive</t>
  </si>
  <si>
    <t>US1941621039</t>
  </si>
  <si>
    <t>General Electric</t>
  </si>
  <si>
    <t>US3696041033</t>
  </si>
  <si>
    <t>IBM</t>
  </si>
  <si>
    <t>US4592001014</t>
  </si>
  <si>
    <t>Johnson &amp; Johnson</t>
  </si>
  <si>
    <t>US4781601046</t>
  </si>
  <si>
    <t>Kraft Foods</t>
  </si>
  <si>
    <t>US50076Q1067</t>
  </si>
  <si>
    <t>McDonald's</t>
  </si>
  <si>
    <t>US5801351017</t>
  </si>
  <si>
    <t>Merck &amp; Co.</t>
  </si>
  <si>
    <t>US58933Y1055</t>
  </si>
  <si>
    <t>Microsoft</t>
  </si>
  <si>
    <t>US5949181045</t>
  </si>
  <si>
    <t>Mondelez</t>
  </si>
  <si>
    <t>US6092071058</t>
  </si>
  <si>
    <t>Monsanto</t>
  </si>
  <si>
    <t>US61166W1018</t>
  </si>
  <si>
    <t>Oracle</t>
  </si>
  <si>
    <t>US68389X1054</t>
  </si>
  <si>
    <t>PepsiCo</t>
  </si>
  <si>
    <t>US7134481081</t>
  </si>
  <si>
    <t>Pfizer</t>
  </si>
  <si>
    <t>US7170811035</t>
  </si>
  <si>
    <t>Philip Morris</t>
  </si>
  <si>
    <t>US7181721090</t>
  </si>
  <si>
    <t>Procter &amp; Gamble</t>
  </si>
  <si>
    <t>US7427181091</t>
  </si>
  <si>
    <t>Verizon Communications</t>
  </si>
  <si>
    <t>US92343V1044</t>
  </si>
  <si>
    <t>Wal-Mart Stores</t>
  </si>
  <si>
    <t>US9311421039</t>
  </si>
  <si>
    <t>Anheuser-Busch InBev</t>
  </si>
  <si>
    <t>z_BE0003793107</t>
  </si>
  <si>
    <t>Lindt &amp; Sprüngli</t>
  </si>
  <si>
    <t>z_CH0010570759</t>
  </si>
  <si>
    <t>Syngenta</t>
  </si>
  <si>
    <t>Henkel</t>
  </si>
  <si>
    <t>z_DE0006048432</t>
  </si>
  <si>
    <t>L'Oreal</t>
  </si>
  <si>
    <t>z_FR0000120321</t>
  </si>
  <si>
    <t>Sanofi</t>
  </si>
  <si>
    <t>z_FR0000120578</t>
  </si>
  <si>
    <t>Diageo</t>
  </si>
  <si>
    <t>z_GB0002374006</t>
  </si>
  <si>
    <t>Sabmiller</t>
  </si>
  <si>
    <t>z_GB0004835483</t>
  </si>
  <si>
    <t>Reckitt Benckiser</t>
  </si>
  <si>
    <t>z_GB00B24CGK77</t>
  </si>
  <si>
    <t>Altria</t>
  </si>
  <si>
    <t>z_US02209S1033</t>
  </si>
  <si>
    <t>Blackrock</t>
  </si>
  <si>
    <t>z_US09247X1019</t>
  </si>
  <si>
    <t>General Mills</t>
  </si>
  <si>
    <t>z_US3703341046</t>
  </si>
  <si>
    <t>Kimberly-Clark</t>
  </si>
  <si>
    <t>z_US4943681035</t>
  </si>
  <si>
    <t>Jahr - 1</t>
  </si>
  <si>
    <t>Jahr - 2</t>
  </si>
  <si>
    <t>Jahr - 3</t>
  </si>
  <si>
    <t>Jahr - 4</t>
  </si>
  <si>
    <t>Jahr - 5</t>
  </si>
  <si>
    <t>Jahr - 6</t>
  </si>
  <si>
    <t>Jahr - 7</t>
  </si>
  <si>
    <t>Jahr - 8</t>
  </si>
  <si>
    <t>Jahr - 9</t>
  </si>
  <si>
    <t>Jahr - 10</t>
  </si>
  <si>
    <t>Jahr + 1</t>
  </si>
  <si>
    <t>Jahr + 0</t>
  </si>
  <si>
    <t>Median</t>
  </si>
  <si>
    <t>Tage</t>
  </si>
  <si>
    <t>Abweichung Median</t>
  </si>
  <si>
    <t>KGV
+360d</t>
  </si>
  <si>
    <t>DR
+360d</t>
  </si>
  <si>
    <t>Quote
+360d</t>
  </si>
  <si>
    <t>Ergebnis
+360d</t>
  </si>
  <si>
    <t>Mittelwert</t>
  </si>
  <si>
    <t>Abweichung Mittelwert</t>
  </si>
  <si>
    <t>Abweichung zum Vorjahr</t>
  </si>
  <si>
    <t>Größte Abweichung Vorjahr</t>
  </si>
  <si>
    <t>Ergebnis+360d
nach Einbruch</t>
  </si>
  <si>
    <t>Bewertung</t>
  </si>
  <si>
    <t>DR+360d</t>
  </si>
  <si>
    <t>DR Abweichung</t>
  </si>
  <si>
    <t>Quote Abweichung</t>
  </si>
  <si>
    <t>Ergebnis Abweichung</t>
  </si>
  <si>
    <t>Punkte von</t>
  </si>
  <si>
    <t>Punkte bis</t>
  </si>
  <si>
    <t>Gesamtkennzahl</t>
  </si>
  <si>
    <t>Punkte</t>
  </si>
  <si>
    <t>Grenze (&lt;)</t>
  </si>
  <si>
    <t>Quote+360d</t>
  </si>
  <si>
    <t>Abweichung Ergebnis+360d nach Einbruch von Mittel</t>
  </si>
  <si>
    <t>Jahr</t>
  </si>
  <si>
    <t>EPS original</t>
  </si>
  <si>
    <t>EPS bereinigt</t>
  </si>
  <si>
    <t>Punkte original</t>
  </si>
  <si>
    <t>Punkte bereinigt</t>
  </si>
  <si>
    <t>BE0003793107</t>
  </si>
  <si>
    <t>US02209S1033</t>
  </si>
  <si>
    <t>Dividende original</t>
  </si>
  <si>
    <t>Dividende bereinigt</t>
  </si>
  <si>
    <t>Stand Kennzahlen</t>
  </si>
  <si>
    <t>KGV+360d
nach
Einbruch</t>
  </si>
  <si>
    <t>Buchwert
+360d</t>
  </si>
  <si>
    <t>Buchwert
Abweichung</t>
  </si>
  <si>
    <t>Buchwert+360d
nach Einbruch</t>
  </si>
  <si>
    <t>Kontrolle</t>
  </si>
  <si>
    <t>ARK-1y</t>
  </si>
  <si>
    <t>ARK Mittel 10y</t>
  </si>
  <si>
    <t>ARK Abweichung</t>
  </si>
  <si>
    <t>ARK
-1y</t>
  </si>
  <si>
    <t>ARK
Mittel
10y</t>
  </si>
  <si>
    <t>KGV+360d</t>
  </si>
  <si>
    <t>Ergebnis+360d</t>
  </si>
  <si>
    <t>Dividende+360d</t>
  </si>
  <si>
    <t>Buchwert+360d</t>
  </si>
  <si>
    <t>Buchwert original</t>
  </si>
  <si>
    <t>Buchwert bereinigt</t>
  </si>
  <si>
    <t>Basis</t>
  </si>
  <si>
    <t>CH0011037469</t>
  </si>
  <si>
    <t>Geschäftsjahr</t>
  </si>
  <si>
    <t>Tag</t>
  </si>
  <si>
    <t>Monat</t>
  </si>
  <si>
    <t>Jahr + 2</t>
  </si>
  <si>
    <t>Jahr - 0</t>
  </si>
  <si>
    <t>US4943681035</t>
  </si>
  <si>
    <t>Summe</t>
  </si>
  <si>
    <t>DE0006048432</t>
  </si>
  <si>
    <t>Währung</t>
  </si>
  <si>
    <t>Bilanz</t>
  </si>
  <si>
    <t>Heimatbörse</t>
  </si>
  <si>
    <t>CHF</t>
  </si>
  <si>
    <t>EUR</t>
  </si>
  <si>
    <t>GBP</t>
  </si>
  <si>
    <t>USD</t>
  </si>
  <si>
    <t>Gleich</t>
  </si>
  <si>
    <t>Jahr - 11</t>
  </si>
  <si>
    <t>Aktuell</t>
  </si>
  <si>
    <t>Schlußkurse Heimatbörse am Geschäftsjahresende</t>
  </si>
  <si>
    <t>Schlußkurse Währungsumrechnung am Geschäftsjahresende</t>
  </si>
  <si>
    <t>Schlußkurse in Bilanzwährung am Geschäftsjahresende</t>
  </si>
  <si>
    <t>CH0002751649</t>
  </si>
  <si>
    <t>GB0031973075</t>
  </si>
  <si>
    <t>EUR / USD</t>
  </si>
  <si>
    <t>GBP / USD</t>
  </si>
  <si>
    <t>CHF / USD</t>
  </si>
  <si>
    <t>EU0009652759</t>
  </si>
  <si>
    <t>FXCM</t>
  </si>
  <si>
    <t>CH0010570759</t>
  </si>
  <si>
    <t>FR0000120321</t>
  </si>
  <si>
    <t>FR0000120578</t>
  </si>
  <si>
    <t>GB0002374006</t>
  </si>
  <si>
    <t>GB0004835483</t>
  </si>
  <si>
    <t>GB00B24CGK77</t>
  </si>
  <si>
    <t>US09247X1019</t>
  </si>
  <si>
    <t>US3703341046</t>
  </si>
  <si>
    <t>Dividende Vorjahr / Kurs Geschäftsjahresende = Dividende aktuelles Jahr</t>
  </si>
  <si>
    <t>Kurs original</t>
  </si>
  <si>
    <t>Kurs bereinigt</t>
  </si>
  <si>
    <t>Dividende Abweichung</t>
  </si>
  <si>
    <t>Abweichung Dividende+360d nach Einbruch von Mittel</t>
  </si>
  <si>
    <t>Dividende
+360d</t>
  </si>
  <si>
    <t>Dividende+360d
nach Einbruch</t>
  </si>
  <si>
    <t>Abweichung
KGV+360d
nach Einbruch
vom Median</t>
  </si>
  <si>
    <t>Abweichung
Buchwert+360d
nach Einbruch
vom Mittel</t>
  </si>
  <si>
    <t>Abweichung
Ergebnis+360d
nach Einbruch
vom Mittel</t>
  </si>
  <si>
    <t>Abweichung
Dividende+360d
nach Einbruch
vom Mittel</t>
  </si>
  <si>
    <t>KGV
Median</t>
  </si>
  <si>
    <t>Buchwert
Mittel</t>
  </si>
  <si>
    <t>Ergebnis
Mittel</t>
  </si>
  <si>
    <t>Größter
Ergebnis-
einbruch</t>
  </si>
  <si>
    <t>Dividende
Mittel</t>
  </si>
  <si>
    <t>Größter
Dividenden-
rückgang</t>
  </si>
  <si>
    <t>DR
Mittel</t>
  </si>
  <si>
    <t>Quote
Mittel</t>
  </si>
  <si>
    <t>Größter
Buchwert-
einbruch</t>
  </si>
  <si>
    <t>KGV
Ab-
weichung</t>
  </si>
  <si>
    <t>Buchwert
Ab-
weichung</t>
  </si>
  <si>
    <t>Ergebnis
Ab-
weichung</t>
  </si>
  <si>
    <t>Dividende
Ab-
weichung</t>
  </si>
  <si>
    <t>DR
Ab-
weichung</t>
  </si>
  <si>
    <t>ARK
Ab-
weichung</t>
  </si>
  <si>
    <t>Quote
Ab-
weichung</t>
  </si>
  <si>
    <t>Größter Ergebniseinbruch</t>
  </si>
  <si>
    <t>DR Mittel</t>
  </si>
  <si>
    <t>Größter Buchwerteinbruch</t>
  </si>
  <si>
    <t>Größter Dividendenrückgang</t>
  </si>
  <si>
    <t>Spaltenbeschriftungen</t>
  </si>
  <si>
    <t>Werte</t>
  </si>
  <si>
    <t>KGV</t>
  </si>
  <si>
    <t>Ergebnis je Aktie (verwässert)</t>
  </si>
  <si>
    <t>Jahr+2</t>
  </si>
  <si>
    <t>Jahr+1</t>
  </si>
  <si>
    <t>Jahr+0</t>
  </si>
  <si>
    <t>Jahr-1</t>
  </si>
  <si>
    <t>Jahr-2</t>
  </si>
  <si>
    <t>Jahr-3</t>
  </si>
  <si>
    <t>Jahr-4</t>
  </si>
  <si>
    <t>Jahr-5</t>
  </si>
  <si>
    <t>Jahr-6</t>
  </si>
  <si>
    <t>Jahr-7</t>
  </si>
  <si>
    <t>Jahr-8</t>
  </si>
  <si>
    <t>Jahr-9</t>
  </si>
  <si>
    <t>Jahr-10</t>
  </si>
  <si>
    <t>Buchwert</t>
  </si>
  <si>
    <t>Jahr-0</t>
  </si>
  <si>
    <t>Aktien im Umlauf (splitbereinigt)</t>
  </si>
  <si>
    <t>Jahr-11</t>
  </si>
  <si>
    <t>Dividenden</t>
  </si>
  <si>
    <t>Ausschüttungsquote</t>
  </si>
  <si>
    <t>Aktien original</t>
  </si>
  <si>
    <t>Aktien bereinigt</t>
  </si>
  <si>
    <t>Medtronic</t>
  </si>
  <si>
    <t>z_IE00BTN1Y115</t>
  </si>
  <si>
    <t>Kellogg</t>
  </si>
  <si>
    <t>z_US4878361082</t>
  </si>
  <si>
    <t>Mastercard</t>
  </si>
  <si>
    <t>z_US57636Q1040</t>
  </si>
  <si>
    <t>Moody's</t>
  </si>
  <si>
    <t>z_US6153691059</t>
  </si>
  <si>
    <t>Visa</t>
  </si>
  <si>
    <t>z_US92826C8394</t>
  </si>
  <si>
    <t>IE00BTN1Y115</t>
  </si>
  <si>
    <t>US4878361082</t>
  </si>
  <si>
    <t>US57636Q1040</t>
  </si>
  <si>
    <t>US6153691059</t>
  </si>
  <si>
    <t>US92826C8394</t>
  </si>
  <si>
    <t>Du Pont</t>
  </si>
  <si>
    <t>Linde</t>
  </si>
  <si>
    <t>CVS Health</t>
  </si>
  <si>
    <t>Novo Nordisk</t>
  </si>
  <si>
    <t>UnitedHealth</t>
  </si>
  <si>
    <t>z_US2635341090</t>
  </si>
  <si>
    <t>z_DE0006483001</t>
  </si>
  <si>
    <t>z_US1266501006</t>
  </si>
  <si>
    <t>z_DK0060534915</t>
  </si>
  <si>
    <t>z_US91324P1021</t>
  </si>
  <si>
    <t>US2635341090</t>
  </si>
  <si>
    <t>DE0006483001</t>
  </si>
  <si>
    <t>US1266501006</t>
  </si>
  <si>
    <t>DK0060534915</t>
  </si>
  <si>
    <t>US91324P1021</t>
  </si>
  <si>
    <t>DKK</t>
  </si>
  <si>
    <t>Accenture</t>
  </si>
  <si>
    <t>z_IE00B4BNMY34</t>
  </si>
  <si>
    <t>IE00B4BNMY34</t>
  </si>
  <si>
    <t>Cisco Systems</t>
  </si>
  <si>
    <t>z_US17275R1023</t>
  </si>
  <si>
    <t>US17275R1023</t>
  </si>
  <si>
    <t>Notiz</t>
  </si>
  <si>
    <t>Watchlist</t>
  </si>
  <si>
    <t>Depot</t>
  </si>
  <si>
    <t>Leerzeile</t>
  </si>
  <si>
    <t>Anleitung und Download</t>
  </si>
  <si>
    <t>Diskussion</t>
  </si>
  <si>
    <t>http://www.wertpapier-forum.de/topic/45969-hamsterrad-aktienbewertungssystem/</t>
  </si>
  <si>
    <t>http://www.wertpapier-forum.de/topic/45971-hamsterrad-aktienbewertungssystem-diskussion/</t>
  </si>
  <si>
    <t>Das Bewertungssystem steht jedem kostenlos zur Verfügung - dies soll auch so bleiben. Wer sich über eine Rückmeldung im Diskussionsthread hinaus für die Bereitstellung des Systems und die vielen hundert (oder tausend?) Stunden Aufwand dahinter erkenntlich zeigen möchte, kann mir gerne mittels privater Nachricht einen Amazon Gutschein zukommen lassen.</t>
  </si>
  <si>
    <t>KGV
Bewertung</t>
  </si>
  <si>
    <t>Abweichung
KGV / KBV+360d
nach Einbruch
vom Median</t>
  </si>
  <si>
    <t>KBV
+360d</t>
  </si>
  <si>
    <t>KBV
Median</t>
  </si>
  <si>
    <t>KBV
Ab-
weichung</t>
  </si>
  <si>
    <t>KBV+360d
nach
Einbruch</t>
  </si>
  <si>
    <t>Abweichung
KBV+360d
nach Einbruch
vom Median</t>
  </si>
  <si>
    <t>KGV /
KBV
Ab-
weichung</t>
  </si>
  <si>
    <t>Preis</t>
  </si>
  <si>
    <t>Abweichung</t>
  </si>
  <si>
    <t>KGV Grenze (&lt;)</t>
  </si>
  <si>
    <t>KBV Grenze (&lt;)</t>
  </si>
  <si>
    <t>Abweichung +360d nach Einbruch vom Median</t>
  </si>
  <si>
    <t>Wert</t>
  </si>
  <si>
    <t>Ergebnis</t>
  </si>
  <si>
    <t>Dividende</t>
  </si>
  <si>
    <t>Dividendenrendite</t>
  </si>
  <si>
    <t>Aktienrückkäufe</t>
  </si>
  <si>
    <t>Abweichung Buchwert+360d nach Einbruch von Mittel</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</si>
</sst>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00_ ;[Red]\-#,##0.00\ "/>
    <numFmt numFmtId="165" formatCode="#,##0_ ;[Red]\-#,##0\ "/>
    <numFmt numFmtId="166" formatCode="0.000%"/>
    <numFmt numFmtId="167" formatCode="#,##0.000_ ;[Red]\-#,##0.000\ "/>
    <numFmt numFmtId="168" formatCode="0.000"/>
    <numFmt numFmtId="169" formatCode="#,##0.0_ ;[Red]\-#,##0.0\ "/>
    <numFmt numFmtId="170" formatCode="0.0"/>
    <numFmt numFmtId="171" formatCode="0.0_ ;[Red]\-0.0\ "/>
    <numFmt numFmtId="172" formatCode="0.0000%"/>
    <numFmt numFmtId="173" formatCode="0_ ;[Red]\-0\ "/>
    <numFmt numFmtId="174" formatCode="#,##0.0000_ ;[Red]\-#,##0.0000\ "/>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u/>
      <sz val="11"/>
      <color theme="10"/>
      <name val="Calibri"/>
      <family val="2"/>
      <scheme val="minor"/>
    </font>
  </fonts>
  <fills count="10">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s>
  <borders count="3">
    <border>
      <left/>
      <right/>
      <top/>
      <bottom/>
      <diagonal/>
    </border>
    <border>
      <left style="thick">
        <color auto="1"/>
      </left>
      <right/>
      <top/>
      <bottom/>
      <diagonal/>
    </border>
    <border>
      <left/>
      <right style="thick">
        <color auto="1"/>
      </right>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122">
    <xf numFmtId="0" fontId="0" fillId="0" borderId="0" xfId="0"/>
    <xf numFmtId="0" fontId="2" fillId="0" borderId="0" xfId="0" applyFont="1"/>
    <xf numFmtId="164" fontId="0" fillId="0" borderId="0" xfId="0" applyNumberFormat="1"/>
    <xf numFmtId="164" fontId="0" fillId="2" borderId="0" xfId="0" applyNumberFormat="1" applyFill="1"/>
    <xf numFmtId="165" fontId="0" fillId="2" borderId="0" xfId="0" applyNumberFormat="1" applyFill="1"/>
    <xf numFmtId="166" fontId="0" fillId="2" borderId="0" xfId="0" applyNumberFormat="1" applyFill="1"/>
    <xf numFmtId="164" fontId="0" fillId="3" borderId="0" xfId="0" applyNumberFormat="1" applyFill="1"/>
    <xf numFmtId="0" fontId="2" fillId="0" borderId="0" xfId="0" applyFont="1" applyBorder="1" applyAlignment="1">
      <alignment wrapText="1"/>
    </xf>
    <xf numFmtId="0" fontId="2" fillId="0" borderId="0" xfId="0" applyFont="1" applyFill="1" applyBorder="1" applyAlignment="1">
      <alignment wrapText="1"/>
    </xf>
    <xf numFmtId="10" fontId="0" fillId="0" borderId="0" xfId="0" applyNumberFormat="1"/>
    <xf numFmtId="10" fontId="0" fillId="2" borderId="0" xfId="0" applyNumberFormat="1" applyFill="1"/>
    <xf numFmtId="167" fontId="0" fillId="0" borderId="0" xfId="0" applyNumberFormat="1" applyBorder="1"/>
    <xf numFmtId="166" fontId="0" fillId="0" borderId="0" xfId="1" applyNumberFormat="1" applyFont="1" applyBorder="1"/>
    <xf numFmtId="167" fontId="0" fillId="2" borderId="0" xfId="0" applyNumberFormat="1" applyFill="1"/>
    <xf numFmtId="167" fontId="0" fillId="0" borderId="0" xfId="1" applyNumberFormat="1" applyFont="1" applyBorder="1"/>
    <xf numFmtId="166" fontId="0" fillId="2" borderId="0" xfId="1" applyNumberFormat="1" applyFont="1" applyFill="1"/>
    <xf numFmtId="168" fontId="0" fillId="0" borderId="0" xfId="0" applyNumberFormat="1" applyBorder="1"/>
    <xf numFmtId="169" fontId="0" fillId="5" borderId="0" xfId="0" applyNumberFormat="1" applyFill="1"/>
    <xf numFmtId="170" fontId="0" fillId="5" borderId="0" xfId="0" applyNumberFormat="1" applyFill="1"/>
    <xf numFmtId="10" fontId="0" fillId="5" borderId="0" xfId="1" applyNumberFormat="1" applyFont="1" applyFill="1"/>
    <xf numFmtId="169" fontId="0" fillId="4" borderId="0" xfId="0" applyNumberFormat="1" applyFill="1"/>
    <xf numFmtId="170" fontId="0" fillId="4" borderId="0" xfId="0" applyNumberFormat="1" applyFill="1"/>
    <xf numFmtId="10" fontId="0" fillId="4" borderId="0" xfId="1" applyNumberFormat="1" applyFont="1" applyFill="1"/>
    <xf numFmtId="169" fontId="0" fillId="7" borderId="0" xfId="0" applyNumberFormat="1" applyFill="1"/>
    <xf numFmtId="170" fontId="0" fillId="7" borderId="0" xfId="0" applyNumberFormat="1" applyFill="1"/>
    <xf numFmtId="10" fontId="0" fillId="7" borderId="0" xfId="1" applyNumberFormat="1" applyFont="1" applyFill="1"/>
    <xf numFmtId="170" fontId="0" fillId="6" borderId="0" xfId="0" applyNumberFormat="1" applyFill="1"/>
    <xf numFmtId="10" fontId="0" fillId="6" borderId="0" xfId="1" applyNumberFormat="1" applyFont="1" applyFill="1"/>
    <xf numFmtId="169" fontId="0" fillId="6" borderId="0" xfId="0" applyNumberFormat="1" applyFill="1"/>
    <xf numFmtId="170" fontId="0" fillId="8" borderId="0" xfId="0" applyNumberFormat="1" applyFill="1"/>
    <xf numFmtId="10" fontId="0" fillId="8" borderId="0" xfId="1" applyNumberFormat="1" applyFont="1" applyFill="1"/>
    <xf numFmtId="169" fontId="0" fillId="8" borderId="0" xfId="0" applyNumberFormat="1" applyFill="1"/>
    <xf numFmtId="171" fontId="0" fillId="0" borderId="0" xfId="0" applyNumberFormat="1" applyBorder="1"/>
    <xf numFmtId="164" fontId="2" fillId="0" borderId="0" xfId="0" applyNumberFormat="1" applyFont="1"/>
    <xf numFmtId="169" fontId="2" fillId="0" borderId="0" xfId="0" applyNumberFormat="1" applyFont="1"/>
    <xf numFmtId="169" fontId="0" fillId="0" borderId="0" xfId="0" applyNumberFormat="1"/>
    <xf numFmtId="0" fontId="2" fillId="3" borderId="0" xfId="0" applyFont="1" applyFill="1" applyBorder="1" applyAlignment="1"/>
    <xf numFmtId="0" fontId="2" fillId="0" borderId="0" xfId="0" applyFont="1" applyBorder="1"/>
    <xf numFmtId="0" fontId="0" fillId="0" borderId="0" xfId="0" applyBorder="1"/>
    <xf numFmtId="0" fontId="2" fillId="0" borderId="0" xfId="0" applyFont="1" applyFill="1" applyBorder="1" applyAlignment="1"/>
    <xf numFmtId="166" fontId="0" fillId="0" borderId="0" xfId="0" applyNumberFormat="1" applyBorder="1"/>
    <xf numFmtId="169" fontId="0" fillId="0" borderId="0" xfId="0" applyNumberFormat="1" applyBorder="1"/>
    <xf numFmtId="14" fontId="2" fillId="0" borderId="0" xfId="0" applyNumberFormat="1" applyFont="1" applyBorder="1"/>
    <xf numFmtId="0" fontId="3" fillId="3" borderId="0" xfId="0" applyFont="1" applyFill="1" applyBorder="1" applyAlignment="1">
      <alignment vertical="center" textRotation="90"/>
    </xf>
    <xf numFmtId="0" fontId="2" fillId="3" borderId="0" xfId="0" applyFont="1" applyFill="1" applyBorder="1"/>
    <xf numFmtId="0" fontId="2" fillId="3" borderId="0" xfId="0" applyFont="1" applyFill="1" applyBorder="1" applyAlignment="1">
      <alignment wrapText="1"/>
    </xf>
    <xf numFmtId="172" fontId="0" fillId="5" borderId="0" xfId="1" applyNumberFormat="1" applyFont="1" applyFill="1"/>
    <xf numFmtId="172" fontId="0" fillId="4" borderId="0" xfId="1" applyNumberFormat="1" applyFont="1" applyFill="1"/>
    <xf numFmtId="172" fontId="0" fillId="7" borderId="0" xfId="1" applyNumberFormat="1" applyFont="1" applyFill="1"/>
    <xf numFmtId="172" fontId="0" fillId="6" borderId="0" xfId="1" applyNumberFormat="1" applyFont="1" applyFill="1"/>
    <xf numFmtId="172" fontId="0" fillId="8" borderId="0" xfId="1" applyNumberFormat="1" applyFont="1" applyFill="1"/>
    <xf numFmtId="169" fontId="0" fillId="0" borderId="0" xfId="1" applyNumberFormat="1" applyFont="1" applyBorder="1"/>
    <xf numFmtId="0" fontId="0" fillId="0" borderId="0" xfId="0" applyFill="1"/>
    <xf numFmtId="164" fontId="0" fillId="0" borderId="0" xfId="0" applyNumberFormat="1" applyFill="1"/>
    <xf numFmtId="169" fontId="0" fillId="0" borderId="0" xfId="0" applyNumberFormat="1" applyFill="1"/>
    <xf numFmtId="0" fontId="0" fillId="0" borderId="0" xfId="0" applyFill="1" applyBorder="1"/>
    <xf numFmtId="173" fontId="0" fillId="0" borderId="0" xfId="0" applyNumberFormat="1"/>
    <xf numFmtId="0" fontId="2" fillId="0" borderId="1" xfId="0" applyFont="1" applyBorder="1"/>
    <xf numFmtId="0" fontId="2" fillId="0" borderId="2" xfId="0" applyFont="1" applyBorder="1"/>
    <xf numFmtId="167" fontId="0" fillId="3" borderId="0" xfId="0" applyNumberFormat="1" applyFill="1" applyBorder="1"/>
    <xf numFmtId="167" fontId="0" fillId="3" borderId="2" xfId="0" applyNumberFormat="1" applyFill="1" applyBorder="1"/>
    <xf numFmtId="167" fontId="0" fillId="9" borderId="0" xfId="0" applyNumberFormat="1" applyFill="1" applyBorder="1"/>
    <xf numFmtId="167" fontId="0" fillId="9" borderId="2" xfId="0" applyNumberFormat="1" applyFill="1" applyBorder="1"/>
    <xf numFmtId="164" fontId="0" fillId="7" borderId="0" xfId="0" applyNumberFormat="1" applyFill="1"/>
    <xf numFmtId="167" fontId="0" fillId="7" borderId="0" xfId="0" applyNumberFormat="1" applyFill="1" applyBorder="1"/>
    <xf numFmtId="167" fontId="0" fillId="7" borderId="1" xfId="0" applyNumberFormat="1" applyFill="1" applyBorder="1"/>
    <xf numFmtId="173" fontId="0" fillId="0" borderId="0" xfId="0" applyNumberFormat="1" applyBorder="1"/>
    <xf numFmtId="0" fontId="0" fillId="0" borderId="0" xfId="0" applyNumberFormat="1" applyBorder="1"/>
    <xf numFmtId="165" fontId="0" fillId="0" borderId="0" xfId="0" applyNumberFormat="1" applyBorder="1"/>
    <xf numFmtId="174" fontId="0" fillId="3" borderId="0" xfId="0" applyNumberFormat="1" applyFill="1" applyBorder="1"/>
    <xf numFmtId="174" fontId="0" fillId="2" borderId="0" xfId="0" applyNumberFormat="1" applyFill="1" applyBorder="1"/>
    <xf numFmtId="174" fontId="0" fillId="7" borderId="0" xfId="0" applyNumberFormat="1" applyFill="1" applyBorder="1"/>
    <xf numFmtId="0" fontId="0" fillId="0" borderId="0" xfId="0" applyFont="1"/>
    <xf numFmtId="174" fontId="0" fillId="9" borderId="0" xfId="0" applyNumberFormat="1" applyFill="1" applyBorder="1"/>
    <xf numFmtId="0" fontId="2" fillId="0" borderId="1" xfId="0" applyFont="1" applyBorder="1" applyAlignment="1"/>
    <xf numFmtId="0" fontId="2" fillId="0" borderId="0" xfId="0" applyFont="1" applyBorder="1" applyAlignment="1"/>
    <xf numFmtId="0" fontId="2" fillId="0" borderId="2" xfId="0" applyFont="1" applyBorder="1" applyAlignment="1"/>
    <xf numFmtId="167" fontId="0" fillId="7" borderId="0" xfId="0" applyNumberFormat="1" applyFill="1"/>
    <xf numFmtId="164" fontId="0" fillId="2" borderId="1" xfId="0" applyNumberFormat="1" applyFill="1" applyBorder="1"/>
    <xf numFmtId="164" fontId="0" fillId="2" borderId="0" xfId="0" applyNumberFormat="1" applyFill="1" applyBorder="1"/>
    <xf numFmtId="164" fontId="0" fillId="2" borderId="2" xfId="0" applyNumberFormat="1" applyFill="1" applyBorder="1"/>
    <xf numFmtId="166" fontId="0" fillId="2" borderId="1" xfId="0" applyNumberFormat="1" applyFill="1" applyBorder="1"/>
    <xf numFmtId="166" fontId="0" fillId="2" borderId="0" xfId="0" applyNumberFormat="1" applyFill="1" applyBorder="1"/>
    <xf numFmtId="166" fontId="0" fillId="2" borderId="2" xfId="0" applyNumberFormat="1" applyFill="1" applyBorder="1"/>
    <xf numFmtId="0" fontId="2" fillId="0" borderId="0" xfId="0" applyFont="1" applyAlignment="1">
      <alignment horizontal="center"/>
    </xf>
    <xf numFmtId="174" fontId="2" fillId="0" borderId="0" xfId="0" applyNumberFormat="1" applyFont="1"/>
    <xf numFmtId="174" fontId="0" fillId="0" borderId="0" xfId="0" applyNumberFormat="1"/>
    <xf numFmtId="174" fontId="0" fillId="0" borderId="0" xfId="0" applyNumberFormat="1" applyFill="1"/>
    <xf numFmtId="0" fontId="0" fillId="0" borderId="0" xfId="0" pivotButton="1"/>
    <xf numFmtId="0" fontId="0" fillId="0" borderId="0" xfId="0" applyAlignment="1">
      <alignment horizontal="left"/>
    </xf>
    <xf numFmtId="173" fontId="0" fillId="0" borderId="0" xfId="0" applyNumberFormat="1" applyFill="1"/>
    <xf numFmtId="164" fontId="0" fillId="9" borderId="0" xfId="0" applyNumberFormat="1" applyFill="1"/>
    <xf numFmtId="174" fontId="0" fillId="0" borderId="0" xfId="0" applyNumberFormat="1" applyFill="1" applyBorder="1"/>
    <xf numFmtId="167" fontId="0" fillId="0" borderId="1" xfId="0" applyNumberFormat="1" applyFill="1" applyBorder="1"/>
    <xf numFmtId="167" fontId="0" fillId="0" borderId="0" xfId="0" applyNumberFormat="1" applyFill="1"/>
    <xf numFmtId="167" fontId="0" fillId="0" borderId="0" xfId="0" applyNumberFormat="1" applyFill="1" applyBorder="1"/>
    <xf numFmtId="167" fontId="0" fillId="0" borderId="2" xfId="0" applyNumberFormat="1" applyFill="1" applyBorder="1"/>
    <xf numFmtId="167" fontId="0" fillId="5" borderId="0" xfId="0" applyNumberFormat="1" applyFill="1"/>
    <xf numFmtId="167" fontId="0" fillId="5" borderId="1" xfId="0" applyNumberFormat="1" applyFill="1" applyBorder="1"/>
    <xf numFmtId="0" fontId="0" fillId="0" borderId="0" xfId="0" applyNumberFormat="1" applyFill="1" applyBorder="1"/>
    <xf numFmtId="167" fontId="2" fillId="0" borderId="0" xfId="0" applyNumberFormat="1" applyFont="1"/>
    <xf numFmtId="167" fontId="0" fillId="0" borderId="0" xfId="0" applyNumberFormat="1"/>
    <xf numFmtId="173" fontId="2" fillId="0" borderId="0" xfId="0" applyNumberFormat="1" applyFont="1" applyBorder="1" applyAlignment="1">
      <alignment wrapText="1"/>
    </xf>
    <xf numFmtId="0" fontId="2" fillId="0" borderId="0" xfId="0" applyFont="1" applyFill="1" applyBorder="1" applyAlignment="1">
      <alignment horizontal="center" wrapText="1"/>
    </xf>
    <xf numFmtId="169" fontId="2" fillId="3" borderId="0" xfId="0" applyNumberFormat="1" applyFont="1" applyFill="1"/>
    <xf numFmtId="10" fontId="0" fillId="0" borderId="0" xfId="1" applyNumberFormat="1" applyFont="1" applyFill="1"/>
    <xf numFmtId="0" fontId="0" fillId="0" borderId="0" xfId="0" applyFont="1" applyAlignment="1">
      <alignment horizontal="center" wrapText="1"/>
    </xf>
    <xf numFmtId="0" fontId="0" fillId="0" borderId="0" xfId="0" applyFont="1" applyFill="1" applyBorder="1" applyAlignment="1">
      <alignment horizontal="center" wrapText="1"/>
    </xf>
    <xf numFmtId="170" fontId="0" fillId="0" borderId="0" xfId="0" applyNumberFormat="1" applyAlignment="1">
      <alignment horizontal="center"/>
    </xf>
    <xf numFmtId="0" fontId="0" fillId="0" borderId="0" xfId="0" applyFont="1" applyAlignment="1">
      <alignment horizontal="center" wrapText="1"/>
    </xf>
    <xf numFmtId="0" fontId="0" fillId="0" borderId="0" xfId="0" applyAlignment="1">
      <alignment wrapText="1"/>
    </xf>
    <xf numFmtId="0" fontId="2" fillId="3" borderId="0" xfId="0" applyFont="1" applyFill="1" applyAlignment="1">
      <alignment horizontal="center"/>
    </xf>
    <xf numFmtId="0" fontId="2" fillId="3" borderId="0" xfId="0" applyFont="1" applyFill="1" applyBorder="1" applyAlignment="1">
      <alignment horizontal="center"/>
    </xf>
    <xf numFmtId="0" fontId="2" fillId="0" borderId="0" xfId="0" applyFont="1" applyFill="1" applyBorder="1" applyAlignment="1">
      <alignment horizontal="center"/>
    </xf>
    <xf numFmtId="0" fontId="2" fillId="0" borderId="0" xfId="0" applyFont="1" applyAlignment="1">
      <alignment horizontal="center"/>
    </xf>
    <xf numFmtId="0" fontId="2" fillId="0" borderId="0"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0" fillId="0" borderId="0" xfId="0" applyFont="1" applyFill="1" applyBorder="1" applyAlignment="1">
      <alignment horizontal="center" wrapText="1"/>
    </xf>
    <xf numFmtId="0" fontId="0" fillId="0" borderId="0" xfId="0" applyFont="1" applyAlignment="1">
      <alignment horizontal="center" wrapText="1"/>
    </xf>
    <xf numFmtId="0" fontId="0" fillId="0" borderId="0" xfId="0" applyFont="1" applyFill="1" applyBorder="1" applyAlignment="1">
      <alignment horizontal="center" vertical="center" wrapText="1"/>
    </xf>
    <xf numFmtId="0" fontId="4" fillId="0" borderId="0" xfId="2" applyAlignment="1">
      <alignment horizontal="center"/>
    </xf>
  </cellXfs>
  <cellStyles count="3">
    <cellStyle name="Hyperlink" xfId="2" builtinId="8"/>
    <cellStyle name="Prozent" xfId="1" builtinId="5"/>
    <cellStyle name="Standard" xfId="0" builtinId="0"/>
  </cellStyles>
  <dxfs count="107">
    <dxf>
      <fill>
        <patternFill>
          <bgColor rgb="FFFF0000"/>
        </patternFill>
      </fill>
    </dxf>
    <dxf>
      <fill>
        <patternFill>
          <bgColor theme="0" tint="-0.499984740745262"/>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3.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pivotCacheDefinition" Target="pivotCache/pivotCacheDefinition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[Aktien Bewertung.xlsx]Report_Unternehmen!PivotTable2</c:name>
    <c:fmtId val="0"/>
  </c:pivotSource>
  <c:chart>
    <c:autoTitleDeleted val="1"/>
    <c:pivotFmts>
      <c:pivotFmt>
        <c:idx val="0"/>
        <c:marker>
          <c:symbol val="none"/>
        </c:marker>
        <c:dLbl>
          <c:idx val="0"/>
          <c:spPr/>
          <c:txPr>
            <a:bodyPr/>
            <a:lstStyle/>
            <a:p>
              <a:pPr>
                <a:defRPr/>
              </a:pPr>
              <a:endParaRPr lang="de-DE"/>
            </a:p>
          </c:txPr>
          <c:dLblPos val="t"/>
          <c:showLegendKey val="0"/>
          <c:showVal val="1"/>
          <c:showCatName val="0"/>
          <c:showSerName val="0"/>
          <c:showPercent val="0"/>
          <c:showBubbleSize val="0"/>
        </c:dLbl>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marker>
          <c:symbol val="none"/>
        </c:marker>
      </c:pivotFmt>
      <c:pivotFmt>
        <c:idx val="7"/>
        <c:marker>
          <c:symbol val="none"/>
        </c:marker>
      </c:pivotFmt>
      <c:pivotFmt>
        <c:idx val="8"/>
        <c:marker>
          <c:symbol val="none"/>
        </c:marker>
      </c:pivotFmt>
      <c:pivotFmt>
        <c:idx val="9"/>
        <c:marker>
          <c:symbol val="none"/>
        </c:marker>
      </c:pivotFmt>
      <c:pivotFmt>
        <c:idx val="10"/>
        <c:marker>
          <c:symbol val="none"/>
        </c:marker>
      </c:pivotFmt>
      <c:pivotFmt>
        <c:idx val="11"/>
        <c:marker>
          <c:symbol val="none"/>
        </c:marker>
      </c:pivotFmt>
      <c:pivotFmt>
        <c:idx val="12"/>
        <c:marker>
          <c:symbol val="none"/>
        </c:marker>
      </c:pivotFmt>
      <c:pivotFmt>
        <c:idx val="13"/>
        <c:marker>
          <c:symbol val="none"/>
        </c:marker>
      </c:pivotFmt>
      <c:pivotFmt>
        <c:idx val="14"/>
        <c:marker>
          <c:symbol val="none"/>
        </c:marker>
      </c:pivotFmt>
      <c:pivotFmt>
        <c:idx val="15"/>
        <c:marker>
          <c:symbol val="none"/>
        </c:marker>
      </c:pivotFmt>
      <c:pivotFmt>
        <c:idx val="16"/>
        <c:marker>
          <c:symbol val="none"/>
        </c:marker>
      </c:pivotFmt>
      <c:pivotFmt>
        <c:idx val="17"/>
        <c:marker>
          <c:symbol val="none"/>
        </c:marker>
      </c:pivotFmt>
      <c:pivotFmt>
        <c:idx val="18"/>
        <c:marker>
          <c:symbol val="none"/>
        </c:marker>
      </c:pivotFmt>
      <c:pivotFmt>
        <c:idx val="19"/>
        <c:marker>
          <c:symbol val="none"/>
        </c:marker>
      </c:pivotFmt>
      <c:pivotFmt>
        <c:idx val="20"/>
        <c:marker>
          <c:symbol val="none"/>
        </c:marker>
        <c:dLbl>
          <c:idx val="0"/>
          <c:spPr/>
          <c:txPr>
            <a:bodyPr/>
            <a:lstStyle/>
            <a:p>
              <a:pPr>
                <a:defRPr/>
              </a:pPr>
              <a:endParaRPr lang="de-DE"/>
            </a:p>
          </c:txPr>
          <c:showLegendKey val="0"/>
          <c:showVal val="1"/>
          <c:showCatName val="0"/>
          <c:showSerName val="0"/>
          <c:showPercent val="0"/>
          <c:showBubbleSize val="0"/>
        </c:dLbl>
      </c:pivotFmt>
      <c:pivotFmt>
        <c:idx val="21"/>
        <c:marker>
          <c:symbol val="none"/>
        </c:marker>
      </c:pivotFmt>
      <c:pivotFmt>
        <c:idx val="22"/>
        <c:marker>
          <c:symbol val="none"/>
        </c:marker>
      </c:pivotFmt>
      <c:pivotFmt>
        <c:idx val="23"/>
        <c:marker>
          <c:symbol val="none"/>
        </c:marker>
      </c:pivotFmt>
      <c:pivotFmt>
        <c:idx val="24"/>
        <c:marker>
          <c:symbol val="none"/>
        </c:marker>
      </c:pivotFmt>
      <c:pivotFmt>
        <c:idx val="25"/>
        <c:marker>
          <c:symbol val="none"/>
        </c:marker>
      </c:pivotFmt>
      <c:pivotFmt>
        <c:idx val="26"/>
        <c:marker>
          <c:symbol val="none"/>
        </c:marker>
      </c:pivotFmt>
      <c:pivotFmt>
        <c:idx val="27"/>
        <c:marker>
          <c:symbol val="none"/>
        </c:marker>
      </c:pivotFmt>
      <c:pivotFmt>
        <c:idx val="28"/>
        <c:marker>
          <c:symbol val="none"/>
        </c:marker>
      </c:pivotFmt>
      <c:pivotFmt>
        <c:idx val="29"/>
        <c:marker>
          <c:symbol val="none"/>
        </c:marker>
      </c:pivotFmt>
      <c:pivotFmt>
        <c:idx val="30"/>
        <c:marker>
          <c:symbol val="none"/>
        </c:marker>
      </c:pivotFmt>
      <c:pivotFmt>
        <c:idx val="31"/>
        <c:marker>
          <c:symbol val="none"/>
        </c:marker>
      </c:pivotFmt>
      <c:pivotFmt>
        <c:idx val="32"/>
        <c:marker>
          <c:symbol val="none"/>
        </c:marker>
      </c:pivotFmt>
      <c:pivotFmt>
        <c:idx val="33"/>
        <c:marker>
          <c:symbol val="none"/>
        </c:marker>
      </c:pivotFmt>
      <c:pivotFmt>
        <c:idx val="34"/>
        <c:marker>
          <c:symbol val="none"/>
        </c:marker>
      </c:pivotFmt>
      <c:pivotFmt>
        <c:idx val="35"/>
        <c:marker>
          <c:symbol val="none"/>
        </c:marker>
      </c:pivotFmt>
      <c:pivotFmt>
        <c:idx val="36"/>
        <c:marker>
          <c:symbol val="none"/>
        </c:marker>
      </c:pivotFmt>
      <c:pivotFmt>
        <c:idx val="37"/>
        <c:marker>
          <c:symbol val="none"/>
        </c:marker>
      </c:pivotFmt>
      <c:pivotFmt>
        <c:idx val="38"/>
        <c:marker>
          <c:symbol val="none"/>
        </c:marker>
      </c:pivotFmt>
      <c:pivotFmt>
        <c:idx val="39"/>
        <c:marker>
          <c:symbol val="none"/>
        </c:marker>
      </c:pivotFmt>
      <c:pivotFmt>
        <c:idx val="40"/>
        <c:marker>
          <c:symbol val="none"/>
        </c:marker>
      </c:pivotFmt>
      <c:pivotFmt>
        <c:idx val="41"/>
        <c:marker>
          <c:symbol val="none"/>
        </c:marker>
      </c:pivotFmt>
      <c:pivotFmt>
        <c:idx val="42"/>
        <c:marker>
          <c:symbol val="none"/>
        </c:marker>
      </c:pivotFmt>
      <c:pivotFmt>
        <c:idx val="43"/>
        <c:marker>
          <c:symbol val="none"/>
        </c:marker>
      </c:pivotFmt>
      <c:pivotFmt>
        <c:idx val="44"/>
        <c:marker>
          <c:symbol val="none"/>
        </c:marker>
      </c:pivotFmt>
      <c:pivotFmt>
        <c:idx val="45"/>
        <c:marker>
          <c:symbol val="none"/>
        </c:marker>
      </c:pivotFmt>
      <c:pivotFmt>
        <c:idx val="46"/>
        <c:marker>
          <c:symbol val="none"/>
        </c:marker>
      </c:pivotFmt>
      <c:pivotFmt>
        <c:idx val="47"/>
        <c:marker>
          <c:symbol val="none"/>
        </c:marker>
      </c:pivotFmt>
      <c:pivotFmt>
        <c:idx val="48"/>
        <c:marker>
          <c:symbol val="none"/>
        </c:marker>
      </c:pivotFmt>
      <c:pivotFmt>
        <c:idx val="49"/>
        <c:marker>
          <c:symbol val="none"/>
        </c:marker>
      </c:pivotFmt>
      <c:pivotFmt>
        <c:idx val="50"/>
        <c:marker>
          <c:symbol val="none"/>
        </c:marker>
      </c:pivotFmt>
      <c:pivotFmt>
        <c:idx val="51"/>
        <c:marker>
          <c:symbol val="none"/>
        </c:marker>
      </c:pivotFmt>
      <c:pivotFmt>
        <c:idx val="52"/>
        <c:marker>
          <c:symbol val="none"/>
        </c:marker>
      </c:pivotFmt>
      <c:pivotFmt>
        <c:idx val="53"/>
        <c:marker>
          <c:symbol val="none"/>
        </c:marker>
      </c:pivotFmt>
      <c:pivotFmt>
        <c:idx val="54"/>
        <c:marker>
          <c:symbol val="none"/>
        </c:marker>
      </c:pivotFmt>
      <c:pivotFmt>
        <c:idx val="55"/>
        <c:marker>
          <c:symbol val="none"/>
        </c:marker>
      </c:pivotFmt>
      <c:pivotFmt>
        <c:idx val="56"/>
        <c:marker>
          <c:symbol val="none"/>
        </c:marker>
      </c:pivotFmt>
      <c:pivotFmt>
        <c:idx val="57"/>
        <c:marker>
          <c:symbol val="none"/>
        </c:marker>
      </c:pivotFmt>
      <c:pivotFmt>
        <c:idx val="58"/>
        <c:marker>
          <c:symbol val="none"/>
        </c:marker>
      </c:pivotFmt>
      <c:pivotFmt>
        <c:idx val="59"/>
        <c:marker>
          <c:symbol val="none"/>
        </c:marker>
      </c:pivotFmt>
      <c:pivotFmt>
        <c:idx val="60"/>
        <c:marker>
          <c:symbol val="none"/>
        </c:marker>
      </c:pivotFmt>
      <c:pivotFmt>
        <c:idx val="61"/>
        <c:marker>
          <c:symbol val="none"/>
        </c:marker>
      </c:pivotFmt>
      <c:pivotFmt>
        <c:idx val="62"/>
        <c:marker>
          <c:symbol val="none"/>
        </c:marker>
      </c:pivotFmt>
      <c:pivotFmt>
        <c:idx val="63"/>
        <c:marker>
          <c:symbol val="none"/>
        </c:marker>
      </c:pivotFmt>
      <c:pivotFmt>
        <c:idx val="64"/>
        <c:marker>
          <c:symbol val="none"/>
        </c:marker>
      </c:pivotFmt>
      <c:pivotFmt>
        <c:idx val="65"/>
        <c:marker>
          <c:symbol val="none"/>
        </c:marker>
      </c:pivotFmt>
      <c:pivotFmt>
        <c:idx val="66"/>
        <c:marker>
          <c:symbol val="none"/>
        </c:marker>
      </c:pivotFmt>
      <c:pivotFmt>
        <c:idx val="67"/>
        <c:marker>
          <c:symbol val="none"/>
        </c:marker>
      </c:pivotFmt>
      <c:pivotFmt>
        <c:idx val="68"/>
        <c:marker>
          <c:symbol val="none"/>
        </c:marker>
      </c:pivotFmt>
      <c:pivotFmt>
        <c:idx val="69"/>
        <c:marker>
          <c:symbol val="none"/>
        </c:marker>
      </c:pivotFmt>
      <c:pivotFmt>
        <c:idx val="70"/>
        <c:marker>
          <c:symbol val="none"/>
        </c:marker>
      </c:pivotFmt>
      <c:pivotFmt>
        <c:idx val="71"/>
        <c:marker>
          <c:symbol val="none"/>
        </c:marker>
      </c:pivotFmt>
      <c:pivotFmt>
        <c:idx val="72"/>
        <c:marker>
          <c:symbol val="none"/>
        </c:marker>
      </c:pivotFmt>
      <c:pivotFmt>
        <c:idx val="73"/>
        <c:marker>
          <c:symbol val="none"/>
        </c:marker>
      </c:pivotFmt>
      <c:pivotFmt>
        <c:idx val="74"/>
        <c:marker>
          <c:symbol val="none"/>
        </c:marker>
      </c:pivotFmt>
      <c:pivotFmt>
        <c:idx val="75"/>
        <c:marker>
          <c:symbol val="none"/>
        </c:marker>
      </c:pivotFmt>
      <c:pivotFmt>
        <c:idx val="76"/>
        <c:marker>
          <c:symbol val="none"/>
        </c:marker>
      </c:pivotFmt>
    </c:pivotFmts>
    <c:plotArea>
      <c:layout/>
      <c:lineChart>
        <c:grouping val="standard"/>
        <c:varyColors val="0"/>
        <c:ser>
          <c:idx val="0"/>
          <c:order val="0"/>
          <c:tx>
            <c:strRef>
              <c:f>Report_Unternehmen!$B$2:$B$3</c:f>
              <c:strCache>
                <c:ptCount val="1"/>
                <c:pt idx="0">
                  <c:v>Johnson &amp; Johnson</c:v>
                </c:pt>
              </c:strCache>
            </c:strRef>
          </c:tx>
          <c:marker>
            <c:symbol val="none"/>
          </c:marker>
          <c:dLbls>
            <c:spPr/>
            <c:txPr>
              <a:bodyPr/>
              <a:lstStyle/>
              <a:p>
                <a:pPr>
                  <a:defRPr/>
                </a:pPr>
                <a:endParaRPr lang="de-DE"/>
              </a:p>
            </c:txPr>
            <c:dLblPos val="t"/>
            <c:showLegendKey val="0"/>
            <c:showVal val="1"/>
            <c:showCatName val="0"/>
            <c:showSerName val="0"/>
            <c:showPercent val="0"/>
            <c:showBubbleSize val="0"/>
            <c:showLeaderLines val="0"/>
          </c:dLbls>
          <c:cat>
            <c:strRef>
              <c:f>Report_Unternehmen!$A$4:$A$16</c:f>
              <c:strCache>
                <c:ptCount val="13"/>
                <c:pt idx="0">
                  <c:v>Jahr+2</c:v>
                </c:pt>
                <c:pt idx="1">
                  <c:v>Jahr+1</c:v>
                </c:pt>
                <c:pt idx="2">
                  <c:v>Jahr+0</c:v>
                </c:pt>
                <c:pt idx="3">
                  <c:v>Jahr-1</c:v>
                </c:pt>
                <c:pt idx="4">
                  <c:v>Jahr-2</c:v>
                </c:pt>
                <c:pt idx="5">
                  <c:v>Jahr-3</c:v>
                </c:pt>
                <c:pt idx="6">
                  <c:v>Jahr-4</c:v>
                </c:pt>
                <c:pt idx="7">
                  <c:v>Jahr-5</c:v>
                </c:pt>
                <c:pt idx="8">
                  <c:v>Jahr-6</c:v>
                </c:pt>
                <c:pt idx="9">
                  <c:v>Jahr-7</c:v>
                </c:pt>
                <c:pt idx="10">
                  <c:v>Jahr-8</c:v>
                </c:pt>
                <c:pt idx="11">
                  <c:v>Jahr-9</c:v>
                </c:pt>
                <c:pt idx="12">
                  <c:v>Jahr-10</c:v>
                </c:pt>
              </c:strCache>
            </c:strRef>
          </c:cat>
          <c:val>
            <c:numRef>
              <c:f>Report_Unternehmen!$B$4:$B$16</c:f>
              <c:numCache>
                <c:formatCode>#,##0.00_ ;[Red]\-#,##0.00\ </c:formatCode>
                <c:ptCount val="13"/>
                <c:pt idx="0">
                  <c:v>15.450769230769232</c:v>
                </c:pt>
                <c:pt idx="1">
                  <c:v>16.600000000000001</c:v>
                </c:pt>
                <c:pt idx="2">
                  <c:v>17.784013605442176</c:v>
                </c:pt>
                <c:pt idx="3">
                  <c:v>16.061403508771928</c:v>
                </c:pt>
                <c:pt idx="4">
                  <c:v>12.341549295774648</c:v>
                </c:pt>
                <c:pt idx="5">
                  <c:v>14.770270270270268</c:v>
                </c:pt>
                <c:pt idx="6">
                  <c:v>13.867713004484305</c:v>
                </c:pt>
                <c:pt idx="7">
                  <c:v>13.474895397489538</c:v>
                </c:pt>
                <c:pt idx="8">
                  <c:v>13.597727272727271</c:v>
                </c:pt>
                <c:pt idx="9">
                  <c:v>14.595185995623632</c:v>
                </c:pt>
                <c:pt idx="10">
                  <c:v>18.203856749311296</c:v>
                </c:pt>
                <c:pt idx="11">
                  <c:v>16.112600536193028</c:v>
                </c:pt>
                <c:pt idx="12">
                  <c:v>18.329479768786129</c:v>
                </c:pt>
              </c:numCache>
            </c:numRef>
          </c:val>
          <c:smooth val="0"/>
        </c:ser>
        <c:dLbls>
          <c:dLblPos val="t"/>
          <c:showLegendKey val="0"/>
          <c:showVal val="1"/>
          <c:showCatName val="0"/>
          <c:showSerName val="0"/>
          <c:showPercent val="0"/>
          <c:showBubbleSize val="0"/>
        </c:dLbls>
        <c:marker val="1"/>
        <c:smooth val="0"/>
        <c:axId val="103072512"/>
        <c:axId val="103461248"/>
      </c:lineChart>
      <c:catAx>
        <c:axId val="103072512"/>
        <c:scaling>
          <c:orientation val="maxMin"/>
        </c:scaling>
        <c:delete val="0"/>
        <c:axPos val="b"/>
        <c:majorGridlines/>
        <c:majorTickMark val="out"/>
        <c:minorTickMark val="none"/>
        <c:tickLblPos val="nextTo"/>
        <c:crossAx val="103461248"/>
        <c:crosses val="autoZero"/>
        <c:auto val="1"/>
        <c:lblAlgn val="ctr"/>
        <c:lblOffset val="100"/>
        <c:noMultiLvlLbl val="0"/>
      </c:catAx>
      <c:valAx>
        <c:axId val="103461248"/>
        <c:scaling>
          <c:orientation val="minMax"/>
        </c:scaling>
        <c:delete val="0"/>
        <c:axPos val="r"/>
        <c:majorGridlines/>
        <c:numFmt formatCode="#,##0.00_ ;[Red]\-#,##0.00\ " sourceLinked="1"/>
        <c:majorTickMark val="out"/>
        <c:minorTickMark val="none"/>
        <c:tickLblPos val="nextTo"/>
        <c:crossAx val="103072512"/>
        <c:crosses val="autoZero"/>
        <c:crossBetween val="between"/>
      </c:valAx>
    </c:plotArea>
    <c:plotVisOnly val="1"/>
    <c:dispBlanksAs val="gap"/>
    <c:showDLblsOverMax val="0"/>
  </c:chart>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[Aktien Bewertung.xlsx]Report_Unternehmen!PivotTable3</c:name>
    <c:fmtId val="0"/>
  </c:pivotSource>
  <c:chart>
    <c:autoTitleDeleted val="1"/>
    <c:pivotFmts>
      <c:pivotFmt>
        <c:idx val="0"/>
        <c:marker>
          <c:symbol val="none"/>
        </c:marker>
        <c:dLbl>
          <c:idx val="0"/>
          <c:spPr/>
          <c:txPr>
            <a:bodyPr/>
            <a:lstStyle/>
            <a:p>
              <a:pPr>
                <a:defRPr/>
              </a:pPr>
              <a:endParaRPr lang="de-DE"/>
            </a:p>
          </c:txPr>
          <c:dLblPos val="t"/>
          <c:showLegendKey val="0"/>
          <c:showVal val="1"/>
          <c:showCatName val="0"/>
          <c:showSerName val="0"/>
          <c:showPercent val="0"/>
          <c:showBubbleSize val="0"/>
        </c:dLbl>
      </c:pivotFmt>
    </c:pivotFmts>
    <c:plotArea>
      <c:layout/>
      <c:lineChart>
        <c:grouping val="standard"/>
        <c:varyColors val="0"/>
        <c:ser>
          <c:idx val="0"/>
          <c:order val="0"/>
          <c:tx>
            <c:strRef>
              <c:f>Report_Unternehmen!$B$19:$B$20</c:f>
              <c:strCache>
                <c:ptCount val="1"/>
                <c:pt idx="0">
                  <c:v>Johnson &amp; Johnson</c:v>
                </c:pt>
              </c:strCache>
            </c:strRef>
          </c:tx>
          <c:marker>
            <c:symbol val="none"/>
          </c:marker>
          <c:dLbls>
            <c:spPr/>
            <c:txPr>
              <a:bodyPr/>
              <a:lstStyle/>
              <a:p>
                <a:pPr>
                  <a:defRPr/>
                </a:pPr>
                <a:endParaRPr lang="de-DE"/>
              </a:p>
            </c:txPr>
            <c:dLblPos val="t"/>
            <c:showLegendKey val="0"/>
            <c:showVal val="1"/>
            <c:showCatName val="0"/>
            <c:showSerName val="0"/>
            <c:showPercent val="0"/>
            <c:showBubbleSize val="0"/>
            <c:showLeaderLines val="0"/>
          </c:dLbls>
          <c:cat>
            <c:strRef>
              <c:f>Report_Unternehmen!$A$21:$A$33</c:f>
              <c:strCache>
                <c:ptCount val="13"/>
                <c:pt idx="0">
                  <c:v>Jahr+2</c:v>
                </c:pt>
                <c:pt idx="1">
                  <c:v>Jahr+1</c:v>
                </c:pt>
                <c:pt idx="2">
                  <c:v>Jahr+0</c:v>
                </c:pt>
                <c:pt idx="3">
                  <c:v>Jahr-1</c:v>
                </c:pt>
                <c:pt idx="4">
                  <c:v>Jahr-2</c:v>
                </c:pt>
                <c:pt idx="5">
                  <c:v>Jahr-3</c:v>
                </c:pt>
                <c:pt idx="6">
                  <c:v>Jahr-4</c:v>
                </c:pt>
                <c:pt idx="7">
                  <c:v>Jahr-5</c:v>
                </c:pt>
                <c:pt idx="8">
                  <c:v>Jahr-6</c:v>
                </c:pt>
                <c:pt idx="9">
                  <c:v>Jahr-7</c:v>
                </c:pt>
                <c:pt idx="10">
                  <c:v>Jahr-8</c:v>
                </c:pt>
                <c:pt idx="11">
                  <c:v>Jahr-9</c:v>
                </c:pt>
                <c:pt idx="12">
                  <c:v>Jahr-10</c:v>
                </c:pt>
              </c:strCache>
            </c:strRef>
          </c:cat>
          <c:val>
            <c:numRef>
              <c:f>Report_Unternehmen!$B$21:$B$33</c:f>
              <c:numCache>
                <c:formatCode>#,##0.00_ ;[Red]\-#,##0.00\ </c:formatCode>
                <c:ptCount val="13"/>
                <c:pt idx="0">
                  <c:v>6.5</c:v>
                </c:pt>
                <c:pt idx="1">
                  <c:v>6.05</c:v>
                </c:pt>
                <c:pt idx="2">
                  <c:v>5.88</c:v>
                </c:pt>
                <c:pt idx="3">
                  <c:v>5.7</c:v>
                </c:pt>
                <c:pt idx="4">
                  <c:v>5.68</c:v>
                </c:pt>
                <c:pt idx="5">
                  <c:v>4.4400000000000004</c:v>
                </c:pt>
                <c:pt idx="6">
                  <c:v>4.46</c:v>
                </c:pt>
                <c:pt idx="7">
                  <c:v>4.78</c:v>
                </c:pt>
                <c:pt idx="8">
                  <c:v>4.4000000000000004</c:v>
                </c:pt>
                <c:pt idx="9">
                  <c:v>4.57</c:v>
                </c:pt>
                <c:pt idx="10">
                  <c:v>3.63</c:v>
                </c:pt>
                <c:pt idx="11">
                  <c:v>3.73</c:v>
                </c:pt>
                <c:pt idx="12">
                  <c:v>3.46</c:v>
                </c:pt>
              </c:numCache>
            </c:numRef>
          </c:val>
          <c:smooth val="0"/>
        </c:ser>
        <c:dLbls>
          <c:showLegendKey val="0"/>
          <c:showVal val="0"/>
          <c:showCatName val="0"/>
          <c:showSerName val="0"/>
          <c:showPercent val="0"/>
          <c:showBubbleSize val="0"/>
        </c:dLbls>
        <c:marker val="1"/>
        <c:smooth val="0"/>
        <c:axId val="105677568"/>
        <c:axId val="105679104"/>
      </c:lineChart>
      <c:catAx>
        <c:axId val="105677568"/>
        <c:scaling>
          <c:orientation val="maxMin"/>
        </c:scaling>
        <c:delete val="0"/>
        <c:axPos val="b"/>
        <c:majorGridlines/>
        <c:majorTickMark val="out"/>
        <c:minorTickMark val="none"/>
        <c:tickLblPos val="nextTo"/>
        <c:crossAx val="105679104"/>
        <c:crosses val="autoZero"/>
        <c:auto val="1"/>
        <c:lblAlgn val="ctr"/>
        <c:lblOffset val="100"/>
        <c:noMultiLvlLbl val="0"/>
      </c:catAx>
      <c:valAx>
        <c:axId val="105679104"/>
        <c:scaling>
          <c:orientation val="minMax"/>
        </c:scaling>
        <c:delete val="0"/>
        <c:axPos val="r"/>
        <c:majorGridlines/>
        <c:numFmt formatCode="#,##0.00_ ;[Red]\-#,##0.00\ " sourceLinked="1"/>
        <c:majorTickMark val="out"/>
        <c:minorTickMark val="none"/>
        <c:tickLblPos val="nextTo"/>
        <c:crossAx val="105677568"/>
        <c:crosses val="autoZero"/>
        <c:crossBetween val="between"/>
      </c:valAx>
    </c:plotArea>
    <c:plotVisOnly val="1"/>
    <c:dispBlanksAs val="gap"/>
    <c:showDLblsOverMax val="0"/>
  </c:chart>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[Aktien Bewertung.xlsx]Report_Unternehmen!PivotTable4</c:name>
    <c:fmtId val="0"/>
  </c:pivotSource>
  <c:chart>
    <c:autoTitleDeleted val="1"/>
    <c:pivotFmts>
      <c:pivotFmt>
        <c:idx val="0"/>
        <c:marker>
          <c:symbol val="none"/>
        </c:marker>
        <c:dLbl>
          <c:idx val="0"/>
          <c:spPr/>
          <c:txPr>
            <a:bodyPr/>
            <a:lstStyle/>
            <a:p>
              <a:pPr>
                <a:defRPr/>
              </a:pPr>
              <a:endParaRPr lang="de-DE"/>
            </a:p>
          </c:txPr>
          <c:dLblPos val="t"/>
          <c:showLegendKey val="0"/>
          <c:showVal val="1"/>
          <c:showCatName val="0"/>
          <c:showSerName val="0"/>
          <c:showPercent val="0"/>
          <c:showBubbleSize val="0"/>
        </c:dLbl>
      </c:pivotFmt>
    </c:pivotFmts>
    <c:plotArea>
      <c:layout/>
      <c:lineChart>
        <c:grouping val="standard"/>
        <c:varyColors val="0"/>
        <c:ser>
          <c:idx val="0"/>
          <c:order val="0"/>
          <c:tx>
            <c:strRef>
              <c:f>Report_Unternehmen!$B$36:$B$37</c:f>
              <c:strCache>
                <c:ptCount val="1"/>
                <c:pt idx="0">
                  <c:v>Johnson &amp; Johnson</c:v>
                </c:pt>
              </c:strCache>
            </c:strRef>
          </c:tx>
          <c:marker>
            <c:symbol val="none"/>
          </c:marker>
          <c:dLbls>
            <c:spPr/>
            <c:txPr>
              <a:bodyPr/>
              <a:lstStyle/>
              <a:p>
                <a:pPr>
                  <a:defRPr/>
                </a:pPr>
                <a:endParaRPr lang="de-DE"/>
              </a:p>
            </c:txPr>
            <c:dLblPos val="t"/>
            <c:showLegendKey val="0"/>
            <c:showVal val="1"/>
            <c:showCatName val="0"/>
            <c:showSerName val="0"/>
            <c:showPercent val="0"/>
            <c:showBubbleSize val="0"/>
            <c:showLeaderLines val="0"/>
          </c:dLbls>
          <c:cat>
            <c:strRef>
              <c:f>Report_Unternehmen!$A$38:$A$50</c:f>
              <c:strCache>
                <c:ptCount val="13"/>
                <c:pt idx="0">
                  <c:v>Jahr+2</c:v>
                </c:pt>
                <c:pt idx="1">
                  <c:v>Jahr+1</c:v>
                </c:pt>
                <c:pt idx="2">
                  <c:v>Jahr+0</c:v>
                </c:pt>
                <c:pt idx="3">
                  <c:v>Jahr-1</c:v>
                </c:pt>
                <c:pt idx="4">
                  <c:v>Jahr-2</c:v>
                </c:pt>
                <c:pt idx="5">
                  <c:v>Jahr-3</c:v>
                </c:pt>
                <c:pt idx="6">
                  <c:v>Jahr-4</c:v>
                </c:pt>
                <c:pt idx="7">
                  <c:v>Jahr-5</c:v>
                </c:pt>
                <c:pt idx="8">
                  <c:v>Jahr-6</c:v>
                </c:pt>
                <c:pt idx="9">
                  <c:v>Jahr-7</c:v>
                </c:pt>
                <c:pt idx="10">
                  <c:v>Jahr-8</c:v>
                </c:pt>
                <c:pt idx="11">
                  <c:v>Jahr-9</c:v>
                </c:pt>
                <c:pt idx="12">
                  <c:v>Jahr-10</c:v>
                </c:pt>
              </c:strCache>
            </c:strRef>
          </c:cat>
          <c:val>
            <c:numRef>
              <c:f>Report_Unternehmen!$B$38:$B$50</c:f>
              <c:numCache>
                <c:formatCode>#,##0.00_ ;[Red]\-#,##0.00\ </c:formatCode>
                <c:ptCount val="13"/>
                <c:pt idx="0">
                  <c:v>34.9</c:v>
                </c:pt>
                <c:pt idx="1">
                  <c:v>29.8</c:v>
                </c:pt>
                <c:pt idx="2">
                  <c:v>26.7</c:v>
                </c:pt>
                <c:pt idx="3">
                  <c:v>25.06</c:v>
                </c:pt>
                <c:pt idx="4">
                  <c:v>26.25</c:v>
                </c:pt>
                <c:pt idx="5">
                  <c:v>23.33</c:v>
                </c:pt>
                <c:pt idx="6">
                  <c:v>20.95</c:v>
                </c:pt>
                <c:pt idx="7">
                  <c:v>20.66</c:v>
                </c:pt>
                <c:pt idx="8">
                  <c:v>18.37</c:v>
                </c:pt>
                <c:pt idx="9">
                  <c:v>15.35</c:v>
                </c:pt>
                <c:pt idx="10">
                  <c:v>15.25</c:v>
                </c:pt>
                <c:pt idx="11">
                  <c:v>13.59</c:v>
                </c:pt>
                <c:pt idx="12">
                  <c:v>12.73</c:v>
                </c:pt>
              </c:numCache>
            </c:numRef>
          </c:val>
          <c:smooth val="0"/>
        </c:ser>
        <c:dLbls>
          <c:showLegendKey val="0"/>
          <c:showVal val="0"/>
          <c:showCatName val="0"/>
          <c:showSerName val="0"/>
          <c:showPercent val="0"/>
          <c:showBubbleSize val="0"/>
        </c:dLbls>
        <c:marker val="1"/>
        <c:smooth val="0"/>
        <c:axId val="134523904"/>
        <c:axId val="143758080"/>
      </c:lineChart>
      <c:catAx>
        <c:axId val="134523904"/>
        <c:scaling>
          <c:orientation val="maxMin"/>
        </c:scaling>
        <c:delete val="0"/>
        <c:axPos val="b"/>
        <c:majorGridlines/>
        <c:majorTickMark val="out"/>
        <c:minorTickMark val="none"/>
        <c:tickLblPos val="nextTo"/>
        <c:crossAx val="143758080"/>
        <c:crosses val="autoZero"/>
        <c:auto val="1"/>
        <c:lblAlgn val="ctr"/>
        <c:lblOffset val="100"/>
        <c:noMultiLvlLbl val="0"/>
      </c:catAx>
      <c:valAx>
        <c:axId val="143758080"/>
        <c:scaling>
          <c:orientation val="minMax"/>
        </c:scaling>
        <c:delete val="0"/>
        <c:axPos val="r"/>
        <c:majorGridlines/>
        <c:numFmt formatCode="#,##0.00_ ;[Red]\-#,##0.00\ " sourceLinked="1"/>
        <c:majorTickMark val="out"/>
        <c:minorTickMark val="none"/>
        <c:tickLblPos val="nextTo"/>
        <c:crossAx val="134523904"/>
        <c:crosses val="autoZero"/>
        <c:crossBetween val="between"/>
      </c:valAx>
    </c:plotArea>
    <c:plotVisOnly val="1"/>
    <c:dispBlanksAs val="gap"/>
    <c:showDLblsOverMax val="0"/>
  </c:chart>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[Aktien Bewertung.xlsx]Report_Unternehmen!PivotTable5</c:name>
    <c:fmtId val="0"/>
  </c:pivotSource>
  <c:chart>
    <c:autoTitleDeleted val="1"/>
    <c:pivotFmts>
      <c:pivotFmt>
        <c:idx val="0"/>
        <c:marker>
          <c:symbol val="none"/>
        </c:marker>
        <c:dLbl>
          <c:idx val="0"/>
          <c:spPr/>
          <c:txPr>
            <a:bodyPr/>
            <a:lstStyle/>
            <a:p>
              <a:pPr>
                <a:defRPr/>
              </a:pPr>
              <a:endParaRPr lang="de-DE"/>
            </a:p>
          </c:txPr>
          <c:dLblPos val="t"/>
          <c:showLegendKey val="0"/>
          <c:showVal val="1"/>
          <c:showCatName val="0"/>
          <c:showSerName val="0"/>
          <c:showPercent val="0"/>
          <c:showBubbleSize val="0"/>
        </c:dLbl>
      </c:pivotFmt>
    </c:pivotFmts>
    <c:plotArea>
      <c:layout/>
      <c:lineChart>
        <c:grouping val="standard"/>
        <c:varyColors val="0"/>
        <c:ser>
          <c:idx val="0"/>
          <c:order val="0"/>
          <c:tx>
            <c:strRef>
              <c:f>Report_Unternehmen!$E$2:$E$3</c:f>
              <c:strCache>
                <c:ptCount val="1"/>
                <c:pt idx="0">
                  <c:v>Johnson &amp; Johnson</c:v>
                </c:pt>
              </c:strCache>
            </c:strRef>
          </c:tx>
          <c:marker>
            <c:symbol val="none"/>
          </c:marker>
          <c:dLbls>
            <c:spPr/>
            <c:txPr>
              <a:bodyPr/>
              <a:lstStyle/>
              <a:p>
                <a:pPr>
                  <a:defRPr/>
                </a:pPr>
                <a:endParaRPr lang="de-DE"/>
              </a:p>
            </c:txPr>
            <c:dLblPos val="t"/>
            <c:showLegendKey val="0"/>
            <c:showVal val="1"/>
            <c:showCatName val="0"/>
            <c:showSerName val="0"/>
            <c:showPercent val="0"/>
            <c:showBubbleSize val="0"/>
            <c:showLeaderLines val="0"/>
          </c:dLbls>
          <c:cat>
            <c:strRef>
              <c:f>Report_Unternehmen!$D$4:$D$14</c:f>
              <c:strCache>
                <c:ptCount val="11"/>
                <c:pt idx="0">
                  <c:v>Jahr-0</c:v>
                </c:pt>
                <c:pt idx="1">
                  <c:v>Jahr-1</c:v>
                </c:pt>
                <c:pt idx="2">
                  <c:v>Jahr-2</c:v>
                </c:pt>
                <c:pt idx="3">
                  <c:v>Jahr-3</c:v>
                </c:pt>
                <c:pt idx="4">
                  <c:v>Jahr-4</c:v>
                </c:pt>
                <c:pt idx="5">
                  <c:v>Jahr-5</c:v>
                </c:pt>
                <c:pt idx="6">
                  <c:v>Jahr-6</c:v>
                </c:pt>
                <c:pt idx="7">
                  <c:v>Jahr-7</c:v>
                </c:pt>
                <c:pt idx="8">
                  <c:v>Jahr-8</c:v>
                </c:pt>
                <c:pt idx="9">
                  <c:v>Jahr-9</c:v>
                </c:pt>
                <c:pt idx="10">
                  <c:v>Jahr-10</c:v>
                </c:pt>
              </c:strCache>
            </c:strRef>
          </c:cat>
          <c:val>
            <c:numRef>
              <c:f>Report_Unternehmen!$E$4:$E$14</c:f>
              <c:numCache>
                <c:formatCode>#,##0.00_ ;[Red]\-#,##0.00\ </c:formatCode>
                <c:ptCount val="11"/>
                <c:pt idx="1">
                  <c:v>2783</c:v>
                </c:pt>
                <c:pt idx="2">
                  <c:v>2821</c:v>
                </c:pt>
                <c:pt idx="3">
                  <c:v>2778</c:v>
                </c:pt>
                <c:pt idx="4">
                  <c:v>2724</c:v>
                </c:pt>
                <c:pt idx="5">
                  <c:v>2738</c:v>
                </c:pt>
                <c:pt idx="6">
                  <c:v>2754</c:v>
                </c:pt>
                <c:pt idx="7">
                  <c:v>2769</c:v>
                </c:pt>
                <c:pt idx="8">
                  <c:v>2840</c:v>
                </c:pt>
                <c:pt idx="9">
                  <c:v>2893</c:v>
                </c:pt>
                <c:pt idx="10">
                  <c:v>2975</c:v>
                </c:pt>
              </c:numCache>
            </c:numRef>
          </c:val>
          <c:smooth val="0"/>
        </c:ser>
        <c:dLbls>
          <c:showLegendKey val="0"/>
          <c:showVal val="0"/>
          <c:showCatName val="0"/>
          <c:showSerName val="0"/>
          <c:showPercent val="0"/>
          <c:showBubbleSize val="0"/>
        </c:dLbls>
        <c:marker val="1"/>
        <c:smooth val="0"/>
        <c:axId val="150188032"/>
        <c:axId val="150190720"/>
      </c:lineChart>
      <c:catAx>
        <c:axId val="150188032"/>
        <c:scaling>
          <c:orientation val="maxMin"/>
        </c:scaling>
        <c:delete val="0"/>
        <c:axPos val="b"/>
        <c:majorGridlines/>
        <c:majorTickMark val="out"/>
        <c:minorTickMark val="none"/>
        <c:tickLblPos val="nextTo"/>
        <c:crossAx val="150190720"/>
        <c:crosses val="autoZero"/>
        <c:auto val="1"/>
        <c:lblAlgn val="ctr"/>
        <c:lblOffset val="100"/>
        <c:noMultiLvlLbl val="0"/>
      </c:catAx>
      <c:valAx>
        <c:axId val="150190720"/>
        <c:scaling>
          <c:orientation val="minMax"/>
        </c:scaling>
        <c:delete val="0"/>
        <c:axPos val="r"/>
        <c:majorGridlines/>
        <c:numFmt formatCode="#,##0.00_ ;[Red]\-#,##0.00\ " sourceLinked="1"/>
        <c:majorTickMark val="out"/>
        <c:minorTickMark val="none"/>
        <c:tickLblPos val="nextTo"/>
        <c:crossAx val="150188032"/>
        <c:crosses val="autoZero"/>
        <c:crossBetween val="between"/>
      </c:valAx>
    </c:plotArea>
    <c:plotVisOnly val="1"/>
    <c:dispBlanksAs val="gap"/>
    <c:showDLblsOverMax val="0"/>
  </c:chart>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[Aktien Bewertung.xlsx]Report_Unternehmen!PivotTable6</c:name>
    <c:fmtId val="0"/>
  </c:pivotSource>
  <c:chart>
    <c:autoTitleDeleted val="1"/>
    <c:pivotFmts>
      <c:pivotFmt>
        <c:idx val="0"/>
        <c:marker>
          <c:symbol val="none"/>
        </c:marker>
        <c:dLbl>
          <c:idx val="0"/>
          <c:spPr/>
          <c:txPr>
            <a:bodyPr/>
            <a:lstStyle/>
            <a:p>
              <a:pPr>
                <a:defRPr/>
              </a:pPr>
              <a:endParaRPr lang="de-DE"/>
            </a:p>
          </c:txPr>
          <c:dLblPos val="t"/>
          <c:showLegendKey val="0"/>
          <c:showVal val="1"/>
          <c:showCatName val="0"/>
          <c:showSerName val="0"/>
          <c:showPercent val="0"/>
          <c:showBubbleSize val="0"/>
        </c:dLbl>
      </c:pivotFmt>
    </c:pivotFmts>
    <c:plotArea>
      <c:layout/>
      <c:lineChart>
        <c:grouping val="standard"/>
        <c:varyColors val="0"/>
        <c:ser>
          <c:idx val="0"/>
          <c:order val="0"/>
          <c:tx>
            <c:strRef>
              <c:f>Report_Unternehmen!$E$18:$E$19</c:f>
              <c:strCache>
                <c:ptCount val="1"/>
                <c:pt idx="0">
                  <c:v>Johnson &amp; Johnson</c:v>
                </c:pt>
              </c:strCache>
            </c:strRef>
          </c:tx>
          <c:marker>
            <c:symbol val="none"/>
          </c:marker>
          <c:dLbls>
            <c:spPr/>
            <c:txPr>
              <a:bodyPr/>
              <a:lstStyle/>
              <a:p>
                <a:pPr>
                  <a:defRPr/>
                </a:pPr>
                <a:endParaRPr lang="de-DE"/>
              </a:p>
            </c:txPr>
            <c:dLblPos val="t"/>
            <c:showLegendKey val="0"/>
            <c:showVal val="1"/>
            <c:showCatName val="0"/>
            <c:showSerName val="0"/>
            <c:showPercent val="0"/>
            <c:showBubbleSize val="0"/>
            <c:showLeaderLines val="0"/>
          </c:dLbls>
          <c:cat>
            <c:strRef>
              <c:f>Report_Unternehmen!$D$20:$D$33</c:f>
              <c:strCache>
                <c:ptCount val="14"/>
                <c:pt idx="0">
                  <c:v>Jahr+2</c:v>
                </c:pt>
                <c:pt idx="1">
                  <c:v>Jahr+1</c:v>
                </c:pt>
                <c:pt idx="2">
                  <c:v>Jahr+0</c:v>
                </c:pt>
                <c:pt idx="3">
                  <c:v>Jahr-1</c:v>
                </c:pt>
                <c:pt idx="4">
                  <c:v>Jahr-2</c:v>
                </c:pt>
                <c:pt idx="5">
                  <c:v>Jahr-3</c:v>
                </c:pt>
                <c:pt idx="6">
                  <c:v>Jahr-4</c:v>
                </c:pt>
                <c:pt idx="7">
                  <c:v>Jahr-5</c:v>
                </c:pt>
                <c:pt idx="8">
                  <c:v>Jahr-6</c:v>
                </c:pt>
                <c:pt idx="9">
                  <c:v>Jahr-7</c:v>
                </c:pt>
                <c:pt idx="10">
                  <c:v>Jahr-8</c:v>
                </c:pt>
                <c:pt idx="11">
                  <c:v>Jahr-9</c:v>
                </c:pt>
                <c:pt idx="12">
                  <c:v>Jahr-10</c:v>
                </c:pt>
                <c:pt idx="13">
                  <c:v>Jahr-11</c:v>
                </c:pt>
              </c:strCache>
            </c:strRef>
          </c:cat>
          <c:val>
            <c:numRef>
              <c:f>Report_Unternehmen!$E$20:$E$33</c:f>
              <c:numCache>
                <c:formatCode>#,##0.00_ ;[Red]\-#,##0.00\ </c:formatCode>
                <c:ptCount val="14"/>
                <c:pt idx="0">
                  <c:v>3.33</c:v>
                </c:pt>
                <c:pt idx="1">
                  <c:v>3.08</c:v>
                </c:pt>
                <c:pt idx="2">
                  <c:v>2.91</c:v>
                </c:pt>
                <c:pt idx="3">
                  <c:v>2.76</c:v>
                </c:pt>
                <c:pt idx="4">
                  <c:v>2.59</c:v>
                </c:pt>
                <c:pt idx="5">
                  <c:v>2.4</c:v>
                </c:pt>
                <c:pt idx="6">
                  <c:v>2.25</c:v>
                </c:pt>
                <c:pt idx="7">
                  <c:v>2.11</c:v>
                </c:pt>
                <c:pt idx="8">
                  <c:v>1.93</c:v>
                </c:pt>
                <c:pt idx="9">
                  <c:v>1.79</c:v>
                </c:pt>
                <c:pt idx="10">
                  <c:v>1.62</c:v>
                </c:pt>
                <c:pt idx="11">
                  <c:v>1.46</c:v>
                </c:pt>
                <c:pt idx="12">
                  <c:v>1.27</c:v>
                </c:pt>
                <c:pt idx="13">
                  <c:v>1.0900000000000001</c:v>
                </c:pt>
              </c:numCache>
            </c:numRef>
          </c:val>
          <c:smooth val="0"/>
        </c:ser>
        <c:dLbls>
          <c:dLblPos val="t"/>
          <c:showLegendKey val="0"/>
          <c:showVal val="1"/>
          <c:showCatName val="0"/>
          <c:showSerName val="0"/>
          <c:showPercent val="0"/>
          <c:showBubbleSize val="0"/>
        </c:dLbls>
        <c:marker val="1"/>
        <c:smooth val="0"/>
        <c:axId val="158386048"/>
        <c:axId val="166124544"/>
      </c:lineChart>
      <c:catAx>
        <c:axId val="158386048"/>
        <c:scaling>
          <c:orientation val="maxMin"/>
        </c:scaling>
        <c:delete val="0"/>
        <c:axPos val="b"/>
        <c:majorGridlines/>
        <c:majorTickMark val="out"/>
        <c:minorTickMark val="none"/>
        <c:tickLblPos val="nextTo"/>
        <c:crossAx val="166124544"/>
        <c:crosses val="autoZero"/>
        <c:auto val="1"/>
        <c:lblAlgn val="ctr"/>
        <c:lblOffset val="100"/>
        <c:noMultiLvlLbl val="0"/>
      </c:catAx>
      <c:valAx>
        <c:axId val="166124544"/>
        <c:scaling>
          <c:orientation val="minMax"/>
        </c:scaling>
        <c:delete val="0"/>
        <c:axPos val="r"/>
        <c:majorGridlines/>
        <c:numFmt formatCode="#,##0.00_ ;[Red]\-#,##0.00\ " sourceLinked="1"/>
        <c:majorTickMark val="out"/>
        <c:minorTickMark val="none"/>
        <c:tickLblPos val="nextTo"/>
        <c:crossAx val="158386048"/>
        <c:crosses val="autoZero"/>
        <c:crossBetween val="between"/>
      </c:valAx>
    </c:plotArea>
    <c:plotVisOnly val="1"/>
    <c:dispBlanksAs val="gap"/>
    <c:showDLblsOverMax val="0"/>
  </c:chart>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[Aktien Bewertung.xlsx]Report_Unternehmen!PivotTable7</c:name>
    <c:fmtId val="0"/>
  </c:pivotSource>
  <c:chart>
    <c:autoTitleDeleted val="1"/>
    <c:pivotFmts>
      <c:pivotFmt>
        <c:idx val="0"/>
        <c:marker>
          <c:symbol val="none"/>
        </c:marker>
        <c:dLbl>
          <c:idx val="0"/>
          <c:spPr/>
          <c:txPr>
            <a:bodyPr/>
            <a:lstStyle/>
            <a:p>
              <a:pPr>
                <a:defRPr/>
              </a:pPr>
              <a:endParaRPr lang="de-DE"/>
            </a:p>
          </c:txPr>
          <c:dLblPos val="t"/>
          <c:showLegendKey val="0"/>
          <c:showVal val="1"/>
          <c:showCatName val="0"/>
          <c:showSerName val="0"/>
          <c:showPercent val="0"/>
          <c:showBubbleSize val="0"/>
        </c:dLbl>
      </c:pivotFmt>
    </c:pivotFmts>
    <c:plotArea>
      <c:layout/>
      <c:lineChart>
        <c:grouping val="standard"/>
        <c:varyColors val="0"/>
        <c:ser>
          <c:idx val="0"/>
          <c:order val="0"/>
          <c:tx>
            <c:strRef>
              <c:f>Report_Unternehmen!$E$36:$E$37</c:f>
              <c:strCache>
                <c:ptCount val="1"/>
                <c:pt idx="0">
                  <c:v>Johnson &amp; Johnson</c:v>
                </c:pt>
              </c:strCache>
            </c:strRef>
          </c:tx>
          <c:marker>
            <c:symbol val="none"/>
          </c:marker>
          <c:dLbls>
            <c:spPr/>
            <c:txPr>
              <a:bodyPr/>
              <a:lstStyle/>
              <a:p>
                <a:pPr>
                  <a:defRPr/>
                </a:pPr>
                <a:endParaRPr lang="de-DE"/>
              </a:p>
            </c:txPr>
            <c:dLblPos val="t"/>
            <c:showLegendKey val="0"/>
            <c:showVal val="1"/>
            <c:showCatName val="0"/>
            <c:showSerName val="0"/>
            <c:showPercent val="0"/>
            <c:showBubbleSize val="0"/>
            <c:showLeaderLines val="0"/>
          </c:dLbls>
          <c:cat>
            <c:strRef>
              <c:f>Report_Unternehmen!$D$38:$D$50</c:f>
              <c:strCache>
                <c:ptCount val="13"/>
                <c:pt idx="0">
                  <c:v>Jahr+2</c:v>
                </c:pt>
                <c:pt idx="1">
                  <c:v>Jahr+1</c:v>
                </c:pt>
                <c:pt idx="2">
                  <c:v>Jahr+0</c:v>
                </c:pt>
                <c:pt idx="3">
                  <c:v>Jahr-1</c:v>
                </c:pt>
                <c:pt idx="4">
                  <c:v>Jahr-2</c:v>
                </c:pt>
                <c:pt idx="5">
                  <c:v>Jahr-3</c:v>
                </c:pt>
                <c:pt idx="6">
                  <c:v>Jahr-4</c:v>
                </c:pt>
                <c:pt idx="7">
                  <c:v>Jahr-5</c:v>
                </c:pt>
                <c:pt idx="8">
                  <c:v>Jahr-6</c:v>
                </c:pt>
                <c:pt idx="9">
                  <c:v>Jahr-7</c:v>
                </c:pt>
                <c:pt idx="10">
                  <c:v>Jahr-8</c:v>
                </c:pt>
                <c:pt idx="11">
                  <c:v>Jahr-9</c:v>
                </c:pt>
                <c:pt idx="12">
                  <c:v>Jahr-10</c:v>
                </c:pt>
              </c:strCache>
            </c:strRef>
          </c:cat>
          <c:val>
            <c:numRef>
              <c:f>Report_Unternehmen!$E$38:$E$50</c:f>
              <c:numCache>
                <c:formatCode>0.00%</c:formatCode>
                <c:ptCount val="13"/>
                <c:pt idx="0">
                  <c:v>0.51230769230769235</c:v>
                </c:pt>
                <c:pt idx="1">
                  <c:v>0.50909090909090915</c:v>
                </c:pt>
                <c:pt idx="2">
                  <c:v>0.49489795918367352</c:v>
                </c:pt>
                <c:pt idx="3">
                  <c:v>0.48421052631578942</c:v>
                </c:pt>
                <c:pt idx="4">
                  <c:v>0.45598591549295775</c:v>
                </c:pt>
                <c:pt idx="5">
                  <c:v>0.54054054054054046</c:v>
                </c:pt>
                <c:pt idx="6">
                  <c:v>0.50448430493273544</c:v>
                </c:pt>
                <c:pt idx="7">
                  <c:v>0.44142259414225937</c:v>
                </c:pt>
                <c:pt idx="8">
                  <c:v>0.4386363636363636</c:v>
                </c:pt>
                <c:pt idx="9">
                  <c:v>0.39168490153172864</c:v>
                </c:pt>
                <c:pt idx="10">
                  <c:v>0.44628099173553726</c:v>
                </c:pt>
                <c:pt idx="11">
                  <c:v>0.39142091152815012</c:v>
                </c:pt>
                <c:pt idx="12">
                  <c:v>0.36705202312138729</c:v>
                </c:pt>
              </c:numCache>
            </c:numRef>
          </c:val>
          <c:smooth val="0"/>
        </c:ser>
        <c:dLbls>
          <c:showLegendKey val="0"/>
          <c:showVal val="0"/>
          <c:showCatName val="0"/>
          <c:showSerName val="0"/>
          <c:showPercent val="0"/>
          <c:showBubbleSize val="0"/>
        </c:dLbls>
        <c:marker val="1"/>
        <c:smooth val="0"/>
        <c:axId val="83906560"/>
        <c:axId val="83908096"/>
      </c:lineChart>
      <c:catAx>
        <c:axId val="83906560"/>
        <c:scaling>
          <c:orientation val="maxMin"/>
        </c:scaling>
        <c:delete val="0"/>
        <c:axPos val="b"/>
        <c:majorGridlines/>
        <c:majorTickMark val="out"/>
        <c:minorTickMark val="none"/>
        <c:tickLblPos val="nextTo"/>
        <c:crossAx val="83908096"/>
        <c:crosses val="autoZero"/>
        <c:auto val="1"/>
        <c:lblAlgn val="ctr"/>
        <c:lblOffset val="100"/>
        <c:noMultiLvlLbl val="0"/>
      </c:catAx>
      <c:valAx>
        <c:axId val="83908096"/>
        <c:scaling>
          <c:orientation val="minMax"/>
        </c:scaling>
        <c:delete val="0"/>
        <c:axPos val="r"/>
        <c:majorGridlines/>
        <c:numFmt formatCode="0.00%" sourceLinked="1"/>
        <c:majorTickMark val="out"/>
        <c:minorTickMark val="none"/>
        <c:tickLblPos val="nextTo"/>
        <c:crossAx val="83906560"/>
        <c:crosses val="autoZero"/>
        <c:crossBetween val="between"/>
      </c:valAx>
    </c:plotArea>
    <c:plotVisOnly val="1"/>
    <c:dispBlanksAs val="gap"/>
    <c:showDLblsOverMax val="0"/>
  </c:chart>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28574</xdr:colOff>
      <xdr:row>0</xdr:row>
      <xdr:rowOff>0</xdr:rowOff>
    </xdr:from>
    <xdr:to>
      <xdr:col>2</xdr:col>
      <xdr:colOff>6508574</xdr:colOff>
      <xdr:row>16</xdr:row>
      <xdr:rowOff>12000</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28574</xdr:colOff>
      <xdr:row>17</xdr:row>
      <xdr:rowOff>11627</xdr:rowOff>
    </xdr:from>
    <xdr:to>
      <xdr:col>2</xdr:col>
      <xdr:colOff>6508574</xdr:colOff>
      <xdr:row>33</xdr:row>
      <xdr:rowOff>23627</xdr:rowOff>
    </xdr:to>
    <xdr:graphicFrame macro="">
      <xdr:nvGraphicFramePr>
        <xdr:cNvPr id="3" name="Diagram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28574</xdr:colOff>
      <xdr:row>34</xdr:row>
      <xdr:rowOff>6723</xdr:rowOff>
    </xdr:from>
    <xdr:to>
      <xdr:col>2</xdr:col>
      <xdr:colOff>6508574</xdr:colOff>
      <xdr:row>50</xdr:row>
      <xdr:rowOff>18723</xdr:rowOff>
    </xdr:to>
    <xdr:graphicFrame macro="">
      <xdr:nvGraphicFramePr>
        <xdr:cNvPr id="4" name="Diagram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78441</xdr:colOff>
      <xdr:row>0</xdr:row>
      <xdr:rowOff>0</xdr:rowOff>
    </xdr:from>
    <xdr:to>
      <xdr:col>5</xdr:col>
      <xdr:colOff>6558441</xdr:colOff>
      <xdr:row>16</xdr:row>
      <xdr:rowOff>12000</xdr:rowOff>
    </xdr:to>
    <xdr:graphicFrame macro="">
      <xdr:nvGraphicFramePr>
        <xdr:cNvPr id="5" name="Diagram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78441</xdr:colOff>
      <xdr:row>17</xdr:row>
      <xdr:rowOff>11627</xdr:rowOff>
    </xdr:from>
    <xdr:to>
      <xdr:col>5</xdr:col>
      <xdr:colOff>6558441</xdr:colOff>
      <xdr:row>33</xdr:row>
      <xdr:rowOff>23627</xdr:rowOff>
    </xdr:to>
    <xdr:graphicFrame macro="">
      <xdr:nvGraphicFramePr>
        <xdr:cNvPr id="6" name="Diagram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78441</xdr:colOff>
      <xdr:row>34</xdr:row>
      <xdr:rowOff>6723</xdr:rowOff>
    </xdr:from>
    <xdr:to>
      <xdr:col>5</xdr:col>
      <xdr:colOff>6558441</xdr:colOff>
      <xdr:row>50</xdr:row>
      <xdr:rowOff>18723</xdr:rowOff>
    </xdr:to>
    <xdr:graphicFrame macro="">
      <xdr:nvGraphicFramePr>
        <xdr:cNvPr id="7" name="Diagram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r:id="rId1" refreshedBy="Christian Engels" refreshedDate="42120.731559259257" missingItemsLimit="0" createdVersion="4" refreshedVersion="4" minRefreshableVersion="3" recordCount="100">
  <cacheSource type="worksheet">
    <worksheetSource ref="A3:R103" sheet="KGV"/>
  </cacheSource>
  <cacheFields count="18">
    <cacheField name="Wertpapier" numFmtId="0">
      <sharedItems containsBlank="1" count="63">
        <s v="Syngenta"/>
        <s v="Novartis"/>
        <s v="Roche"/>
        <s v="Nestle"/>
        <s v="Beiersdorf"/>
        <s v="Deutsche Post"/>
        <s v="Deutsche Telekom"/>
        <s v="SAP"/>
        <s v="Siemens"/>
        <s v="Allianz"/>
        <s v="Münchener Rück"/>
        <s v="BASF"/>
        <s v="Bayer"/>
        <s v="Telefonica"/>
        <s v="Danone"/>
        <s v="British American Tobacco"/>
        <s v="Imperial Tobacco"/>
        <s v="Vodafone"/>
        <s v="Unilever"/>
        <s v="AT&amp;T"/>
        <s v="Blackrock"/>
        <s v="Coca-Cola"/>
        <s v="Colgate-Palmolive"/>
        <s v="General Electric"/>
        <s v="IBM"/>
        <s v="Johnson &amp; Johnson"/>
        <s v="Kraft Foods"/>
        <s v="McDonald's"/>
        <s v="Merck &amp; Co."/>
        <s v="Microsoft"/>
        <s v="Mondelez"/>
        <s v="Monsanto"/>
        <s v="Oracle"/>
        <s v="PepsiCo"/>
        <s v="Pfizer"/>
        <s v="Philip Morris"/>
        <s v="Procter &amp; Gamble"/>
        <s v="Verizon Communications"/>
        <s v="Wal-Mart Stores"/>
        <s v="Anheuser-Busch InBev"/>
        <s v="Lindt &amp; Sprüngli"/>
        <s v="Henkel"/>
        <s v="Linde"/>
        <s v="Novo Nordisk"/>
        <s v="L'Oreal"/>
        <s v="Sanofi"/>
        <s v="Diageo"/>
        <s v="Sabmiller"/>
        <s v="Reckitt Benckiser"/>
        <s v="Accenture"/>
        <s v="Medtronic"/>
        <s v="Altria"/>
        <s v="CVS Health"/>
        <s v="Cisco Systems"/>
        <s v="Du Pont"/>
        <s v="General Mills"/>
        <s v="Kellogg"/>
        <s v="Kimberly-Clark"/>
        <s v="Mastercard"/>
        <s v="Moody's"/>
        <s v="UnitedHealth"/>
        <s v="Visa"/>
        <m/>
      </sharedItems>
    </cacheField>
    <cacheField name="ISIN" numFmtId="0">
      <sharedItems containsBlank="1"/>
    </cacheField>
    <cacheField name="Jahr + 2" numFmtId="164">
      <sharedItems containsMixedTypes="1" containsNumber="1" minValue="9.8428571428571434" maxValue="38.756388415672909"/>
    </cacheField>
    <cacheField name="Jahr + 1" numFmtId="164">
      <sharedItems containsMixedTypes="1" containsNumber="1" minValue="10.807843137254903" maxValue="59.260752688172033"/>
    </cacheField>
    <cacheField name="Jahr + 0" numFmtId="164">
      <sharedItems containsMixedTypes="1" containsNumber="1" minValue="9.672535211267606" maxValue="36.017643352236924"/>
    </cacheField>
    <cacheField name="Jahr - 1" numFmtId="164">
      <sharedItems containsMixedTypes="1" containsNumber="1" minValue="4.4748201438848927" maxValue="38.321596244131456"/>
    </cacheField>
    <cacheField name="Jahr - 2" numFmtId="164">
      <sharedItems containsMixedTypes="1" containsNumber="1" minValue="7.3513513513513518" maxValue="197.93103448275863"/>
    </cacheField>
    <cacheField name="Jahr - 3" numFmtId="164">
      <sharedItems containsMixedTypes="1" containsNumber="1" minValue="5.2714126807563959" maxValue="31.970588235294112"/>
    </cacheField>
    <cacheField name="Jahr - 4" numFmtId="164">
      <sharedItems containsMixedTypes="1" containsNumber="1" minValue="5.1319587628865975" maxValue="28.794416243654823"/>
    </cacheField>
    <cacheField name="Jahr - 5" numFmtId="164">
      <sharedItems containsMixedTypes="1" containsNumber="1" minValue="6.4214285714285708" maxValue="36.62882096069869"/>
    </cacheField>
    <cacheField name="Jahr - 6" numFmtId="164">
      <sharedItems containsMixedTypes="1" containsNumber="1" minValue="2.1789473684210527" maxValue="27.646153846153844"/>
    </cacheField>
    <cacheField name="Jahr - 7" numFmtId="164">
      <sharedItems containsMixedTypes="1" containsNumber="1" minValue="10.423076923076923" maxValue="47.732673267326732"/>
    </cacheField>
    <cacheField name="Jahr - 8" numFmtId="164">
      <sharedItems containsMixedTypes="1" containsNumber="1" minValue="7.2860335195530723" maxValue="31.366120218579233"/>
    </cacheField>
    <cacheField name="Jahr - 9" numFmtId="164">
      <sharedItems containsMixedTypes="1" containsNumber="1" minValue="7.5648148148148149" maxValue="25.48"/>
    </cacheField>
    <cacheField name="Jahr - 10" numFmtId="164">
      <sharedItems containsMixedTypes="1" containsNumber="1" minValue="7.7307692307692317" maxValue="38.936170212765958"/>
    </cacheField>
    <cacheField name="Median" numFmtId="164">
      <sharedItems containsMixedTypes="1" containsNumber="1" minValue="8.5714285714285712" maxValue="27.922077922077921"/>
    </cacheField>
    <cacheField name="KGV+360d" numFmtId="164">
      <sharedItems containsMixedTypes="1" containsNumber="1" minValue="11.155176613885509" maxValue="58.796080261315907"/>
    </cacheField>
    <cacheField name="Abweichung Median" numFmtId="166">
      <sharedItems containsMixedTypes="1" containsNumber="1" minValue="-0.14061079715133151" maxValue="3.771364558317157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Christian Engels" refreshedDate="42120.73155960648" missingItemsLimit="0" createdVersion="4" refreshedVersion="4" minRefreshableVersion="3" recordCount="100">
  <cacheSource type="worksheet">
    <worksheetSource ref="A3:R103" sheet="Ergebnis_je_Aktie_verwässert"/>
  </cacheSource>
  <cacheFields count="18">
    <cacheField name="Wertpapier" numFmtId="0">
      <sharedItems containsBlank="1" count="63">
        <s v="Syngenta"/>
        <s v="Novartis"/>
        <s v="Roche"/>
        <s v="Nestle"/>
        <s v="Beiersdorf"/>
        <s v="Deutsche Post"/>
        <s v="Deutsche Telekom"/>
        <s v="SAP"/>
        <s v="Siemens"/>
        <s v="Allianz"/>
        <s v="Münchener Rück"/>
        <s v="BASF"/>
        <s v="Bayer"/>
        <s v="Telefonica"/>
        <s v="Danone"/>
        <s v="British American Tobacco"/>
        <s v="Imperial Tobacco"/>
        <s v="Vodafone"/>
        <s v="Unilever"/>
        <s v="AT&amp;T"/>
        <s v="Blackrock"/>
        <s v="Coca-Cola"/>
        <s v="Colgate-Palmolive"/>
        <s v="General Electric"/>
        <s v="IBM"/>
        <s v="Johnson &amp; Johnson"/>
        <s v="Kraft Foods"/>
        <s v="McDonald's"/>
        <s v="Merck &amp; Co."/>
        <s v="Microsoft"/>
        <s v="Mondelez"/>
        <s v="Monsanto"/>
        <s v="Oracle"/>
        <s v="PepsiCo"/>
        <s v="Pfizer"/>
        <s v="Philip Morris"/>
        <s v="Procter &amp; Gamble"/>
        <s v="Verizon Communications"/>
        <s v="Wal-Mart Stores"/>
        <s v="Anheuser-Busch InBev"/>
        <s v="Lindt &amp; Sprüngli"/>
        <s v="Henkel"/>
        <s v="Linde"/>
        <s v="Novo Nordisk"/>
        <s v="L'Oreal"/>
        <s v="Sanofi"/>
        <s v="Diageo"/>
        <s v="Sabmiller"/>
        <s v="Reckitt Benckiser"/>
        <s v="Accenture"/>
        <s v="Medtronic"/>
        <s v="Altria"/>
        <s v="CVS Health"/>
        <s v="Cisco Systems"/>
        <s v="Du Pont"/>
        <s v="General Mills"/>
        <s v="Kellogg"/>
        <s v="Kimberly-Clark"/>
        <s v="Mastercard"/>
        <s v="Moody's"/>
        <s v="UnitedHealth"/>
        <s v="Visa"/>
        <m/>
      </sharedItems>
    </cacheField>
    <cacheField name="ISIN" numFmtId="0">
      <sharedItems containsBlank="1"/>
    </cacheField>
    <cacheField name="Tag" numFmtId="173">
      <sharedItems containsString="0" containsBlank="1" containsNumber="1" containsInteger="1" minValue="30" maxValue="31"/>
    </cacheField>
    <cacheField name="Monat" numFmtId="173">
      <sharedItems containsString="0" containsBlank="1" containsNumber="1" containsInteger="1" minValue="1" maxValue="12"/>
    </cacheField>
    <cacheField name="Jahr" numFmtId="173">
      <sharedItems containsString="0" containsBlank="1" containsNumber="1" containsInteger="1" minValue="2015" maxValue="2015"/>
    </cacheField>
    <cacheField name="Jahr + 2" numFmtId="167">
      <sharedItems containsString="0" containsBlank="1" containsNumber="1" minValue="5.8700000000000002E-2" maxValue="1911"/>
    </cacheField>
    <cacheField name="Jahr + 1" numFmtId="167">
      <sharedItems containsString="0" containsBlank="1" containsNumber="1" minValue="3.7200000000000004E-2" maxValue="1758"/>
    </cacheField>
    <cacheField name="Jahr + 0" numFmtId="167">
      <sharedItems containsString="0" containsBlank="1" containsNumber="1" minValue="0.18300000000000002" maxValue="1587"/>
    </cacheField>
    <cacheField name="Jahr - 1" numFmtId="167">
      <sharedItems containsString="0" containsBlank="1" containsNumber="1" minValue="0.41699999999999998" maxValue="1460"/>
    </cacheField>
    <cacheField name="Jahr - 2" numFmtId="167">
      <sharedItems containsString="0" containsBlank="1" containsNumber="1" minValue="8.6999999999999994E-3" maxValue="1314"/>
    </cacheField>
    <cacheField name="Jahr - 3" numFmtId="167">
      <sharedItems containsString="0" containsBlank="1" containsNumber="1" minValue="0.14000000000000001" maxValue="1187"/>
    </cacheField>
    <cacheField name="Jahr - 4" numFmtId="167">
      <sharedItems containsString="0" containsBlank="1" containsNumber="1" minValue="0.15" maxValue="1078"/>
    </cacheField>
    <cacheField name="Jahr - 5" numFmtId="167">
      <sharedItems containsString="0" containsBlank="1" containsNumber="1" minValue="0.16" maxValue="1055"/>
    </cacheField>
    <cacheField name="Jahr - 6" numFmtId="167">
      <sharedItems containsString="0" containsBlank="1" containsNumber="1" minValue="0.06" maxValue="850.9"/>
    </cacheField>
    <cacheField name="Jahr - 7" numFmtId="167">
      <sharedItems containsString="0" containsBlank="1" containsNumber="1" minValue="-5.47" maxValue="1140"/>
    </cacheField>
    <cacheField name="Jahr - 8" numFmtId="167">
      <sharedItems containsString="0" containsBlank="1" containsNumber="1" minValue="-0.1" maxValue="1091"/>
    </cacheField>
    <cacheField name="Jahr - 9" numFmtId="167">
      <sharedItems containsString="0" containsBlank="1" containsNumber="1" minValue="-0.28000000000000003" maxValue="921.2"/>
    </cacheField>
    <cacheField name="Jahr - 10" numFmtId="167">
      <sharedItems containsString="0" containsBlank="1" containsNumber="1" minValue="-0.11" maxValue="768.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Christian Engels" refreshedDate="42120.731559837965" missingItemsLimit="0" createdVersion="4" refreshedVersion="4" minRefreshableVersion="3" recordCount="100">
  <cacheSource type="worksheet">
    <worksheetSource ref="A3:R103" sheet="Buchwert_je_Aktie"/>
  </cacheSource>
  <cacheFields count="18">
    <cacheField name="Wertpapier" numFmtId="0">
      <sharedItems containsBlank="1" count="63">
        <s v="Syngenta"/>
        <s v="Novartis"/>
        <s v="Roche"/>
        <s v="Nestle"/>
        <s v="Beiersdorf"/>
        <s v="Deutsche Post"/>
        <s v="Deutsche Telekom"/>
        <s v="SAP"/>
        <s v="Siemens"/>
        <s v="Allianz"/>
        <s v="Münchener Rück"/>
        <s v="BASF"/>
        <s v="Bayer"/>
        <s v="Telefonica"/>
        <s v="Danone"/>
        <s v="British American Tobacco"/>
        <s v="Imperial Tobacco"/>
        <s v="Vodafone"/>
        <s v="Unilever"/>
        <s v="AT&amp;T"/>
        <s v="Blackrock"/>
        <s v="Coca-Cola"/>
        <s v="Colgate-Palmolive"/>
        <s v="General Electric"/>
        <s v="IBM"/>
        <s v="Johnson &amp; Johnson"/>
        <s v="Kraft Foods"/>
        <s v="McDonald's"/>
        <s v="Merck &amp; Co."/>
        <s v="Microsoft"/>
        <s v="Mondelez"/>
        <s v="Monsanto"/>
        <s v="Oracle"/>
        <s v="PepsiCo"/>
        <s v="Pfizer"/>
        <s v="Philip Morris"/>
        <s v="Procter &amp; Gamble"/>
        <s v="Verizon Communications"/>
        <s v="Wal-Mart Stores"/>
        <s v="Anheuser-Busch InBev"/>
        <s v="Lindt &amp; Sprüngli"/>
        <s v="Henkel"/>
        <s v="Linde"/>
        <s v="Novo Nordisk"/>
        <s v="L'Oreal"/>
        <s v="Sanofi"/>
        <s v="Diageo"/>
        <s v="Sabmiller"/>
        <s v="Reckitt Benckiser"/>
        <s v="Accenture"/>
        <s v="Medtronic"/>
        <s v="Altria"/>
        <s v="CVS Health"/>
        <s v="Cisco Systems"/>
        <s v="Du Pont"/>
        <s v="General Mills"/>
        <s v="Kellogg"/>
        <s v="Kimberly-Clark"/>
        <s v="Mastercard"/>
        <s v="Moody's"/>
        <s v="UnitedHealth"/>
        <s v="Visa"/>
        <m/>
      </sharedItems>
    </cacheField>
    <cacheField name="ISIN" numFmtId="0">
      <sharedItems containsBlank="1"/>
    </cacheField>
    <cacheField name="Tag" numFmtId="173">
      <sharedItems containsString="0" containsBlank="1" containsNumber="1" containsInteger="1" minValue="30" maxValue="31"/>
    </cacheField>
    <cacheField name="Monat" numFmtId="173">
      <sharedItems containsString="0" containsBlank="1" containsNumber="1" containsInteger="1" minValue="1" maxValue="12"/>
    </cacheField>
    <cacheField name="Jahr" numFmtId="173">
      <sharedItems containsString="0" containsBlank="1" containsNumber="1" containsInteger="1" minValue="2015" maxValue="2015"/>
    </cacheField>
    <cacheField name="Jahr + 2" numFmtId="167">
      <sharedItems containsString="0" containsBlank="1" containsNumber="1" minValue="-3.61" maxValue="15840"/>
    </cacheField>
    <cacheField name="Jahr + 1" numFmtId="167">
      <sharedItems containsString="0" containsBlank="1" containsNumber="1" minValue="-3.21" maxValue="15990"/>
    </cacheField>
    <cacheField name="Jahr + 0" numFmtId="167">
      <sharedItems containsString="0" containsBlank="1" containsNumber="1" minValue="-3.25" maxValue="15069"/>
    </cacheField>
    <cacheField name="Jahr - 1" numFmtId="167">
      <sharedItems containsString="0" containsBlank="1" containsNumber="1" minValue="-8.16" maxValue="22071"/>
    </cacheField>
    <cacheField name="Jahr - 2" numFmtId="167">
      <sharedItems containsString="0" containsBlank="1" containsNumber="1" minValue="-4.8899999999999997" maxValue="19373"/>
    </cacheField>
    <cacheField name="Jahr - 3" numFmtId="167">
      <sharedItems containsString="0" containsBlank="1" containsNumber="1" minValue="-2.2200000000000002" maxValue="12607"/>
    </cacheField>
    <cacheField name="Jahr - 4" numFmtId="167">
      <sharedItems containsString="0" containsBlank="1" containsNumber="1" minValue="-0.76" maxValue="11565"/>
    </cacheField>
    <cacheField name="Jahr - 5" numFmtId="167">
      <sharedItems containsString="0" containsBlank="1" containsNumber="1" minValue="-1.34" maxValue="11946"/>
    </cacheField>
    <cacheField name="Jahr - 6" numFmtId="167">
      <sharedItems containsString="0" containsBlank="1" containsNumber="1" minValue="-2.56" maxValue="16177"/>
    </cacheField>
    <cacheField name="Jahr - 7" numFmtId="167">
      <sharedItems containsString="0" containsBlank="1" containsNumber="1" minValue="-4.2300000000000004" maxValue="14790"/>
    </cacheField>
    <cacheField name="Jahr - 8" numFmtId="167">
      <sharedItems containsString="0" containsBlank="1" containsNumber="1" minValue="-3.12" maxValue="13894"/>
    </cacheField>
    <cacheField name="Jahr - 9" numFmtId="167">
      <sharedItems containsString="0" containsBlank="1" containsNumber="1" minValue="0.6" maxValue="11558"/>
    </cacheField>
    <cacheField name="Jahr - 10" numFmtId="167">
      <sharedItems containsString="0" containsBlank="1" containsNumber="1" minValue="1.07" maxValue="971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Christian Engels" refreshedDate="42120.731559953703" missingItemsLimit="0" createdVersion="4" refreshedVersion="4" minRefreshableVersion="3" recordCount="100">
  <cacheSource type="worksheet">
    <worksheetSource ref="A3:M103" sheet="Aktien_im_Umlauf_splitbereinigt"/>
  </cacheSource>
  <cacheFields count="13">
    <cacheField name="Wertpapier" numFmtId="0">
      <sharedItems containsBlank="1" count="63">
        <s v="Syngenta"/>
        <s v="Novartis"/>
        <s v="Roche"/>
        <s v="Nestle"/>
        <s v="Beiersdorf"/>
        <s v="Deutsche Post"/>
        <s v="Deutsche Telekom"/>
        <s v="SAP"/>
        <s v="Siemens"/>
        <s v="Allianz"/>
        <s v="Münchener Rück"/>
        <s v="BASF"/>
        <s v="Bayer"/>
        <s v="Telefonica"/>
        <s v="Danone"/>
        <s v="British American Tobacco"/>
        <s v="Imperial Tobacco"/>
        <s v="Vodafone"/>
        <s v="Unilever"/>
        <s v="AT&amp;T"/>
        <s v="Blackrock"/>
        <s v="Coca-Cola"/>
        <s v="Colgate-Palmolive"/>
        <s v="General Electric"/>
        <s v="IBM"/>
        <s v="Johnson &amp; Johnson"/>
        <s v="Kraft Foods"/>
        <s v="McDonald's"/>
        <s v="Merck &amp; Co."/>
        <s v="Microsoft"/>
        <s v="Mondelez"/>
        <s v="Monsanto"/>
        <s v="Oracle"/>
        <s v="PepsiCo"/>
        <s v="Pfizer"/>
        <s v="Philip Morris"/>
        <s v="Procter &amp; Gamble"/>
        <s v="Verizon Communications"/>
        <s v="Wal-Mart Stores"/>
        <s v="Anheuser-Busch InBev"/>
        <s v="Lindt &amp; Sprüngli"/>
        <s v="Henkel"/>
        <s v="Linde"/>
        <s v="Novo Nordisk"/>
        <s v="L'Oreal"/>
        <s v="Sanofi"/>
        <s v="Diageo"/>
        <s v="Sabmiller"/>
        <s v="Reckitt Benckiser"/>
        <s v="Accenture"/>
        <s v="Medtronic"/>
        <s v="Altria"/>
        <s v="CVS Health"/>
        <s v="Cisco Systems"/>
        <s v="Du Pont"/>
        <s v="General Mills"/>
        <s v="Kellogg"/>
        <s v="Kimberly-Clark"/>
        <s v="Mastercard"/>
        <s v="Moody's"/>
        <s v="UnitedHealth"/>
        <s v="Visa"/>
        <m/>
      </sharedItems>
    </cacheField>
    <cacheField name="ISIN" numFmtId="0">
      <sharedItems containsBlank="1"/>
    </cacheField>
    <cacheField name="Jahr - 0" numFmtId="164">
      <sharedItems containsString="0" containsBlank="1" containsNumber="1" containsInteger="1" minValue="3228" maxValue="28812"/>
    </cacheField>
    <cacheField name="Jahr - 1" numFmtId="164">
      <sharedItems containsString="0" containsBlank="1" containsNumber="1" minValue="0.14000000000000001" maxValue="28812"/>
    </cacheField>
    <cacheField name="Jahr - 2" numFmtId="164">
      <sharedItems containsString="0" containsBlank="1" containsNumber="1" minValue="0.14000000000000001" maxValue="10061"/>
    </cacheField>
    <cacheField name="Jahr - 3" numFmtId="164">
      <sharedItems containsString="0" containsBlank="1" containsNumber="1" minValue="0.14000000000000001" maxValue="10406"/>
    </cacheField>
    <cacheField name="Jahr - 4" numFmtId="164">
      <sharedItems containsString="0" containsBlank="1" containsNumber="1" minValue="0.14000000000000001" maxValue="10573"/>
    </cacheField>
    <cacheField name="Jahr - 5" numFmtId="164">
      <sharedItems containsString="0" containsBlank="1" containsNumber="1" minValue="0.14000000000000001" maxValue="10615"/>
    </cacheField>
    <cacheField name="Jahr - 6" numFmtId="164">
      <sharedItems containsString="0" containsBlank="1" containsNumber="1" minValue="0.1" maxValue="10663"/>
    </cacheField>
    <cacheField name="Jahr - 7" numFmtId="164">
      <sharedItems containsString="0" containsBlank="1" containsNumber="1" minValue="0.1" maxValue="10537"/>
    </cacheField>
    <cacheField name="Jahr - 8" numFmtId="164">
      <sharedItems containsString="0" containsBlank="1" containsNumber="1" minValue="0.1" maxValue="9988"/>
    </cacheField>
    <cacheField name="Jahr - 9" numFmtId="164">
      <sharedItems containsString="0" containsBlank="1" containsNumber="1" minValue="0.1" maxValue="10277"/>
    </cacheField>
    <cacheField name="Jahr - 10" numFmtId="164">
      <sharedItems containsString="0" containsBlank="1" containsNumber="1" minValue="0.1" maxValue="10710"/>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Christian Engels" refreshedDate="42120.731559953703" missingItemsLimit="0" createdVersion="4" refreshedVersion="4" minRefreshableVersion="3" recordCount="100">
  <cacheSource type="worksheet">
    <worksheetSource ref="A3:S103" sheet="Dividende_je_Aktie"/>
  </cacheSource>
  <cacheFields count="19">
    <cacheField name="Wertpapier" numFmtId="0">
      <sharedItems containsBlank="1" count="63">
        <s v="Syngenta"/>
        <s v="Novartis"/>
        <s v="Roche"/>
        <s v="Nestle"/>
        <s v="Beiersdorf"/>
        <s v="Deutsche Post"/>
        <s v="Deutsche Telekom"/>
        <s v="SAP"/>
        <s v="Siemens"/>
        <s v="Allianz"/>
        <s v="Münchener Rück"/>
        <s v="BASF"/>
        <s v="Bayer"/>
        <s v="Telefonica"/>
        <s v="Danone"/>
        <s v="British American Tobacco"/>
        <s v="Imperial Tobacco"/>
        <s v="Vodafone"/>
        <s v="Unilever"/>
        <s v="AT&amp;T"/>
        <s v="Blackrock"/>
        <s v="Coca-Cola"/>
        <s v="Colgate-Palmolive"/>
        <s v="General Electric"/>
        <s v="IBM"/>
        <s v="Johnson &amp; Johnson"/>
        <s v="Kraft Foods"/>
        <s v="McDonald's"/>
        <s v="Merck &amp; Co."/>
        <s v="Microsoft"/>
        <s v="Mondelez"/>
        <s v="Monsanto"/>
        <s v="Oracle"/>
        <s v="PepsiCo"/>
        <s v="Pfizer"/>
        <s v="Philip Morris"/>
        <s v="Procter &amp; Gamble"/>
        <s v="Verizon Communications"/>
        <s v="Wal-Mart Stores"/>
        <s v="Anheuser-Busch InBev"/>
        <s v="Lindt &amp; Sprüngli"/>
        <s v="Henkel"/>
        <s v="Linde"/>
        <s v="Novo Nordisk"/>
        <s v="L'Oreal"/>
        <s v="Sanofi"/>
        <s v="Diageo"/>
        <s v="Sabmiller"/>
        <s v="Reckitt Benckiser"/>
        <s v="Accenture"/>
        <s v="Medtronic"/>
        <s v="Altria"/>
        <s v="CVS Health"/>
        <s v="Cisco Systems"/>
        <s v="Du Pont"/>
        <s v="General Mills"/>
        <s v="Kellogg"/>
        <s v="Kimberly-Clark"/>
        <s v="Mastercard"/>
        <s v="Moody's"/>
        <s v="UnitedHealth"/>
        <s v="Visa"/>
        <m/>
      </sharedItems>
    </cacheField>
    <cacheField name="ISIN" numFmtId="0">
      <sharedItems containsBlank="1"/>
    </cacheField>
    <cacheField name="Tag" numFmtId="173">
      <sharedItems containsString="0" containsBlank="1" containsNumber="1" containsInteger="1" minValue="30" maxValue="31"/>
    </cacheField>
    <cacheField name="Monat" numFmtId="173">
      <sharedItems containsString="0" containsBlank="1" containsNumber="1" containsInteger="1" minValue="1" maxValue="12"/>
    </cacheField>
    <cacheField name="Jahr" numFmtId="173">
      <sharedItems containsString="0" containsBlank="1" containsNumber="1" containsInteger="1" minValue="2015" maxValue="2015"/>
    </cacheField>
    <cacheField name="Jahr + 2" numFmtId="167">
      <sharedItems containsString="0" containsBlank="1" containsNumber="1" minValue="0.11599999999999999" maxValue="990"/>
    </cacheField>
    <cacheField name="Jahr + 1" numFmtId="167">
      <sharedItems containsString="0" containsBlank="1" containsNumber="1" minValue="0.115" maxValue="909"/>
    </cacheField>
    <cacheField name="Jahr + 0" numFmtId="167">
      <sharedItems containsString="0" containsBlank="1" containsNumber="1" minValue="0.113" maxValue="814"/>
    </cacheField>
    <cacheField name="Jahr - 1" numFmtId="167">
      <sharedItems containsString="0" containsBlank="1" containsNumber="1" minValue="0.11" maxValue="725"/>
    </cacheField>
    <cacheField name="Jahr - 2" numFmtId="167">
      <sharedItems containsString="0" containsBlank="1" containsNumber="1" minValue="0.1" maxValue="650"/>
    </cacheField>
    <cacheField name="Jahr - 3" numFmtId="167">
      <sharedItems containsString="0" containsBlank="1" containsNumber="1" minValue="9.5000000000000001E-2" maxValue="575"/>
    </cacheField>
    <cacheField name="Jahr - 4" numFmtId="167">
      <sharedItems containsString="0" containsBlank="1" containsNumber="1" minValue="0.06" maxValue="500"/>
    </cacheField>
    <cacheField name="Jahr - 5" numFmtId="167">
      <sharedItems containsString="0" containsBlank="1" containsNumber="1" minValue="0" maxValue="450"/>
    </cacheField>
    <cacheField name="Jahr - 6" numFmtId="167">
      <sharedItems containsString="0" containsBlank="1" containsNumber="1" minValue="0" maxValue="400"/>
    </cacheField>
    <cacheField name="Jahr - 7" numFmtId="167">
      <sharedItems containsString="0" containsBlank="1" containsNumber="1" minValue="0" maxValue="360"/>
    </cacheField>
    <cacheField name="Jahr - 8" numFmtId="167">
      <sharedItems containsString="0" containsBlank="1" containsNumber="1" minValue="0" maxValue="330"/>
    </cacheField>
    <cacheField name="Jahr - 9" numFmtId="167">
      <sharedItems containsString="0" containsBlank="1" containsNumber="1" minValue="0" maxValue="275"/>
    </cacheField>
    <cacheField name="Jahr - 10" numFmtId="167">
      <sharedItems containsString="0" containsBlank="1" containsNumber="1" minValue="0" maxValue="225"/>
    </cacheField>
    <cacheField name="Jahr - 11" numFmtId="167">
      <sharedItems containsString="0" containsBlank="1" containsNumber="1" minValue="0" maxValue="180"/>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Christian Engels" refreshedDate="42120.731560069442" missingItemsLimit="0" createdVersion="4" refreshedVersion="4" minRefreshableVersion="3" recordCount="100">
  <cacheSource type="worksheet">
    <worksheetSource ref="A3:R103" sheet="Ausschüttungsquote"/>
  </cacheSource>
  <cacheFields count="18">
    <cacheField name="Wertpapier" numFmtId="0">
      <sharedItems containsBlank="1" count="63">
        <s v="Syngenta"/>
        <s v="Novartis"/>
        <s v="Roche"/>
        <s v="Nestle"/>
        <s v="Beiersdorf"/>
        <s v="Deutsche Post"/>
        <s v="Deutsche Telekom"/>
        <s v="SAP"/>
        <s v="Siemens"/>
        <s v="Allianz"/>
        <s v="Münchener Rück"/>
        <s v="BASF"/>
        <s v="Bayer"/>
        <s v="Telefonica"/>
        <s v="Danone"/>
        <s v="British American Tobacco"/>
        <s v="Imperial Tobacco"/>
        <s v="Vodafone"/>
        <s v="Unilever"/>
        <s v="AT&amp;T"/>
        <s v="Blackrock"/>
        <s v="Coca-Cola"/>
        <s v="Colgate-Palmolive"/>
        <s v="General Electric"/>
        <s v="IBM"/>
        <s v="Johnson &amp; Johnson"/>
        <s v="Kraft Foods"/>
        <s v="McDonald's"/>
        <s v="Merck &amp; Co."/>
        <s v="Microsoft"/>
        <s v="Mondelez"/>
        <s v="Monsanto"/>
        <s v="Oracle"/>
        <s v="PepsiCo"/>
        <s v="Pfizer"/>
        <s v="Philip Morris"/>
        <s v="Procter &amp; Gamble"/>
        <s v="Verizon Communications"/>
        <s v="Wal-Mart Stores"/>
        <s v="Anheuser-Busch InBev"/>
        <s v="Lindt &amp; Sprüngli"/>
        <s v="Henkel"/>
        <s v="Linde"/>
        <s v="Novo Nordisk"/>
        <s v="L'Oreal"/>
        <s v="Sanofi"/>
        <s v="Diageo"/>
        <s v="Sabmiller"/>
        <s v="Reckitt Benckiser"/>
        <s v="Accenture"/>
        <s v="Medtronic"/>
        <s v="Altria"/>
        <s v="CVS Health"/>
        <s v="Cisco Systems"/>
        <s v="Du Pont"/>
        <s v="General Mills"/>
        <s v="Kellogg"/>
        <s v="Kimberly-Clark"/>
        <s v="Mastercard"/>
        <s v="Moody's"/>
        <s v="UnitedHealth"/>
        <s v="Visa"/>
        <m/>
      </sharedItems>
    </cacheField>
    <cacheField name="ISIN" numFmtId="0">
      <sharedItems containsBlank="1"/>
    </cacheField>
    <cacheField name="Tag" numFmtId="173">
      <sharedItems containsString="0" containsBlank="1" containsNumber="1" containsInteger="1" minValue="30" maxValue="31"/>
    </cacheField>
    <cacheField name="Monat" numFmtId="173">
      <sharedItems containsString="0" containsBlank="1" containsNumber="1" containsInteger="1" minValue="1" maxValue="12"/>
    </cacheField>
    <cacheField name="Jahr" numFmtId="173">
      <sharedItems containsString="0" containsBlank="1" containsNumber="1" containsInteger="1" minValue="2015" maxValue="2015"/>
    </cacheField>
    <cacheField name="Jahr + 2" numFmtId="166">
      <sharedItems containsMixedTypes="1" containsNumber="1" minValue="0.10826771653543307" maxValue="1.9761499148211241"/>
    </cacheField>
    <cacheField name="Jahr + 1" numFmtId="166">
      <sharedItems containsMixedTypes="1" containsNumber="1" minValue="0.1394230769230769" maxValue="2"/>
    </cacheField>
    <cacheField name="Jahr + 0" numFmtId="166">
      <sharedItems containsMixedTypes="1" containsNumber="1" minValue="0.16138328530259366" maxValue="1.1625000000000001"/>
    </cacheField>
    <cacheField name="Jahr - 1" numFmtId="166">
      <sharedItems containsMixedTypes="1" containsNumber="1" minValue="0.14193548387096774" maxValue="1.291079812206573"/>
    </cacheField>
    <cacheField name="Jahr - 2" numFmtId="166">
      <sharedItems containsMixedTypes="1" containsNumber="1" minValue="8.203125E-2" maxValue="2"/>
    </cacheField>
    <cacheField name="Jahr - 3" numFmtId="166">
      <sharedItems containsMixedTypes="1" containsNumber="1" minValue="5.4794520547945202E-2" maxValue="1.5588235294117647"/>
    </cacheField>
    <cacheField name="Jahr - 4" numFmtId="166">
      <sharedItems containsMixedTypes="1" containsNumber="1" minValue="4.0268456375838924E-2" maxValue="1.5862944162436547"/>
    </cacheField>
    <cacheField name="Jahr - 5" numFmtId="166">
      <sharedItems containsMixedTypes="1" containsNumber="1" minValue="0" maxValue="0.95541401273885351"/>
    </cacheField>
    <cacheField name="Jahr - 6" numFmtId="166">
      <sharedItems containsMixedTypes="1" containsNumber="1" minValue="0" maxValue="1.1603053435114503"/>
    </cacheField>
    <cacheField name="Jahr - 7" numFmtId="166">
      <sharedItems containsMixedTypes="1" containsNumber="1" minValue="0" maxValue="2"/>
    </cacheField>
    <cacheField name="Jahr - 8" numFmtId="166">
      <sharedItems containsMixedTypes="1" containsNumber="1" minValue="0" maxValue="2"/>
    </cacheField>
    <cacheField name="Jahr - 9" numFmtId="166">
      <sharedItems containsMixedTypes="1" containsNumber="1" minValue="0" maxValue="2"/>
    </cacheField>
    <cacheField name="Jahr - 10" numFmtId="166">
      <sharedItems containsMixedTypes="1" containsNumber="1" minValue="0" maxValue="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
  <r>
    <x v="0"/>
    <s v="CH0011037469"/>
    <n v="15.396840730593606"/>
    <n v="17.29183651282051"/>
    <n v="18.940235294117645"/>
    <n v="22.664181818181813"/>
    <n v="22.519714285714286"/>
    <n v="14.414493110236219"/>
    <n v="16.910863662622763"/>
    <n v="18.718054703135419"/>
    <n v="12.794347469220247"/>
    <n v="17.398738892686257"/>
    <n v="16.291829246935201"/>
    <n v="19.59425196850394"/>
    <n v="17.28247960848287"/>
    <n v="17.29183651282051"/>
    <n v="18.944782258291063"/>
    <n v="9.5591104174795216E-2"/>
  </r>
  <r>
    <x v="1"/>
    <s v="CH0012005267"/>
    <n v="19.761815678776291"/>
    <n v="22.765263436123348"/>
    <n v="20.026415948275861"/>
    <n v="18.551647331786544"/>
    <n v="16.958618918918919"/>
    <n v="14.703308483290488"/>
    <n v="15.558990740740743"/>
    <n v="12.801361502347419"/>
    <n v="13.330672086720869"/>
    <n v="15.262069637883009"/>
    <n v="20.517500000000002"/>
    <n v="17.285213815789472"/>
    <n v="19.180190839694657"/>
    <n v="17.285213815789472"/>
    <n v="22.42904729640123"/>
    <n v="0.29758575944909826"/>
  </r>
  <r>
    <x v="2"/>
    <s v="CH0012032048"/>
    <n v="17.987096774193549"/>
    <n v="19.095890410958905"/>
    <n v="20.141791044776117"/>
    <n v="23.052728954671597"/>
    <n v="14.23047177107502"/>
    <n v="14.265232974910393"/>
    <n v="12.477231329690346"/>
    <n v="17.388724035608309"/>
    <n v="18.015521064301552"/>
    <n v="19.120234604105569"/>
    <n v="19.578853046594983"/>
    <n v="21.80110497237569"/>
    <n v="19.508196721311478"/>
    <n v="19.095890410958905"/>
    <n v="20.2273276904474"/>
    <n v="5.9250302297460644E-2"/>
  </r>
  <r>
    <x v="3"/>
    <s v="CH0038863350"/>
    <n v="19.437172774869111"/>
    <n v="20.856741573033709"/>
    <n v="21.906906906906908"/>
    <n v="38.321596244131456"/>
    <n v="22.558667676003029"/>
    <n v="16.265060240963855"/>
    <n v="18.496621621621621"/>
    <n v="23.568075117370896"/>
    <n v="14.295532646048109"/>
    <n v="21.311475409836067"/>
    <n v="15.688405797101449"/>
    <n v="16.652542372881356"/>
    <n v="14.583333333333334"/>
    <n v="19.437172774869111"/>
    <n v="21.815955927361763"/>
    <n v="0.12238318710467255"/>
  </r>
  <r>
    <x v="4"/>
    <s v="DE0005200000"/>
    <n v="24.168674698795179"/>
    <n v="26.657807308970099"/>
    <n v="24.339350180505416"/>
    <n v="31.878787878787879"/>
    <n v="26.557939914163089"/>
    <n v="21.067307692307693"/>
    <n v="22.205882352941174"/>
    <n v="24.961956521739129"/>
    <n v="25.454545454545457"/>
    <n v="24.200913242009133"/>
    <n v="23.169811320754715"/>
    <n v="20.51284023668639"/>
    <n v="19.678137931034485"/>
    <n v="24.200913242009133"/>
    <n v="28.187353629976577"/>
    <n v="0.16472272546506983"/>
  </r>
  <r>
    <x v="5"/>
    <s v="DE0005552004"/>
    <n v="14.058411214953271"/>
    <n v="14.96766169154229"/>
    <n v="15.025"/>
    <n v="16.158536585365855"/>
    <n v="10.000000000000002"/>
    <n v="9"/>
    <n v="13.229166666666666"/>
    <n v="6.4214285714285708"/>
    <n v="22.471698113207545"/>
    <s v=""/>
    <n v="19.860869565217392"/>
    <n v="12.799999999999999"/>
    <n v="8.4924623115577891"/>
    <n v="13.643788940809969"/>
    <n v="16.113367551885741"/>
    <n v="0.18100387083011893"/>
  </r>
  <r>
    <x v="6"/>
    <s v="DE0005557508"/>
    <n v="18.407608695652172"/>
    <n v="22.885135135135133"/>
    <n v="21.370967741935484"/>
    <n v="23.452830188679243"/>
    <n v="13.642857142857144"/>
    <n v="15.28448275862069"/>
    <n v="14.410447761194028"/>
    <n v="13.025316455696201"/>
    <n v="13.782051282051281"/>
    <n v="19.256410256410255"/>
    <n v="20.057971014492754"/>
    <n v="15.644444444444444"/>
    <n v="15.416666666666664"/>
    <n v="15.644444444444444"/>
    <n v="25.724050632911389"/>
    <n v="0.64429300920598376"/>
  </r>
  <r>
    <x v="7"/>
    <s v="DE0007164600"/>
    <n v="17.682864450127877"/>
    <n v="19.312849162011172"/>
    <n v="18.495238095238093"/>
    <n v="22.740875912408757"/>
    <n v="21.830935251798561"/>
    <n v="17.236286919831223"/>
    <n v="15.425101214574898"/>
    <n v="15.714285714285714"/>
    <n v="17.170068027210885"/>
    <n v="22.92258064516129"/>
    <n v="25.320754716981128"/>
    <n v="25.190789473684209"/>
    <n v="27.375000000000004"/>
    <n v="19.312849162011172"/>
    <n v="21.032067260974269"/>
    <n v="8.9019392454265045E-2"/>
  </r>
  <r>
    <x v="8"/>
    <s v="DE0007236101"/>
    <n v="12.981770833333334"/>
    <n v="14.141843971631207"/>
    <n v="12.239948119325552"/>
    <n v="14.114104595879558"/>
    <n v="15.429423459244532"/>
    <n v="13.515873015873016"/>
    <n v="11.125000000000002"/>
    <n v="14.252252252252251"/>
    <n v="25"/>
    <n v="47.732673267326732"/>
    <n v="17.823834196891191"/>
    <n v="19.662576687116562"/>
    <n v="24.466942148760332"/>
    <n v="14.252252252252251"/>
    <n v="13.597308723916898"/>
    <n v="-4.5953686248561443E-2"/>
  </r>
  <r>
    <x v="9"/>
    <s v="DE0008404005"/>
    <n v="11.106164383561644"/>
    <n v="11.030612244897959"/>
    <n v="9.672535211267606"/>
    <n v="9.5564516129032242"/>
    <n v="8.0306513409961671"/>
    <n v="6.5176366843033504"/>
    <n v="16.228102189781023"/>
    <n v="7.837230215827339"/>
    <n v="7.8947368421052628"/>
    <s v=""/>
    <n v="8.7385657820440414"/>
    <n v="7.6245530393325378"/>
    <n v="8.6832740213523127"/>
    <n v="8.7109199016981762"/>
    <n v="11.292001160653836"/>
    <n v="0.29630409739532593"/>
  </r>
  <r>
    <x v="10"/>
    <s v="DE0008430026"/>
    <n v="11.535502958579881"/>
    <n v="11.604166666666666"/>
    <n v="9.75"/>
    <n v="8.7465865647187346"/>
    <n v="7.3513513513513518"/>
    <n v="5.2714126807563959"/>
    <n v="28.794416243654823"/>
    <n v="8.320826952526799"/>
    <n v="8.5714285714285712"/>
    <n v="17.77272727272727"/>
    <n v="7.2860335195530723"/>
    <n v="7.5648148148148149"/>
    <n v="7.7307692307692317"/>
    <n v="8.5714285714285712"/>
    <n v="11.510907003444316"/>
    <n v="0.34293915040183687"/>
  </r>
  <r>
    <x v="11"/>
    <s v="DE000BASF111"/>
    <n v="14.495238095238095"/>
    <n v="16.021052631578947"/>
    <n v="13.783037475345166"/>
    <n v="13.8375"/>
    <n v="13.500948766603418"/>
    <n v="10.148775894538607"/>
    <n v="8.8707280832095101"/>
    <n v="8.762096774193548"/>
    <n v="18.006493506493506"/>
    <n v="16.199680511182109"/>
    <n v="8.8762019230769216"/>
    <n v="10.142633228840124"/>
    <n v="9.2334494773519165"/>
    <n v="13.500948766603418"/>
    <n v="17.324164097699786"/>
    <n v="0.28318123394065853"/>
  </r>
  <r>
    <x v="12"/>
    <s v="DE000BAY0017"/>
    <n v="19.08391608391608"/>
    <n v="21.727707006369425"/>
    <n v="22.113502935420744"/>
    <n v="24.625603864734302"/>
    <n v="18.624352331606218"/>
    <n v="16.689189189189189"/>
    <n v="18.49498327759197"/>
    <n v="35.64331210191083"/>
    <n v="24.441176470588236"/>
    <n v="28.166666666666664"/>
    <n v="10.7"/>
    <n v="15.896396396396394"/>
    <n v="11.388127853881279"/>
    <n v="19.08391608391608"/>
    <n v="24.882607704581716"/>
    <n v="0.30385229085935728"/>
  </r>
  <r>
    <x v="13"/>
    <s v="ES0178430E18"/>
    <n v="13.271844660194175"/>
    <n v="15.188888888888888"/>
    <n v="14.899999999999999"/>
    <n v="19.401639344262296"/>
    <n v="10.089108910891088"/>
    <n v="15.385057471264368"/>
    <n v="14.137500000000001"/>
    <n v="8.6755555555555546"/>
    <n v="9.2690058479532169"/>
    <n v="13.631901840490798"/>
    <n v="8.620320855614974"/>
    <n v="9.7769230769230777"/>
    <n v="15.23076923076923"/>
    <n v="13.631901840490798"/>
    <n v="16.431385642737897"/>
    <n v="0.20536267316214096"/>
  </r>
  <r>
    <x v="14"/>
    <s v="FR0000120644"/>
    <n v="19.589442815249264"/>
    <n v="21.072555205047319"/>
    <n v="18.972125435540072"/>
    <n v="27.829787234042556"/>
    <n v="20.621900826446282"/>
    <n v="17.534296028880867"/>
    <n v="16.974729241877256"/>
    <n v="14.088815789473683"/>
    <n v="16.801556420233464"/>
    <n v="22.408759124087588"/>
    <n v="31.366120218579233"/>
    <n v="15.929602888086643"/>
    <n v="11.556122448979593"/>
    <n v="18.972125435540072"/>
    <n v="22.523180668727171"/>
    <n v="0.18717224094117491"/>
  </r>
  <r>
    <x v="15"/>
    <s v="GB0002875804"/>
    <n v="15.240816326530613"/>
    <n v="16.972727272727273"/>
    <n v="17.412935323383081"/>
    <n v="19.389221556886231"/>
    <n v="15.224390243902441"/>
    <n v="15.51015228426396"/>
    <n v="15.791666666666668"/>
    <n v="14.003472222222221"/>
    <n v="13.235294117647058"/>
    <n v="15.97560975609756"/>
    <n v="13.740384615384615"/>
    <s v=""/>
    <s v=""/>
    <n v="15.51015228426396"/>
    <n v="18.032597759742437"/>
    <n v="0.16263189614441509"/>
  </r>
  <r>
    <x v="16"/>
    <s v="GB0004544929"/>
    <n v="16.801020408163264"/>
    <n v="18.294444444444444"/>
    <n v="15.763313609467456"/>
    <n v="15.452702702702704"/>
    <n v="23.875000000000004"/>
    <n v="31.970588235294112"/>
    <n v="10.717514124293784"/>
    <n v="12.216216216216216"/>
    <n v="27.646153846153844"/>
    <n v="44.82"/>
    <n v="15.344827586206899"/>
    <s v=""/>
    <s v=""/>
    <n v="16.801020408163264"/>
    <n v="18.785535448293345"/>
    <n v="0.11811872088232489"/>
  </r>
  <r>
    <x v="17"/>
    <s v="GB00BH4HKS39"/>
    <n v="38.756388415672909"/>
    <n v="59.260752688172033"/>
    <n v="12.038251366120216"/>
    <n v="4.4748201438848927"/>
    <n v="197.93103448275863"/>
    <n v="12.607142857142856"/>
    <n v="10.133333333333335"/>
    <n v="7.671875"/>
    <n v="25.15"/>
    <n v="10.423076923076923"/>
    <s v=""/>
    <s v=""/>
    <s v=""/>
    <n v="12.322697111631536"/>
    <n v="58.796080261315907"/>
    <n v="3.7713645583171571"/>
  </r>
  <r>
    <x v="18"/>
    <s v="NL0000009355"/>
    <n v="19.492924528301888"/>
    <n v="21.192307692307693"/>
    <n v="18.033149171270718"/>
    <n v="16.354748603351954"/>
    <n v="17.370481927710845"/>
    <n v="17.253246753246753"/>
    <n v="15.958904109589042"/>
    <n v="15.582191780821919"/>
    <n v="14.820512820512821"/>
    <n v="20.785123966942148"/>
    <n v="15.80152671755725"/>
    <n v="17.232350312779268"/>
    <n v="14.564216120460586"/>
    <n v="17.232350312779268"/>
    <n v="22.280964505017227"/>
    <n v="0.29297304782006317"/>
  </r>
  <r>
    <x v="19"/>
    <s v="US00206R1023"/>
    <n v="12.4"/>
    <n v="12.638461538461538"/>
    <n v="13.276679841897236"/>
    <n v="16.202764976958523"/>
    <n v="13.703252032520325"/>
    <n v="12.342857142857142"/>
    <n v="14.913705583756345"/>
    <n v="8.7049689440993792"/>
    <n v="13.443396226415093"/>
    <n v="19.24074074074074"/>
    <n v="18.427835051546392"/>
    <n v="12.957671957671957"/>
    <n v="18.147887323943664"/>
    <n v="13.443396226415093"/>
    <n v="12.874353811830005"/>
    <n v="-4.2328769084925777E-2"/>
  </r>
  <r>
    <x v="20"/>
    <s v="US09247X1019"/>
    <n v="14.211923076923076"/>
    <n v="16.065652173913044"/>
    <n v="17.789054726368157"/>
    <n v="16.440000000000001"/>
    <n v="12.25311203319502"/>
    <n v="12.925308194343728"/>
    <n v="15.406628940986259"/>
    <n v="22.009478672985779"/>
    <n v="21.955810147299509"/>
    <n v="37.508650519031143"/>
    <n v="24.493569131832796"/>
    <n v="20.413988657844989"/>
    <n v="19.315000000000001"/>
    <n v="17.789054726368157"/>
    <n v="17.573631019221878"/>
    <n v="-1.210990187280514E-2"/>
  </r>
  <r>
    <x v="21"/>
    <s v="US1912161007"/>
    <n v="18.278761061946906"/>
    <n v="19.671428571428571"/>
    <n v="21.540816326530614"/>
    <n v="25.818750000000001"/>
    <n v="19.078947368421055"/>
    <n v="17.758883248730964"/>
    <n v="17.775675675675675"/>
    <n v="17.701863354037265"/>
    <n v="15.397959183673471"/>
    <n v="20.32119205298013"/>
    <n v="18.759689922480618"/>
    <n v="18.662037037037038"/>
    <n v="20.411764705882351"/>
    <n v="18.759689922480618"/>
    <n v="20.606346127199672"/>
    <n v="9.8437458846594161E-2"/>
  </r>
  <r>
    <x v="22"/>
    <s v="US1941621039"/>
    <n v="19.73789173789174"/>
    <n v="21.786163522012579"/>
    <n v="24.108013937282227"/>
    <n v="27.631355932203387"/>
    <n v="21.962184873949582"/>
    <n v="17.905038759689923"/>
    <n v="16.26923076923077"/>
    <n v="19.104651162790699"/>
    <n v="15.648401826484021"/>
    <n v="21.300546448087431"/>
    <n v="20.412499999999998"/>
    <n v="22.471544715447155"/>
    <n v="15.163934426229508"/>
    <n v="20.412499999999998"/>
    <n v="23.334237732142022"/>
    <n v="0.14313473274425093"/>
  </r>
  <r>
    <x v="23"/>
    <s v="US3696041033"/>
    <n v="15.829411764705883"/>
    <n v="18.306122448979593"/>
    <n v="31.587499999999999"/>
    <n v="18.686666666666667"/>
    <n v="16.527559055118108"/>
    <n v="13.883720930232558"/>
    <n v="14.869918699186991"/>
    <n v="14.273584905660377"/>
    <n v="16.03960396039604"/>
    <n v="21.552325581395348"/>
    <n v="17.208294930875574"/>
    <n v="17.524999999999999"/>
    <n v="23.7012987012987"/>
    <n v="17.208294930875574"/>
    <n v="26.537734556910014"/>
    <n v="0.54214782251873861"/>
  </r>
  <r>
    <x v="24"/>
    <s v="US4592001014"/>
    <n v="9.8428571428571434"/>
    <n v="10.807843137254903"/>
    <n v="10.989041095890411"/>
    <n v="12.031430404105196"/>
    <n v="12.821285140562249"/>
    <n v="12.796102992345164"/>
    <n v="11.237366003062785"/>
    <n v="11.362847222222223"/>
    <n v="8.4075924075924071"/>
    <n v="12.105263157894736"/>
    <n v="13.555710306406686"/>
    <n v="13.453355155482814"/>
    <n v="20.200819672131146"/>
    <n v="12.031430404105196"/>
    <n v="11.155176613885509"/>
    <n v="-7.2830391797861771E-2"/>
  </r>
  <r>
    <x v="25"/>
    <s v="US4781601046"/>
    <n v="15.450769230769232"/>
    <n v="16.600000000000001"/>
    <n v="17.784013605442176"/>
    <n v="16.061403508771928"/>
    <n v="12.341549295774648"/>
    <n v="14.770270270270268"/>
    <n v="13.867713004484305"/>
    <n v="13.474895397489538"/>
    <n v="13.597727272727271"/>
    <n v="14.595185995623632"/>
    <n v="18.203856749311296"/>
    <n v="16.112600536193028"/>
    <n v="18.329479768786129"/>
    <n v="15.450769230769232"/>
    <n v="16.923631427434646"/>
    <n v="9.5326140379619506E-2"/>
  </r>
  <r>
    <x v="26"/>
    <s v="US50076Q1067"/>
    <n v="23.65951742627346"/>
    <n v="25.654069767441861"/>
    <n v="19.399380804953559"/>
    <n v="15.855882352941176"/>
    <n v="16.297491039426522"/>
    <s v=""/>
    <s v=""/>
    <s v=""/>
    <s v=""/>
    <s v=""/>
    <s v=""/>
    <s v=""/>
    <s v=""/>
    <n v="19.399380804953559"/>
    <n v="26.766081132313914"/>
    <n v="0.37973894122843843"/>
  </r>
  <r>
    <x v="27"/>
    <s v="US5801351017"/>
    <n v="16.696245733788395"/>
    <n v="18.565464895635674"/>
    <n v="19.16155419222904"/>
    <n v="20.130705394190869"/>
    <n v="15.893693693693693"/>
    <n v="18.718283582089551"/>
    <n v="14.565464895635676"/>
    <n v="13.633187772925764"/>
    <n v="15.131386861313867"/>
    <n v="15.667553191489361"/>
    <n v="13.454545454545455"/>
    <n v="11.915194346289752"/>
    <n v="15.715686274509805"/>
    <n v="15.715686274509805"/>
    <n v="19.523529737819416"/>
    <n v="0.2422957163178916"/>
  </r>
  <r>
    <x v="28"/>
    <s v="US58933Y1055"/>
    <n v="18.609677419354838"/>
    <n v="19.489864864864863"/>
    <n v="31.90449438202247"/>
    <n v="29.970059880239521"/>
    <n v="27.85034013605442"/>
    <n v="18.850000000000001"/>
    <n v="17.841584158415841"/>
    <n v="10.684210526315789"/>
    <n v="23.206106870229007"/>
    <n v="20.389473684210525"/>
    <n v="29.255033557046982"/>
    <n v="15.669950738916256"/>
    <n v="15.304761904761904"/>
    <n v="19.489864864864863"/>
    <n v="26.746168705730842"/>
    <n v="0.37231165486155837"/>
  </r>
  <r>
    <x v="29"/>
    <s v="US5949181045"/>
    <n v="13.185582822085891"/>
    <n v="14.977351916376305"/>
    <n v="17.521008403361346"/>
    <n v="13.134980988593156"/>
    <n v="11.456928838951312"/>
    <n v="9.5238095238095237"/>
    <n v="8.5539033457249083"/>
    <n v="11.319047619047618"/>
    <n v="16.981481481481481"/>
    <n v="15.759358288770052"/>
    <n v="16.408450704225352"/>
    <n v="20.7"/>
    <n v="25.499999999999996"/>
    <n v="14.977351916376305"/>
    <n v="15.446179030583725"/>
    <n v="3.1302403577417648E-2"/>
  </r>
  <r>
    <x v="30"/>
    <s v="US6092071058"/>
    <n v="17.130232558139536"/>
    <n v="19.590425531914892"/>
    <n v="22.703125"/>
    <n v="27.578124999999996"/>
    <n v="10"/>
    <n v="21.09186046511628"/>
    <n v="5.1319587628865975"/>
    <n v="19.95"/>
    <n v="2.1789473684210527"/>
    <s v=""/>
    <s v=""/>
    <s v=""/>
    <s v=""/>
    <n v="19.590425531914892"/>
    <n v="21.800065767839527"/>
    <n v="0.11279184478789883"/>
  </r>
  <r>
    <x v="31"/>
    <s v="US61166W1018"/>
    <n v="15.317169069462649"/>
    <n v="17.391369047619047"/>
    <n v="20.008650519031143"/>
    <n v="18.75287356321839"/>
    <n v="18.93695652173913"/>
    <n v="18.187335092348288"/>
    <n v="17.787162162162161"/>
    <n v="36.62882096069869"/>
    <n v="26.693925233644858"/>
    <n v="19.265193370165743"/>
    <n v="26.491620111731844"/>
    <n v="25.48"/>
    <n v="38.936170212765958"/>
    <n v="19.265193370165743"/>
    <n v="18.279184950254162"/>
    <n v="-5.1180821337538318E-2"/>
  </r>
  <r>
    <x v="32"/>
    <s v="US68389X1054"/>
    <n v="16.070110701107009"/>
    <n v="17.281746031746032"/>
    <n v="18.112068965517246"/>
    <n v="14.193277310924371"/>
    <n v="11.712389380530974"/>
    <n v="17.459183673469386"/>
    <n v="13.514970059880241"/>
    <n v="16.190082644628099"/>
    <n v="20.954128440366972"/>
    <n v="18.283018867924525"/>
    <n v="17.555555555555554"/>
    <n v="20"/>
    <n v="20.727272727272727"/>
    <n v="17.459183673469386"/>
    <n v="17.416129748944677"/>
    <n v="-2.4659758056233549E-3"/>
  </r>
  <r>
    <x v="33"/>
    <s v="US7134481081"/>
    <n v="17.981515711645102"/>
    <n v="19.339960238568587"/>
    <n v="20.335483870967742"/>
    <n v="19.423887587822016"/>
    <n v="15.840277777777779"/>
    <n v="16.926020408163264"/>
    <n v="16.210918114143919"/>
    <n v="15.549872122762148"/>
    <n v="14.527851458885943"/>
    <n v="23.644859813084114"/>
    <n v="18.375366568914956"/>
    <n v="17.766467065868266"/>
    <n v="21.84100418410042"/>
    <n v="17.981515711645102"/>
    <n v="20.388193514583453"/>
    <n v="0.13384176515107393"/>
  </r>
  <r>
    <x v="34"/>
    <s v="US7170811035"/>
    <n v="17.821428571428573"/>
    <n v="18.779569892473116"/>
    <n v="17.115384615384613"/>
    <n v="21.570422535211268"/>
    <n v="15.199575757575758"/>
    <n v="11.154639175257733"/>
    <n v="13.78740157480315"/>
    <n v="17.833333333333336"/>
    <n v="14.398373983739837"/>
    <n v="18.941666666666666"/>
    <n v="22.196581196581196"/>
    <n v="15.342105263157896"/>
    <n v="24.669724770642201"/>
    <n v="17.821428571428573"/>
    <n v="19.058502576538345"/>
    <n v="6.94149742346164E-2"/>
  </r>
  <r>
    <x v="35"/>
    <s v="US7181721090"/>
    <n v="16.738"/>
    <n v="17.806382978723402"/>
    <n v="19.030373831775702"/>
    <n v="18.304621848739497"/>
    <n v="15.901140684410647"/>
    <n v="15.179883945841393"/>
    <n v="12.068041237113404"/>
    <n v="12.293367346938775"/>
    <n v="13.429012345679011"/>
    <s v=""/>
    <s v=""/>
    <s v=""/>
    <s v=""/>
    <n v="15.901140684410647"/>
    <n v="18.95941098735133"/>
    <n v="0.19233024621554273"/>
  </r>
  <r>
    <x v="36"/>
    <s v="US7427181091"/>
    <n v="17.641188959660298"/>
    <n v="19.596698113207548"/>
    <n v="21.355978260869566"/>
    <n v="19.344221105527637"/>
    <n v="15.992167101827675"/>
    <n v="20.774509803921568"/>
    <n v="15.579220779220778"/>
    <n v="14.726224783861671"/>
    <n v="17.938053097345133"/>
    <n v="17.997058823529411"/>
    <n v="19.947183098591548"/>
    <n v="21.184738955823292"/>
    <n v="21.517786561264824"/>
    <n v="19.344221105527637"/>
    <n v="20.067893945899527"/>
    <n v="3.7410285812184974E-2"/>
  </r>
  <r>
    <x v="37"/>
    <s v="US92343V1044"/>
    <n v="12.031553398058252"/>
    <n v="12.454773869346734"/>
    <n v="12.441489361702128"/>
    <n v="20.305785123966942"/>
    <n v="10.817500000000001"/>
    <n v="17.910714285714281"/>
    <n v="16.641860465116281"/>
    <n v="15.059090909090909"/>
    <n v="14.125"/>
    <n v="19.331858407079647"/>
    <n v="19.631578947368421"/>
    <n v="14.009302325581396"/>
    <n v="15.286792452830188"/>
    <n v="15.059090909090909"/>
    <n v="12.941620131989266"/>
    <n v="-0.14061079715133151"/>
  </r>
  <r>
    <x v="38"/>
    <s v="US9311421039"/>
    <n v="15.111753371868978"/>
    <n v="17.342857142857142"/>
    <n v="14.788118811881191"/>
    <n v="14.334016393442624"/>
    <n v="12.223107569721117"/>
    <n v="12.40486725663717"/>
    <n v="11.953020134228188"/>
    <n v="12.735135135135133"/>
    <n v="14.976401179941004"/>
    <n v="15.230031948881789"/>
    <n v="17.014760147601475"/>
    <n v="19.552238805970148"/>
    <n v="22.344398340248961"/>
    <n v="14.976401179941004"/>
    <n v="15.785536577865987"/>
    <n v="5.4027358656011382E-2"/>
  </r>
  <r>
    <x v="39"/>
    <s v="z_BE0003793107"/>
    <n v="20.004574426229514"/>
    <n v="21.075631088082904"/>
    <n v="20.6492"/>
    <n v="19.215984476534295"/>
    <n v="17.653399185336045"/>
    <n v="13.780105955056179"/>
    <n v="15.790016528925618"/>
    <n v="20.867437200000001"/>
    <n v="8.1076199999999989"/>
    <s v=""/>
    <s v=""/>
    <s v=""/>
    <s v=""/>
    <n v="19.215984476534295"/>
    <n v="21.819378369384363"/>
    <n v="0.13548064092314482"/>
  </r>
  <r>
    <x v="40"/>
    <s v="z_CH0010570759"/>
    <n v="31.998953427524857"/>
    <n v="34.783845278725828"/>
    <n v="36.017643352236924"/>
    <n v="32.945205479452056"/>
    <n v="26.267123287671232"/>
    <n v="26.444818871103621"/>
    <n v="27.922077922077921"/>
    <n v="24.080568720379148"/>
    <n v="26.560112821718182"/>
    <n v="34.885964912280699"/>
    <n v="28.139321723189735"/>
    <n v="23.827616152844115"/>
    <n v="21.674043217912001"/>
    <n v="27.922077922077921"/>
    <n v="37.249676387725579"/>
    <n v="0.33405817760691603"/>
  </r>
  <r>
    <x v="41"/>
    <s v="z_DE0006048432"/>
    <n v="19.71223021582734"/>
    <n v="21.832669322709165"/>
    <n v="19.396963123644252"/>
    <n v="22.422872340425535"/>
    <n v="16.948228882833789"/>
    <n v="12.77650429799427"/>
    <n v="16.102076124567471"/>
    <n v="14.120155038759689"/>
    <n v="16.135714285714286"/>
    <n v="20.885869565217391"/>
    <n v="17.364485981308409"/>
    <n v="14.2378391959799"/>
    <n v="12.052711864406779"/>
    <n v="16.948228882833789"/>
    <n v="23.117621209901859"/>
    <n v="0.36401398457137968"/>
  </r>
  <r>
    <x v="42"/>
    <s v="z_DE0006483001"/>
    <n v="18.782961460446248"/>
    <n v="20.715883668903803"/>
    <n v="19.743918053777207"/>
    <n v="25.597643097643097"/>
    <n v="18.64406779661017"/>
    <n v="16.492109038737446"/>
    <n v="16.649560117302052"/>
    <n v="14.361774744027302"/>
    <n v="17.198275862068964"/>
    <n v="21.33254716981132"/>
    <n v="25.01918158567775"/>
    <n v="13.687825182101976"/>
    <n v="11.631313131313131"/>
    <n v="18.64406779661017"/>
    <n v="22.665601468613485"/>
    <n v="0.21570044240745045"/>
  </r>
  <r>
    <x v="43"/>
    <s v="z_DK0060534915"/>
    <n v="22.912280701754383"/>
    <n v="25.94701986754967"/>
    <n v="21.331967213114755"/>
    <n v="19.736842105263158"/>
    <n v="20.133689839572192"/>
    <n v="17.065637065637066"/>
    <n v="21.125"/>
    <n v="13.498983739837399"/>
    <s v=""/>
    <s v=""/>
    <s v=""/>
    <s v=""/>
    <s v=""/>
    <n v="20.629344919786096"/>
    <n v="29.848270024336053"/>
    <n v="0.44688404505311596"/>
  </r>
  <r>
    <x v="44"/>
    <s v="z_FR0000120321"/>
    <n v="24.49515905947441"/>
    <n v="26.393442622950818"/>
    <n v="22.43156199677939"/>
    <n v="23.913857677902623"/>
    <n v="20.448343079922029"/>
    <n v="16.435845213849287"/>
    <n v="19.231481481481481"/>
    <n v="19.451371571072322"/>
    <n v="18.216374269005847"/>
    <n v="28.074498567335244"/>
    <n v="22.589285714285715"/>
    <n v="21.073825503355703"/>
    <n v="21.48076923076923"/>
    <n v="21.48076923076923"/>
    <n v="27.803410230692077"/>
    <n v="0.29433959892210204"/>
  </r>
  <r>
    <x v="45"/>
    <s v="z_FR0000120578"/>
    <n v="18.484674329501917"/>
    <n v="20.018672199170123"/>
    <n v="16.776053215077606"/>
    <n v="23.369696969696971"/>
    <n v="25.679856115107917"/>
    <n v="15.173796791443849"/>
    <n v="11.153846153846153"/>
    <n v="13.172248803827753"/>
    <n v="11.265508684863523"/>
    <n v="21.421768707482993"/>
    <n v="17.982005141388175"/>
    <n v="25.084745762711862"/>
    <n v="35"/>
    <n v="18.484674329501917"/>
    <n v="20.935000753352419"/>
    <n v="0.13255989151725167"/>
  </r>
  <r>
    <x v="46"/>
    <s v="z_GB0002374006"/>
    <n v="17.766666666666666"/>
    <n v="19.1726618705036"/>
    <n v="21.277080957810718"/>
    <n v="21.05263157894737"/>
    <n v="16.585858585858588"/>
    <n v="16.532467532467532"/>
    <n v="13.94736842105263"/>
    <n v="13.204545454545453"/>
    <n v="14.215384615384615"/>
    <n v="17.576271186440678"/>
    <n v="16.536363636363635"/>
    <n v="12.283582089552239"/>
    <n v="16.163043478260867"/>
    <n v="16.536363636363635"/>
    <n v="19.514959202175884"/>
    <n v="0.18012397594246687"/>
  </r>
  <r>
    <x v="47"/>
    <s v="z_GB0004835483"/>
    <n v="21.809192378048781"/>
    <n v="23.255920353982301"/>
    <n v="21.574372294372292"/>
    <n v="25.18941244019139"/>
    <n v="19.695884558823526"/>
    <n v="13.406381628787877"/>
    <n v="19.297121052631578"/>
    <n v="12.18985"/>
    <n v="17.529753599999999"/>
    <n v="16.37469029850746"/>
    <n v="17.942603636363636"/>
    <s v=""/>
    <s v=""/>
    <n v="19.297121052631578"/>
    <n v="23.594210566821406"/>
    <n v="0.22268034192612518"/>
  </r>
  <r>
    <x v="48"/>
    <s v="z_GB00B24CGK77"/>
    <n v="21.568345323741006"/>
    <n v="23.513725490196077"/>
    <n v="21.890756302521009"/>
    <n v="10.563748299319727"/>
    <n v="15.775062761506275"/>
    <n v="12.363356"/>
    <n v="14.456396624472573"/>
    <n v="15.242542056074765"/>
    <n v="12.849835897435897"/>
    <n v="18.272883870967743"/>
    <n v="17.723117187500002"/>
    <s v=""/>
    <s v=""/>
    <n v="15.775062761506275"/>
    <n v="24.631254635704913"/>
    <n v="0.56140454133781259"/>
  </r>
  <r>
    <x v="49"/>
    <s v="z_IE00B4BNMY34"/>
    <n v="16.405594405594407"/>
    <n v="18.186046511627907"/>
    <n v="17.173728813559322"/>
    <n v="15.984513274336285"/>
    <n v="14.631828978622329"/>
    <n v="13.955729166666668"/>
    <n v="10.764705882352942"/>
    <n v="12.406015037593985"/>
    <n v="16.950819672131146"/>
    <n v="15.550943396226415"/>
    <n v="15.055837563451776"/>
    <n v="15.345911949685533"/>
    <n v="16.73076923076923"/>
    <n v="15.550943396226415"/>
    <n v="18.740929768112728"/>
    <n v="0.20513137310115814"/>
  </r>
  <r>
    <x v="50"/>
    <s v="z_IE00BTN1Y115"/>
    <n v="20.747340425531917"/>
    <n v="22.876832844574782"/>
    <n v="15.8544474393531"/>
    <n v="12.354497354497356"/>
    <n v="11.335311572700297"/>
    <n v="12.243401759530791"/>
    <n v="15.276223776223777"/>
    <n v="11.469534050179211"/>
    <n v="19.708502024291498"/>
    <n v="24.187214611872147"/>
    <n v="20.796680497925308"/>
    <n v="19.330143540669859"/>
    <n v="22.263157894736842"/>
    <n v="19.330143540669859"/>
    <n v="22.8544921875"/>
    <n v="0.18232397702660874"/>
  </r>
  <r>
    <x v="51"/>
    <s v="z_US02209S1033"/>
    <n v="16.136222910216716"/>
    <n v="17.258278145695364"/>
    <n v="17.723021582733814"/>
    <n v="14.99609375"/>
    <n v="13.911504424778762"/>
    <n v="14.393203883495145"/>
    <n v="15.012195121951221"/>
    <n v="10.497326203208555"/>
    <n v="6.0545454545454547"/>
    <n v="16.2"/>
    <n v="15.202027027027029"/>
    <n v="11.957615894039735"/>
    <n v="13.627049180327869"/>
    <n v="14.99609375"/>
    <n v="18.245040840140025"/>
    <n v="0.21665289270014232"/>
  </r>
  <r>
    <x v="52"/>
    <s v="z_US1266501006"/>
    <n v="15.50229709035222"/>
    <n v="17.948581560283689"/>
    <n v="19.695296523517385"/>
    <n v="18.073232323232322"/>
    <n v="12.927807486631016"/>
    <n v="13.503311258278146"/>
    <n v="13.529182879377434"/>
    <n v="12.935742971887549"/>
    <n v="11.270588235294118"/>
    <n v="18.23394495412844"/>
    <n v="16.098958333333336"/>
    <n v="16.481249999999999"/>
    <n v="15.565517241379311"/>
    <n v="15.565517241379311"/>
    <n v="19.734546340670949"/>
    <n v="0.26783749197930318"/>
  </r>
  <r>
    <x v="53"/>
    <s v="z_US17275R1023"/>
    <n v="13.720095693779905"/>
    <n v="14.934895833333334"/>
    <n v="14.417142857142858"/>
    <n v="17.174496644295303"/>
    <n v="8.5752688172043001"/>
    <n v="10.718120805369129"/>
    <n v="17.883720930232556"/>
    <n v="16.548872180451127"/>
    <n v="20.94285714285714"/>
    <n v="22.068702290076335"/>
    <n v="15.282051282051283"/>
    <n v="21.516853932584269"/>
    <n v="24.045977011494255"/>
    <n v="16.548872180451127"/>
    <n v="15.292200577734983"/>
    <n v="-7.5936993712515721E-2"/>
  </r>
  <r>
    <x v="54"/>
    <s v="z_US2635341090"/>
    <n v="14.852390852390853"/>
    <n v="15.770419426048564"/>
    <n v="18.531328320802004"/>
    <n v="16.573979591836736"/>
    <n v="14.476504666881233"/>
    <n v="15.518644067796609"/>
    <n v="13.554347826086957"/>
    <n v="10.265243902439025"/>
    <n v="13.177083333333334"/>
    <n v="17.56573705179283"/>
    <n v="15.155279503105588"/>
    <n v="12.57396449704142"/>
    <n v="23.695652173913043"/>
    <n v="15.155279503105588"/>
    <n v="17.16276276276276"/>
    <n v="0.13246098557573971"/>
  </r>
  <r>
    <x v="55"/>
    <s v="z_US3703341046"/>
    <n v="17.402476780185758"/>
    <n v="18.799331103678927"/>
    <n v="21.625984251968504"/>
    <n v="16.636042402826853"/>
    <n v="13.736559139784948"/>
    <n v="16.923404255319149"/>
    <n v="13.19074074074074"/>
    <n v="11.424107142857142"/>
    <n v="16.631578947368421"/>
    <n v="16.451612903225808"/>
    <n v="16.317610062893081"/>
    <n v="17.068965517241381"/>
    <n v="14.9512987012987"/>
    <n v="16.631578947368421"/>
    <n v="19.078489605430633"/>
    <n v="0.1471243750100697"/>
  </r>
  <r>
    <x v="56"/>
    <s v="z_US4878361082"/>
    <n v="15.797530864197531"/>
    <n v="17.43324250681199"/>
    <n v="18.643874643874643"/>
    <n v="15.986910994764399"/>
    <n v="14.697368421052632"/>
    <n v="13.969613259668508"/>
    <n v="14.032967032967033"/>
    <n v="16.121212121212125"/>
    <n v="13.876582278481013"/>
    <n v="17.535117056856187"/>
    <n v="18.166666666666668"/>
    <n v="17.438247011952193"/>
    <s v=""/>
    <n v="16.054061557988263"/>
    <n v="17.966302652106084"/>
    <n v="0.11911260506948285"/>
  </r>
  <r>
    <x v="57"/>
    <s v="z_US4943681035"/>
    <n v="16.998480243161094"/>
    <n v="18.128038897893031"/>
    <n v="21.677298311444655"/>
    <n v="18.958257713248639"/>
    <n v="15.267631103074141"/>
    <n v="16.642533936651585"/>
    <n v="15.799498746867167"/>
    <n v="14.316853932584269"/>
    <n v="11.668141592920355"/>
    <n v="17.163366336633665"/>
    <n v="16.613691931540345"/>
    <n v="18.661538461538463"/>
    <n v="20.064024390243905"/>
    <n v="16.998480243161094"/>
    <n v="19.979160464423934"/>
    <n v="0.17534980649002674"/>
  </r>
  <r>
    <x v="58"/>
    <s v="z_US57636Q1040"/>
    <n v="17.952755905511811"/>
    <n v="21.923076923076923"/>
    <n v="24.829971181556193"/>
    <n v="26.950322580645164"/>
    <n v="19.190625000000001"/>
    <n v="17.023744292237442"/>
    <n v="15.040939597315438"/>
    <n v="18.154609929078013"/>
    <n v="12.761607142857141"/>
    <n v="20.495238095238093"/>
    <s v=""/>
    <s v=""/>
    <s v=""/>
    <n v="18.672617464539009"/>
    <n v="24.712656655752514"/>
    <n v="0.32347040808199967"/>
  </r>
  <r>
    <x v="59"/>
    <s v="z_US6153691059"/>
    <n v="18.812280701754386"/>
    <n v="20.660886319845858"/>
    <n v="20.964989059080963"/>
    <n v="17.021691973969631"/>
    <n v="13.977777777777778"/>
    <n v="11.042622950819673"/>
    <n v="10.65863453815261"/>
    <n v="12.465116279069768"/>
    <n v="11.887573964497042"/>
    <n v="19.09090909090909"/>
    <n v="26.767441860465116"/>
    <n v="23.97674418604651"/>
    <s v=""/>
    <n v="17.916986337862006"/>
    <n v="22.48925138362948"/>
    <n v="0.25519163544292067"/>
  </r>
  <r>
    <x v="60"/>
    <s v="z_US91324P1021"/>
    <n v="14.598513011152416"/>
    <n v="16.782051282051285"/>
    <n v="16.174400000000002"/>
    <n v="13.210526315789473"/>
    <n v="9.8618181818181814"/>
    <n v="9.5984848484848477"/>
    <n v="7.634249471458773"/>
    <n v="7.434146341463415"/>
    <n v="8.2098765432098766"/>
    <n v="24.250000000000004"/>
    <n v="15.730994152046783"/>
    <n v="20.915824915824913"/>
    <n v="17.778225806451616"/>
    <n v="14.598513011152416"/>
    <n v="18.13585341343995"/>
    <n v="0.24230826794381111"/>
  </r>
  <r>
    <x v="61"/>
    <s v="z_US92826C8394"/>
    <n v="19.487106017191977"/>
    <n v="22.745819397993312"/>
    <n v="20.595559845559848"/>
    <n v="22.220930232558139"/>
    <n v="17.668421052631579"/>
    <n v="13.915584415584416"/>
    <n v="14.391472868217054"/>
    <n v="17.2775"/>
    <n v="19.676282051282051"/>
    <s v=""/>
    <s v=""/>
    <s v=""/>
    <s v=""/>
    <n v="19.487106017191977"/>
    <n v="24.126527394560505"/>
    <n v="0.23807646826960971"/>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r>
    <x v="62"/>
    <m/>
    <e v="#N/A"/>
    <e v="#N/A"/>
    <e v="#N/A"/>
    <e v="#N/A"/>
    <e v="#N/A"/>
    <e v="#N/A"/>
    <e v="#N/A"/>
    <e v="#N/A"/>
    <e v="#N/A"/>
    <e v="#N/A"/>
    <e v="#N/A"/>
    <e v="#N/A"/>
    <e v="#N/A"/>
    <e v="#N/A"/>
    <e v="#N/A"/>
    <e v="#N/A"/>
  </r>
</pivotCacheRecords>
</file>

<file path=xl/pivotCache/pivotCacheRecords2.xml><?xml version="1.0" encoding="utf-8"?>
<pivotCacheRecords xmlns="http://schemas.openxmlformats.org/spreadsheetml/2006/main" xmlns:r="http://schemas.openxmlformats.org/officeDocument/2006/relationships" count="100">
  <r>
    <x v="0"/>
    <s v="CH0011037469"/>
    <n v="31"/>
    <n v="12"/>
    <n v="2015"/>
    <n v="21.9"/>
    <n v="19.5"/>
    <n v="17"/>
    <n v="17.600000000000001"/>
    <n v="17.78"/>
    <n v="20.32"/>
    <n v="17.309999999999999"/>
    <n v="14.99"/>
    <n v="14.62"/>
    <n v="14.63"/>
    <n v="11.42"/>
    <n v="6.35"/>
    <n v="6.13"/>
  </r>
  <r>
    <x v="1"/>
    <s v="CH0012005267"/>
    <n v="31"/>
    <n v="12"/>
    <n v="2015"/>
    <n v="5.23"/>
    <n v="4.54"/>
    <n v="4.6399999999999997"/>
    <n v="4.3099999999999996"/>
    <n v="3.7"/>
    <n v="3.89"/>
    <n v="3.78"/>
    <n v="4.26"/>
    <n v="3.69"/>
    <n v="3.59"/>
    <n v="2.81"/>
    <n v="3.04"/>
    <n v="2.62"/>
  </r>
  <r>
    <x v="2"/>
    <s v="CH0012032048"/>
    <n v="31"/>
    <n v="12"/>
    <n v="2015"/>
    <n v="15.5"/>
    <n v="14.6"/>
    <n v="13.4"/>
    <n v="10.81"/>
    <n v="12.93"/>
    <n v="11.16"/>
    <n v="10.98"/>
    <n v="10.11"/>
    <n v="9.02"/>
    <n v="10.23"/>
    <n v="11.16"/>
    <n v="9.0500000000000007"/>
    <n v="6.71"/>
  </r>
  <r>
    <x v="3"/>
    <s v="CH0038863350"/>
    <n v="31"/>
    <n v="12"/>
    <n v="2015"/>
    <n v="3.82"/>
    <n v="3.56"/>
    <n v="3.33"/>
    <n v="1.704"/>
    <n v="2.6419999999999999"/>
    <n v="3.32"/>
    <n v="2.96"/>
    <n v="2.13"/>
    <n v="2.91"/>
    <n v="2.44"/>
    <n v="2.76"/>
    <n v="2.36"/>
    <n v="2.04"/>
  </r>
  <r>
    <x v="4"/>
    <s v="DE0005200000"/>
    <n v="31"/>
    <n v="12"/>
    <n v="2015"/>
    <n v="3.32"/>
    <n v="3.01"/>
    <n v="2.77"/>
    <n v="2.31"/>
    <n v="2.33"/>
    <n v="2.08"/>
    <n v="1.87"/>
    <n v="1.84"/>
    <n v="1.65"/>
    <n v="2.19"/>
    <n v="2.12"/>
    <n v="1.69"/>
    <n v="1.45"/>
  </r>
  <r>
    <x v="5"/>
    <s v="DE0005552004"/>
    <n v="31"/>
    <n v="12"/>
    <n v="2015"/>
    <n v="2.14"/>
    <n v="2.0099999999999998"/>
    <n v="1.8"/>
    <n v="1.64"/>
    <n v="1.66"/>
    <n v="1.32"/>
    <n v="0.96"/>
    <n v="2.1"/>
    <n v="0.53"/>
    <n v="-1.4"/>
    <n v="1.1499999999999999"/>
    <n v="1.6"/>
    <n v="1.99"/>
  </r>
  <r>
    <x v="6"/>
    <s v="DE0005557508"/>
    <n v="31"/>
    <n v="12"/>
    <n v="2015"/>
    <n v="0.92"/>
    <n v="0.74"/>
    <n v="0.62"/>
    <n v="0.53"/>
    <n v="0.63"/>
    <n v="0.57999999999999996"/>
    <n v="0.67"/>
    <n v="0.79"/>
    <n v="0.78"/>
    <n v="0.78"/>
    <n v="0.69"/>
    <n v="0.9"/>
    <n v="1.08"/>
  </r>
  <r>
    <x v="7"/>
    <s v="DE0007164600"/>
    <n v="31"/>
    <n v="12"/>
    <n v="2015"/>
    <n v="3.91"/>
    <n v="3.58"/>
    <n v="3.15"/>
    <n v="2.74"/>
    <n v="2.78"/>
    <n v="2.37"/>
    <n v="2.4700000000000002"/>
    <n v="2.1"/>
    <n v="1.47"/>
    <n v="1.55"/>
    <n v="1.59"/>
    <n v="1.52"/>
    <n v="1.2"/>
  </r>
  <r>
    <x v="8"/>
    <s v="DE0007236101"/>
    <n v="30"/>
    <n v="9"/>
    <n v="2015"/>
    <n v="7.68"/>
    <n v="7.05"/>
    <n v="7.71"/>
    <n v="6.31"/>
    <n v="5.03"/>
    <n v="5.04"/>
    <n v="6.96"/>
    <n v="4.4400000000000004"/>
    <n v="2.63"/>
    <n v="2.02"/>
    <n v="3.86"/>
    <n v="3.26"/>
    <n v="2.42"/>
  </r>
  <r>
    <x v="9"/>
    <s v="DE0008404005"/>
    <n v="31"/>
    <n v="12"/>
    <n v="2015"/>
    <n v="14.6"/>
    <n v="14.7"/>
    <n v="14.2"/>
    <n v="13.64"/>
    <n v="13.05"/>
    <n v="11.34"/>
    <n v="5.48"/>
    <n v="11.12"/>
    <n v="9.5"/>
    <n v="-5.47"/>
    <n v="17.71"/>
    <n v="16.78"/>
    <n v="11.24"/>
  </r>
  <r>
    <x v="10"/>
    <s v="DE0008430026"/>
    <n v="31"/>
    <n v="12"/>
    <n v="2015"/>
    <n v="16.899999999999999"/>
    <n v="16.8"/>
    <n v="17"/>
    <n v="18.309999999999999"/>
    <n v="18.5"/>
    <n v="17.98"/>
    <n v="3.94"/>
    <n v="13.06"/>
    <n v="12.95"/>
    <n v="7.48"/>
    <n v="17.899999999999999"/>
    <n v="15.12"/>
    <n v="11.7"/>
  </r>
  <r>
    <x v="11"/>
    <s v="DE000BASF111"/>
    <n v="31"/>
    <n v="12"/>
    <n v="2015"/>
    <n v="6.3"/>
    <n v="5.7"/>
    <n v="5.07"/>
    <n v="5.6"/>
    <n v="5.27"/>
    <n v="5.31"/>
    <n v="6.73"/>
    <n v="4.96"/>
    <n v="1.54"/>
    <n v="3.13"/>
    <n v="4.16"/>
    <n v="3.19"/>
    <n v="2.87"/>
  </r>
  <r>
    <x v="12"/>
    <s v="DE000BAY0017"/>
    <n v="31"/>
    <n v="12"/>
    <n v="2015"/>
    <n v="7.15"/>
    <n v="6.28"/>
    <n v="5.1100000000000003"/>
    <n v="4.1399999999999997"/>
    <n v="3.86"/>
    <n v="2.96"/>
    <n v="2.99"/>
    <n v="1.57"/>
    <n v="1.7"/>
    <n v="2.2200000000000002"/>
    <n v="3.8"/>
    <n v="2.2200000000000002"/>
    <n v="2.19"/>
  </r>
  <r>
    <x v="13"/>
    <s v="ES0178430E18"/>
    <n v="31"/>
    <n v="12"/>
    <n v="2015"/>
    <n v="1.03"/>
    <n v="0.9"/>
    <n v="0.8"/>
    <n v="0.61"/>
    <n v="1.01"/>
    <n v="0.87"/>
    <n v="1.2"/>
    <n v="2.25"/>
    <n v="1.71"/>
    <n v="1.63"/>
    <n v="1.87"/>
    <n v="1.3"/>
    <n v="0.91"/>
  </r>
  <r>
    <x v="14"/>
    <s v="FR0000120644"/>
    <n v="31"/>
    <n v="12"/>
    <n v="2015"/>
    <n v="3.41"/>
    <n v="3.17"/>
    <n v="2.87"/>
    <n v="1.88"/>
    <n v="2.42"/>
    <n v="2.77"/>
    <n v="2.77"/>
    <n v="3.04"/>
    <n v="2.57"/>
    <n v="2.74"/>
    <n v="1.83"/>
    <n v="2.77"/>
    <n v="2.94"/>
  </r>
  <r>
    <x v="15"/>
    <s v="GB0002875804"/>
    <n v="31"/>
    <n v="12"/>
    <n v="2015"/>
    <n v="2.4500000000000002"/>
    <n v="2.2000000000000002"/>
    <n v="2.0100000000000002"/>
    <n v="1.67"/>
    <n v="2.0499999999999998"/>
    <n v="1.97"/>
    <n v="1.56"/>
    <n v="1.44"/>
    <n v="1.36"/>
    <n v="1.23"/>
    <n v="1.04"/>
    <m/>
    <m/>
  </r>
  <r>
    <x v="16"/>
    <s v="GB0004544929"/>
    <n v="30"/>
    <n v="9"/>
    <n v="2015"/>
    <n v="1.96"/>
    <n v="1.8"/>
    <n v="1.69"/>
    <n v="1.48"/>
    <n v="0.96"/>
    <n v="0.68"/>
    <n v="1.77"/>
    <n v="1.48"/>
    <n v="0.65"/>
    <n v="0.5"/>
    <n v="1.1599999999999999"/>
    <m/>
    <m/>
  </r>
  <r>
    <x v="17"/>
    <s v="GB00BH4HKS39"/>
    <n v="31"/>
    <n v="3"/>
    <n v="2015"/>
    <n v="5.8700000000000002E-2"/>
    <n v="3.7200000000000004E-2"/>
    <n v="0.18300000000000002"/>
    <n v="0.41699999999999998"/>
    <n v="8.6999999999999994E-3"/>
    <n v="0.14000000000000001"/>
    <n v="0.15"/>
    <n v="0.16"/>
    <n v="0.06"/>
    <n v="0.13"/>
    <n v="-0.1"/>
    <n v="-0.28000000000000003"/>
    <n v="-0.11"/>
  </r>
  <r>
    <x v="18"/>
    <s v="NL0000009355"/>
    <n v="31"/>
    <n v="12"/>
    <n v="2015"/>
    <n v="2.12"/>
    <n v="1.95"/>
    <n v="1.81"/>
    <n v="1.79"/>
    <n v="1.66"/>
    <n v="1.54"/>
    <n v="1.46"/>
    <n v="1.46"/>
    <n v="1.17"/>
    <n v="1.21"/>
    <n v="1.31"/>
    <n v="1.119"/>
    <n v="1.129"/>
  </r>
  <r>
    <x v="19"/>
    <s v="US00206R1023"/>
    <n v="31"/>
    <n v="12"/>
    <n v="2015"/>
    <n v="2.65"/>
    <n v="2.6"/>
    <n v="2.5299999999999998"/>
    <n v="2.17"/>
    <n v="2.46"/>
    <n v="2.4500000000000002"/>
    <n v="1.97"/>
    <n v="3.22"/>
    <n v="2.12"/>
    <n v="2.16"/>
    <n v="1.94"/>
    <n v="1.89"/>
    <n v="1.42"/>
  </r>
  <r>
    <x v="20"/>
    <s v="US09247X1019"/>
    <n v="31"/>
    <n v="12"/>
    <n v="2015"/>
    <n v="26"/>
    <n v="23"/>
    <n v="20.100000000000001"/>
    <n v="19.25"/>
    <n v="16.87"/>
    <n v="13.79"/>
    <n v="12.37"/>
    <n v="10.55"/>
    <n v="6.11"/>
    <n v="5.78"/>
    <n v="6.22"/>
    <n v="5.29"/>
    <n v="4"/>
  </r>
  <r>
    <x v="21"/>
    <s v="US1912161007"/>
    <n v="31"/>
    <n v="12"/>
    <n v="2015"/>
    <n v="2.2599999999999998"/>
    <n v="2.1"/>
    <n v="1.96"/>
    <n v="1.6"/>
    <n v="1.9"/>
    <n v="1.97"/>
    <n v="1.85"/>
    <n v="1.61"/>
    <n v="1.47"/>
    <n v="1.51"/>
    <n v="1.29"/>
    <n v="1.08"/>
    <n v="1.02"/>
  </r>
  <r>
    <x v="22"/>
    <s v="US1941621039"/>
    <n v="31"/>
    <n v="12"/>
    <n v="2015"/>
    <n v="3.51"/>
    <n v="3.18"/>
    <n v="2.87"/>
    <n v="2.36"/>
    <n v="2.38"/>
    <n v="2.58"/>
    <n v="2.4700000000000002"/>
    <n v="2.15"/>
    <n v="2.19"/>
    <n v="1.83"/>
    <n v="1.6"/>
    <n v="1.23"/>
    <n v="1.22"/>
  </r>
  <r>
    <x v="23"/>
    <s v="US3696041033"/>
    <n v="31"/>
    <n v="12"/>
    <n v="2015"/>
    <n v="1.7"/>
    <n v="1.47"/>
    <n v="0.8"/>
    <n v="1.5"/>
    <n v="1.27"/>
    <n v="1.29"/>
    <n v="1.23"/>
    <n v="1.06"/>
    <n v="1.01"/>
    <n v="1.72"/>
    <n v="2.17"/>
    <n v="2"/>
    <n v="1.54"/>
  </r>
  <r>
    <x v="24"/>
    <s v="US4592001014"/>
    <n v="31"/>
    <n v="12"/>
    <n v="2015"/>
    <n v="16.8"/>
    <n v="15.3"/>
    <n v="14.6"/>
    <n v="15.59"/>
    <n v="14.94"/>
    <n v="14.37"/>
    <n v="13.06"/>
    <n v="11.52"/>
    <n v="10.01"/>
    <n v="8.93"/>
    <n v="7.18"/>
    <n v="6.11"/>
    <n v="4.88"/>
  </r>
  <r>
    <x v="25"/>
    <s v="US4781601046"/>
    <n v="31"/>
    <n v="12"/>
    <n v="2015"/>
    <n v="6.5"/>
    <n v="6.05"/>
    <n v="5.88"/>
    <n v="5.7"/>
    <n v="5.68"/>
    <n v="4.4400000000000004"/>
    <n v="4.46"/>
    <n v="4.78"/>
    <n v="4.4000000000000004"/>
    <n v="4.57"/>
    <n v="3.63"/>
    <n v="3.73"/>
    <n v="3.46"/>
  </r>
  <r>
    <x v="26"/>
    <s v="US50076Q1067"/>
    <n v="31"/>
    <n v="12"/>
    <n v="2015"/>
    <n v="3.73"/>
    <n v="3.44"/>
    <n v="3.23"/>
    <n v="3.4"/>
    <n v="2.79"/>
    <n v="2.75"/>
    <n v="3"/>
    <n v="3.2"/>
    <n v="3.21"/>
    <n v="2.38"/>
    <m/>
    <m/>
    <m/>
  </r>
  <r>
    <x v="27"/>
    <s v="US5801351017"/>
    <n v="31"/>
    <n v="12"/>
    <n v="2015"/>
    <n v="5.86"/>
    <n v="5.27"/>
    <n v="4.8899999999999997"/>
    <n v="4.82"/>
    <n v="5.55"/>
    <n v="5.36"/>
    <n v="5.27"/>
    <n v="4.58"/>
    <n v="4.1100000000000003"/>
    <n v="3.76"/>
    <n v="3.3"/>
    <n v="2.83"/>
    <n v="2.04"/>
  </r>
  <r>
    <x v="28"/>
    <s v="US58933Y1055"/>
    <n v="31"/>
    <n v="12"/>
    <n v="2015"/>
    <n v="3.1"/>
    <n v="2.96"/>
    <n v="1.78"/>
    <n v="1.67"/>
    <n v="1.47"/>
    <n v="2"/>
    <n v="2.02"/>
    <n v="3.42"/>
    <n v="1.31"/>
    <n v="2.85"/>
    <n v="1.49"/>
    <n v="2.0299999999999998"/>
    <n v="2.1"/>
  </r>
  <r>
    <x v="29"/>
    <s v="US5949181045"/>
    <n v="30"/>
    <n v="6"/>
    <n v="2015"/>
    <n v="3.26"/>
    <n v="2.87"/>
    <n v="2.38"/>
    <n v="2.63"/>
    <n v="2.67"/>
    <n v="2.73"/>
    <n v="2.69"/>
    <n v="2.1"/>
    <n v="1.62"/>
    <n v="1.87"/>
    <n v="1.42"/>
    <n v="1.2"/>
    <n v="1.1200000000000001"/>
  </r>
  <r>
    <x v="30"/>
    <s v="US6092071058"/>
    <n v="31"/>
    <n v="12"/>
    <n v="2015"/>
    <n v="2.15"/>
    <n v="1.88"/>
    <n v="1.6"/>
    <n v="1.28"/>
    <n v="1.29"/>
    <n v="0.86"/>
    <n v="0.97"/>
    <n v="0.38"/>
    <n v="0.56999999999999995"/>
    <n v="0.09"/>
    <m/>
    <m/>
    <m/>
  </r>
  <r>
    <x v="31"/>
    <s v="US61166W1018"/>
    <n v="31"/>
    <n v="8"/>
    <n v="2015"/>
    <n v="7.63"/>
    <n v="6.72"/>
    <n v="5.78"/>
    <n v="5.22"/>
    <n v="4.5999999999999996"/>
    <n v="3.79"/>
    <n v="2.96"/>
    <n v="2.29"/>
    <n v="4.28"/>
    <n v="3.62"/>
    <n v="1.79"/>
    <n v="1.25"/>
    <n v="0.47"/>
  </r>
  <r>
    <x v="32"/>
    <s v="US68389X1054"/>
    <n v="31"/>
    <n v="5"/>
    <n v="2015"/>
    <n v="2.71"/>
    <n v="2.52"/>
    <n v="2.3199999999999998"/>
    <n v="2.38"/>
    <n v="2.2599999999999998"/>
    <n v="1.96"/>
    <n v="1.67"/>
    <n v="1.21"/>
    <n v="1.0900000000000001"/>
    <n v="1.06"/>
    <n v="0.81"/>
    <n v="0.64"/>
    <n v="0.55000000000000004"/>
  </r>
  <r>
    <x v="33"/>
    <s v="US7134481081"/>
    <n v="31"/>
    <n v="12"/>
    <n v="2015"/>
    <n v="5.41"/>
    <n v="5.03"/>
    <n v="4.6500000000000004"/>
    <n v="4.2699999999999996"/>
    <n v="4.32"/>
    <n v="3.92"/>
    <n v="4.03"/>
    <n v="3.91"/>
    <n v="3.77"/>
    <n v="3.21"/>
    <n v="3.41"/>
    <n v="3.34"/>
    <n v="2.39"/>
  </r>
  <r>
    <x v="34"/>
    <s v="US7170811035"/>
    <n v="31"/>
    <n v="12"/>
    <n v="2015"/>
    <n v="1.96"/>
    <n v="1.86"/>
    <n v="1.82"/>
    <n v="1.42"/>
    <n v="1.65"/>
    <n v="1.94"/>
    <n v="1.27"/>
    <n v="1.02"/>
    <n v="1.23"/>
    <n v="1.2"/>
    <n v="1.17"/>
    <n v="1.52"/>
    <n v="1.0900000000000001"/>
  </r>
  <r>
    <x v="35"/>
    <s v="US7181721090"/>
    <n v="31"/>
    <n v="12"/>
    <n v="2015"/>
    <n v="5"/>
    <n v="4.7"/>
    <n v="4.28"/>
    <n v="4.76"/>
    <n v="5.26"/>
    <n v="5.17"/>
    <n v="4.8499999999999996"/>
    <n v="3.92"/>
    <n v="3.24"/>
    <n v="3.31"/>
    <m/>
    <m/>
    <m/>
  </r>
  <r>
    <x v="36"/>
    <s v="US7427181091"/>
    <n v="30"/>
    <n v="6"/>
    <n v="2015"/>
    <n v="4.71"/>
    <n v="4.24"/>
    <n v="3.68"/>
    <n v="3.98"/>
    <n v="3.83"/>
    <n v="3.06"/>
    <n v="3.85"/>
    <n v="3.47"/>
    <n v="3.39"/>
    <n v="3.4"/>
    <n v="2.84"/>
    <n v="2.4900000000000002"/>
    <n v="2.5299999999999998"/>
  </r>
  <r>
    <x v="37"/>
    <s v="US92343V1044"/>
    <n v="31"/>
    <n v="12"/>
    <n v="2015"/>
    <n v="4.12"/>
    <n v="3.98"/>
    <n v="3.76"/>
    <n v="2.42"/>
    <n v="4"/>
    <n v="2.2400000000000002"/>
    <n v="2.15"/>
    <n v="2.2000000000000002"/>
    <n v="2.4"/>
    <n v="2.2599999999999998"/>
    <n v="1.9"/>
    <n v="2.15"/>
    <n v="2.65"/>
  </r>
  <r>
    <x v="38"/>
    <s v="US9311421039"/>
    <n v="31"/>
    <n v="1"/>
    <n v="2015"/>
    <n v="5.19"/>
    <n v="4.9000000000000004"/>
    <n v="5.05"/>
    <n v="4.88"/>
    <n v="5.0199999999999996"/>
    <n v="4.5199999999999996"/>
    <n v="4.47"/>
    <n v="3.7"/>
    <n v="3.39"/>
    <n v="3.13"/>
    <n v="2.71"/>
    <n v="2.68"/>
    <n v="2.41"/>
  </r>
  <r>
    <x v="39"/>
    <s v="z_BE0003793107"/>
    <n v="31"/>
    <n v="12"/>
    <n v="2015"/>
    <n v="6.1"/>
    <n v="5.79"/>
    <n v="5.5"/>
    <n v="5.54"/>
    <n v="4.91"/>
    <n v="4.45"/>
    <n v="3.63"/>
    <n v="2.5"/>
    <n v="2.9"/>
    <n v="1.93"/>
    <m/>
    <m/>
    <m/>
  </r>
  <r>
    <x v="40"/>
    <s v="z_CH0010570759"/>
    <n v="31"/>
    <n v="12"/>
    <n v="2015"/>
    <n v="1911"/>
    <n v="1758"/>
    <n v="1587"/>
    <n v="1460"/>
    <n v="1314"/>
    <n v="1187"/>
    <n v="1078"/>
    <n v="1055"/>
    <n v="850.9"/>
    <n v="1140"/>
    <n v="1091"/>
    <n v="921.2"/>
    <n v="768.2"/>
  </r>
  <r>
    <x v="41"/>
    <s v="z_DE0006048432"/>
    <n v="31"/>
    <n v="12"/>
    <n v="2015"/>
    <n v="5.56"/>
    <n v="5.0199999999999996"/>
    <n v="4.6100000000000003"/>
    <n v="3.76"/>
    <n v="3.67"/>
    <n v="3.49"/>
    <n v="2.89"/>
    <n v="2.58"/>
    <n v="1.4"/>
    <n v="1.84"/>
    <n v="2.14"/>
    <n v="1.99"/>
    <n v="1.77"/>
  </r>
  <r>
    <x v="42"/>
    <s v="z_DE0006483001"/>
    <n v="31"/>
    <n v="12"/>
    <n v="2015"/>
    <n v="9.86"/>
    <n v="8.94"/>
    <n v="7.81"/>
    <n v="5.94"/>
    <n v="7.08"/>
    <n v="6.97"/>
    <n v="6.82"/>
    <n v="5.86"/>
    <n v="3.48"/>
    <n v="4.24"/>
    <n v="3.1280000000000001"/>
    <n v="4.8049999999999997"/>
    <n v="3.96"/>
  </r>
  <r>
    <x v="43"/>
    <s v="z_DK0060534915"/>
    <n v="31"/>
    <n v="12"/>
    <n v="2015"/>
    <n v="17.100000000000001"/>
    <n v="15.1"/>
    <n v="12.2"/>
    <n v="10.07"/>
    <n v="9.35"/>
    <n v="7.77"/>
    <n v="6"/>
    <n v="4.92"/>
    <n v="3.56"/>
    <n v="3.11"/>
    <n v="2.68"/>
    <n v="2"/>
    <n v="1.78"/>
  </r>
  <r>
    <x v="44"/>
    <s v="z_FR0000120321"/>
    <n v="31"/>
    <n v="12"/>
    <n v="2015"/>
    <n v="7.23"/>
    <n v="6.71"/>
    <n v="6.21"/>
    <n v="5.34"/>
    <n v="5.13"/>
    <n v="4.91"/>
    <n v="4.32"/>
    <n v="4.01"/>
    <n v="3.42"/>
    <n v="3.49"/>
    <n v="3.36"/>
    <n v="2.98"/>
    <n v="2.6"/>
  </r>
  <r>
    <x v="45"/>
    <s v="z_FR0000120578"/>
    <n v="31"/>
    <n v="12"/>
    <n v="2015"/>
    <n v="5.22"/>
    <n v="4.82"/>
    <n v="4.51"/>
    <n v="3.3"/>
    <n v="2.78"/>
    <n v="3.74"/>
    <n v="4.29"/>
    <n v="4.18"/>
    <n v="4.03"/>
    <n v="2.94"/>
    <n v="3.89"/>
    <n v="2.95"/>
    <n v="1.68"/>
  </r>
  <r>
    <x v="46"/>
    <s v="z_GB0002374006"/>
    <n v="30"/>
    <n v="6"/>
    <n v="2015"/>
    <n v="1.05"/>
    <n v="0.97299999999999998"/>
    <n v="0.877"/>
    <n v="0.89300000000000002"/>
    <n v="0.99"/>
    <n v="0.77"/>
    <n v="0.76"/>
    <n v="0.66"/>
    <n v="0.65"/>
    <n v="0.59"/>
    <n v="0.55000000000000004"/>
    <n v="0.67"/>
    <n v="0.46"/>
  </r>
  <r>
    <x v="47"/>
    <s v="z_GB0004835483"/>
    <n v="31"/>
    <n v="3"/>
    <n v="2015"/>
    <n v="2.46"/>
    <n v="2.2599999999999998"/>
    <n v="2.31"/>
    <n v="2.09"/>
    <n v="2.04"/>
    <n v="2.64"/>
    <n v="1.52"/>
    <n v="1.22"/>
    <n v="1.25"/>
    <n v="1.34"/>
    <n v="1.1000000000000001"/>
    <m/>
    <m/>
  </r>
  <r>
    <x v="48"/>
    <s v="z_GB00B24CGK77"/>
    <n v="31"/>
    <n v="12"/>
    <n v="2015"/>
    <n v="2.7800000000000002"/>
    <n v="2.5500000000000003"/>
    <n v="2.38"/>
    <n v="4.41"/>
    <n v="2.39"/>
    <n v="2.5"/>
    <n v="2.37"/>
    <n v="2.14"/>
    <n v="1.95"/>
    <n v="1.55"/>
    <n v="1.28"/>
    <m/>
    <m/>
  </r>
  <r>
    <x v="49"/>
    <s v="z_IE00B4BNMY34"/>
    <n v="31"/>
    <n v="8"/>
    <n v="2015"/>
    <n v="5.72"/>
    <n v="5.16"/>
    <n v="4.72"/>
    <n v="4.5199999999999996"/>
    <n v="4.21"/>
    <n v="3.84"/>
    <n v="3.4"/>
    <n v="2.66"/>
    <n v="2.44"/>
    <n v="2.65"/>
    <n v="1.97"/>
    <n v="1.59"/>
    <n v="1.56"/>
  </r>
  <r>
    <x v="50"/>
    <s v="z_IE00BTN1Y115"/>
    <n v="30"/>
    <n v="4"/>
    <n v="2015"/>
    <n v="3.76"/>
    <n v="3.41"/>
    <n v="3.71"/>
    <n v="3.78"/>
    <n v="3.37"/>
    <n v="3.41"/>
    <n v="2.86"/>
    <n v="2.79"/>
    <n v="2.4700000000000002"/>
    <n v="2.19"/>
    <n v="2.41"/>
    <n v="2.09"/>
    <n v="1.9"/>
  </r>
  <r>
    <x v="51"/>
    <s v="z_US02209S1033"/>
    <n v="31"/>
    <n v="12"/>
    <n v="2015"/>
    <n v="3.23"/>
    <n v="3.02"/>
    <n v="2.78"/>
    <n v="2.56"/>
    <n v="2.2599999999999998"/>
    <n v="2.06"/>
    <n v="1.64"/>
    <n v="1.87"/>
    <n v="1.54"/>
    <n v="1.48"/>
    <n v="1.48"/>
    <n v="1.51"/>
    <n v="1.22"/>
  </r>
  <r>
    <x v="52"/>
    <s v="z_US1266501006"/>
    <n v="31"/>
    <n v="12"/>
    <n v="2015"/>
    <n v="6.53"/>
    <n v="5.64"/>
    <n v="4.8899999999999997"/>
    <n v="3.96"/>
    <n v="3.74"/>
    <n v="3.02"/>
    <n v="2.57"/>
    <n v="2.4900000000000002"/>
    <n v="2.5499999999999998"/>
    <n v="2.1800000000000002"/>
    <n v="1.92"/>
    <n v="1.6"/>
    <n v="1.45"/>
  </r>
  <r>
    <x v="53"/>
    <s v="z_US17275R1023"/>
    <n v="31"/>
    <n v="7"/>
    <n v="2015"/>
    <n v="2.09"/>
    <n v="1.92"/>
    <n v="1.75"/>
    <n v="1.49"/>
    <n v="1.86"/>
    <n v="1.49"/>
    <n v="1.29"/>
    <n v="1.33"/>
    <n v="1.05"/>
    <n v="1.31"/>
    <n v="1.17"/>
    <n v="0.89"/>
    <n v="0.87"/>
  </r>
  <r>
    <x v="54"/>
    <s v="z_US2635341090"/>
    <n v="31"/>
    <n v="12"/>
    <n v="2015"/>
    <n v="4.8099999999999996"/>
    <n v="4.53"/>
    <n v="3.99"/>
    <n v="3.92"/>
    <n v="3.1070000000000002"/>
    <n v="2.95"/>
    <n v="3.68"/>
    <n v="3.28"/>
    <n v="1.92"/>
    <n v="2.5099999999999998"/>
    <n v="3.22"/>
    <n v="3.38"/>
    <n v="2.0699999999999998"/>
  </r>
  <r>
    <x v="55"/>
    <s v="z_US3703341046"/>
    <n v="31"/>
    <n v="5"/>
    <n v="2015"/>
    <n v="3.23"/>
    <n v="2.99"/>
    <n v="2.54"/>
    <n v="2.83"/>
    <n v="2.79"/>
    <n v="2.35"/>
    <n v="2.7"/>
    <n v="2.2400000000000002"/>
    <n v="1.9"/>
    <n v="1.86"/>
    <n v="1.59"/>
    <n v="1.45"/>
    <n v="1.54"/>
  </r>
  <r>
    <x v="56"/>
    <s v="z_US4878361082"/>
    <n v="31"/>
    <n v="12"/>
    <n v="2015"/>
    <n v="4.05"/>
    <n v="3.67"/>
    <n v="3.51"/>
    <n v="3.82"/>
    <n v="3.8"/>
    <n v="3.62"/>
    <n v="3.64"/>
    <n v="3.3"/>
    <n v="3.16"/>
    <n v="2.99"/>
    <n v="2.76"/>
    <n v="2.5099999999999998"/>
    <n v="2.36"/>
  </r>
  <r>
    <x v="57"/>
    <s v="z_US4943681035"/>
    <n v="31"/>
    <n v="12"/>
    <n v="2015"/>
    <n v="6.58"/>
    <n v="6.17"/>
    <n v="5.33"/>
    <n v="5.51"/>
    <n v="5.53"/>
    <n v="4.42"/>
    <n v="3.99"/>
    <n v="4.45"/>
    <n v="4.5199999999999996"/>
    <n v="4.04"/>
    <n v="4.09"/>
    <n v="3.25"/>
    <n v="3.28"/>
  </r>
  <r>
    <x v="58"/>
    <s v="z_US57636Q1040"/>
    <n v="31"/>
    <n v="12"/>
    <n v="2015"/>
    <n v="5.08"/>
    <n v="4.16"/>
    <n v="3.47"/>
    <n v="3.1"/>
    <n v="2.56"/>
    <n v="2.19"/>
    <n v="1.49"/>
    <n v="1.41"/>
    <n v="1.1200000000000001"/>
    <n v="1.05"/>
    <n v="0.79"/>
    <n v="0.34"/>
    <m/>
  </r>
  <r>
    <x v="59"/>
    <s v="z_US6153691059"/>
    <n v="31"/>
    <n v="12"/>
    <n v="2015"/>
    <n v="5.7"/>
    <n v="5.19"/>
    <n v="4.57"/>
    <n v="4.6100000000000003"/>
    <n v="3.6"/>
    <n v="3.05"/>
    <n v="2.4900000000000002"/>
    <n v="2.15"/>
    <n v="1.69"/>
    <n v="1.87"/>
    <n v="2.58"/>
    <n v="2.58"/>
    <n v="1.84"/>
  </r>
  <r>
    <x v="60"/>
    <s v="z_US91324P1021"/>
    <n v="31"/>
    <n v="12"/>
    <n v="2015"/>
    <n v="8.07"/>
    <n v="7.02"/>
    <n v="6.25"/>
    <n v="5.7"/>
    <n v="5.5"/>
    <n v="5.28"/>
    <n v="4.7300000000000004"/>
    <n v="4.0999999999999996"/>
    <n v="3.24"/>
    <n v="2.4"/>
    <n v="3.42"/>
    <n v="2.97"/>
    <n v="2.48"/>
  </r>
  <r>
    <x v="61"/>
    <s v="z_US92826C8394"/>
    <n v="30"/>
    <n v="9"/>
    <n v="2015"/>
    <n v="3.49"/>
    <n v="2.99"/>
    <n v="2.59"/>
    <n v="2.15"/>
    <n v="1.9"/>
    <n v="1.54"/>
    <n v="1.29"/>
    <n v="1"/>
    <n v="0.78"/>
    <n v="0.24"/>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pivotCacheRecords>
</file>

<file path=xl/pivotCache/pivotCacheRecords3.xml><?xml version="1.0" encoding="utf-8"?>
<pivotCacheRecords xmlns="http://schemas.openxmlformats.org/spreadsheetml/2006/main" xmlns:r="http://schemas.openxmlformats.org/officeDocument/2006/relationships" count="100">
  <r>
    <x v="0"/>
    <s v="CH0011037469"/>
    <n v="31"/>
    <n v="12"/>
    <n v="2015"/>
    <n v="117"/>
    <n v="107"/>
    <n v="101"/>
    <n v="96.98"/>
    <n v="103.44"/>
    <n v="95.32"/>
    <n v="82.12"/>
    <n v="80.680000000000007"/>
    <n v="75.489999999999995"/>
    <n v="60.72"/>
    <n v="59.74"/>
    <n v="54.48"/>
    <n v="50.78"/>
  </r>
  <r>
    <x v="1"/>
    <s v="CH0012005267"/>
    <n v="31"/>
    <n v="12"/>
    <n v="2015"/>
    <n v="31.5"/>
    <n v="31.2"/>
    <n v="30.3"/>
    <n v="29.5"/>
    <n v="30.64"/>
    <n v="25.53"/>
    <n v="23.98"/>
    <n v="23.96"/>
    <n v="21.76"/>
    <n v="19.02"/>
    <n v="18.04"/>
    <n v="15.06"/>
    <n v="12.04"/>
  </r>
  <r>
    <x v="2"/>
    <s v="CH0012032048"/>
    <n v="31"/>
    <n v="12"/>
    <n v="2015"/>
    <n v="45"/>
    <n v="37.9"/>
    <n v="31.1"/>
    <n v="22.71"/>
    <n v="22.37"/>
    <n v="16.8"/>
    <n v="14.02"/>
    <n v="10.98"/>
    <n v="8.5399999999999991"/>
    <m/>
    <m/>
    <m/>
    <m/>
  </r>
  <r>
    <x v="3"/>
    <s v="CH0038863350"/>
    <n v="31"/>
    <n v="12"/>
    <n v="2015"/>
    <n v="25.2"/>
    <n v="23.8"/>
    <n v="22.5"/>
    <n v="21.75"/>
    <n v="19.399999999999999"/>
    <n v="18.899999999999999"/>
    <n v="17.21"/>
    <n v="17.850000000000001"/>
    <m/>
    <m/>
    <m/>
    <m/>
    <m/>
  </r>
  <r>
    <x v="4"/>
    <s v="DE0005200000"/>
    <n v="31"/>
    <n v="12"/>
    <n v="2015"/>
    <n v="22.4"/>
    <n v="20.100000000000001"/>
    <n v="18"/>
    <n v="16"/>
    <n v="13.51"/>
    <n v="13.04"/>
    <n v="11.97"/>
    <n v="11.59"/>
    <n v="10.46"/>
    <n v="9.76"/>
    <n v="8.2100000000000009"/>
    <n v="7.1"/>
    <n v="5.13"/>
  </r>
  <r>
    <x v="5"/>
    <s v="DE0005552004"/>
    <n v="31"/>
    <n v="12"/>
    <n v="2015"/>
    <n v="10.9"/>
    <n v="9.8000000000000007"/>
    <n v="8.7799999999999994"/>
    <n v="7.74"/>
    <n v="8.15"/>
    <n v="9.89"/>
    <n v="9.11"/>
    <n v="8.69"/>
    <n v="6.76"/>
    <n v="6.47"/>
    <n v="9.16"/>
    <n v="9.33"/>
    <n v="8.98"/>
  </r>
  <r>
    <x v="6"/>
    <s v="DE0005557508"/>
    <n v="31"/>
    <n v="12"/>
    <n v="2015"/>
    <n v="6.69"/>
    <n v="6.31"/>
    <n v="6.24"/>
    <n v="7.51"/>
    <n v="7.2"/>
    <n v="7.07"/>
    <n v="9.24"/>
    <n v="9.9600000000000009"/>
    <n v="9.6199999999999992"/>
    <n v="9.89"/>
    <n v="10.37"/>
    <n v="11.39"/>
    <n v="11.81"/>
  </r>
  <r>
    <x v="7"/>
    <s v="DE0007164600"/>
    <n v="31"/>
    <n v="12"/>
    <n v="2015"/>
    <n v="22.1"/>
    <n v="20.2"/>
    <n v="18.100000000000001"/>
    <n v="15.88"/>
    <n v="13.06"/>
    <n v="11.53"/>
    <n v="10.34"/>
    <n v="7.99"/>
    <n v="6.91"/>
    <n v="5.86"/>
    <n v="5.22"/>
    <n v="4.84"/>
    <n v="4.57"/>
  </r>
  <r>
    <x v="8"/>
    <s v="DE0007236101"/>
    <n v="30"/>
    <n v="9"/>
    <n v="2015"/>
    <n v="46.2"/>
    <n v="42.2"/>
    <n v="39"/>
    <n v="35.14"/>
    <n v="31.91"/>
    <n v="34.880000000000003"/>
    <n v="34.49"/>
    <n v="31.01"/>
    <n v="29.15"/>
    <n v="29.29"/>
    <n v="31.72"/>
    <n v="32.89"/>
    <n v="30.6"/>
  </r>
  <r>
    <x v="9"/>
    <s v="DE0008404005"/>
    <n v="31"/>
    <n v="12"/>
    <n v="2015"/>
    <n v="147"/>
    <n v="141"/>
    <n v="136"/>
    <n v="132.82"/>
    <n v="109.71"/>
    <n v="117.45"/>
    <n v="98.65"/>
    <n v="97.89"/>
    <n v="88.49"/>
    <n v="74.349999999999994"/>
    <n v="106.07"/>
    <n v="116.8"/>
    <n v="97.26"/>
  </r>
  <r>
    <x v="10"/>
    <s v="DE0008430026"/>
    <n v="31"/>
    <n v="12"/>
    <n v="2015"/>
    <n v="199"/>
    <n v="191"/>
    <n v="184"/>
    <n v="173.66"/>
    <n v="144.88"/>
    <n v="151.56"/>
    <n v="128.62"/>
    <n v="120.86"/>
    <n v="111.7"/>
    <n v="101.58"/>
    <n v="114.53"/>
    <n v="113.01"/>
    <n v="105.36"/>
  </r>
  <r>
    <x v="11"/>
    <s v="DE000BASF111"/>
    <n v="31"/>
    <n v="12"/>
    <n v="2015"/>
    <n v="35.5"/>
    <n v="33.6"/>
    <n v="31.2"/>
    <n v="30.7"/>
    <n v="30.25"/>
    <n v="28.09"/>
    <n v="27.64"/>
    <n v="24.67"/>
    <n v="20.260000000000002"/>
    <n v="20.38"/>
    <n v="21.01"/>
    <n v="18.59"/>
    <n v="17.03"/>
  </r>
  <r>
    <x v="12"/>
    <s v="DE000BAY0017"/>
    <n v="31"/>
    <n v="12"/>
    <n v="2015"/>
    <n v="34.200000000000003"/>
    <n v="32.299999999999997"/>
    <n v="28.4"/>
    <n v="24.45"/>
    <n v="25.16"/>
    <n v="22.45"/>
    <n v="23.3"/>
    <n v="22.85"/>
    <n v="22.92"/>
    <n v="21.38"/>
    <n v="22.01"/>
    <m/>
    <m/>
  </r>
  <r>
    <x v="13"/>
    <s v="ES0178430E18"/>
    <n v="31"/>
    <n v="12"/>
    <n v="2015"/>
    <n v="5.85"/>
    <n v="5.45"/>
    <n v="5.25"/>
    <n v="4.53"/>
    <n v="4.6500000000000004"/>
    <n v="4.5"/>
    <n v="4.8"/>
    <n v="5.41"/>
    <n v="4.7699999999999996"/>
    <n v="3.66"/>
    <n v="4.22"/>
    <n v="3.49"/>
    <n v="2.59"/>
  </r>
  <r>
    <x v="14"/>
    <s v="FR0000120644"/>
    <n v="31"/>
    <n v="12"/>
    <n v="2015"/>
    <n v="23.7"/>
    <n v="23"/>
    <n v="20.9"/>
    <n v="19.489999999999998"/>
    <n v="18.239999999999998"/>
    <n v="20.55"/>
    <n v="20.149999999999999"/>
    <n v="19.38"/>
    <n v="21.61"/>
    <n v="16.82"/>
    <n v="17.59"/>
    <m/>
    <m/>
  </r>
  <r>
    <x v="15"/>
    <s v="GB0002875804"/>
    <n v="31"/>
    <n v="12"/>
    <n v="2015"/>
    <n v="4.33"/>
    <n v="4.5200000000000005"/>
    <n v="4.12"/>
    <n v="2.72"/>
    <n v="3.27"/>
    <n v="3.69"/>
    <n v="4.03"/>
    <n v="4.54"/>
    <n v="3.76"/>
    <n v="3.43"/>
    <n v="3.39"/>
    <m/>
    <m/>
  </r>
  <r>
    <x v="16"/>
    <s v="GB0004544929"/>
    <n v="30"/>
    <n v="9"/>
    <n v="2015"/>
    <n v="5.22"/>
    <n v="5.22"/>
    <n v="5.18"/>
    <n v="4.8899999999999997"/>
    <n v="5.24"/>
    <n v="5.65"/>
    <n v="7.17"/>
    <n v="6.58"/>
    <n v="6.12"/>
    <n v="5.91"/>
    <m/>
    <m/>
    <m/>
  </r>
  <r>
    <x v="17"/>
    <s v="GB00BH4HKS39"/>
    <n v="31"/>
    <n v="3"/>
    <n v="2015"/>
    <n v="2.65"/>
    <n v="2.52"/>
    <n v="2.58"/>
    <n v="2.46"/>
    <m/>
    <m/>
    <m/>
    <m/>
    <m/>
    <m/>
    <m/>
    <m/>
    <m/>
  </r>
  <r>
    <x v="18"/>
    <s v="NL0000009355"/>
    <n v="31"/>
    <n v="12"/>
    <n v="2015"/>
    <n v="6.71"/>
    <n v="6.07"/>
    <n v="5.44"/>
    <n v="4.55"/>
    <n v="4.78"/>
    <n v="5.05"/>
    <n v="4.76"/>
    <n v="4.83"/>
    <n v="4.0199999999999996"/>
    <n v="3.32"/>
    <n v="4.13"/>
    <n v="3.74"/>
    <n v="2.79"/>
  </r>
  <r>
    <x v="19"/>
    <s v="US00206R1023"/>
    <n v="31"/>
    <n v="12"/>
    <n v="2015"/>
    <n v="19.100000000000001"/>
    <n v="17.5"/>
    <n v="16.899999999999999"/>
    <n v="16.760000000000002"/>
    <n v="17.5"/>
    <n v="16.61"/>
    <n v="17.850000000000001"/>
    <n v="18.940000000000001"/>
    <n v="17.34"/>
    <n v="16.350000000000001"/>
    <n v="19.09"/>
    <n v="18.52"/>
    <m/>
  </r>
  <r>
    <x v="20"/>
    <s v="US09247X1019"/>
    <n v="31"/>
    <n v="12"/>
    <n v="2015"/>
    <n v="190"/>
    <n v="180"/>
    <n v="170"/>
    <n v="166.79"/>
    <n v="158.83000000000001"/>
    <n v="147.43"/>
    <n v="140.47999999999999"/>
    <n v="136.47999999999999"/>
    <n v="128.85"/>
    <n v="102.13"/>
    <n v="98.87"/>
    <n v="92.6"/>
    <n v="14.41"/>
  </r>
  <r>
    <x v="21"/>
    <s v="US1912161007"/>
    <n v="31"/>
    <n v="12"/>
    <n v="2015"/>
    <n v="6.91"/>
    <n v="6.86"/>
    <n v="6.84"/>
    <n v="6.94"/>
    <n v="7.54"/>
    <n v="7.34"/>
    <n v="6.99"/>
    <n v="6.76"/>
    <n v="5.38"/>
    <n v="4.43"/>
    <n v="4.6900000000000004"/>
    <n v="3.65"/>
    <n v="3.45"/>
  </r>
  <r>
    <x v="22"/>
    <s v="US1941621039"/>
    <n v="31"/>
    <n v="12"/>
    <n v="2015"/>
    <n v="2.17"/>
    <n v="1.85"/>
    <n v="1.68"/>
    <n v="1.53"/>
    <n v="2.76"/>
    <n v="2.56"/>
    <n v="2.65"/>
    <n v="2.85"/>
    <n v="3.3"/>
    <n v="1.92"/>
    <n v="2.25"/>
    <n v="1.38"/>
    <n v="1.31"/>
  </r>
  <r>
    <x v="23"/>
    <s v="US3696041033"/>
    <n v="31"/>
    <n v="12"/>
    <n v="2015"/>
    <n v="10.7"/>
    <n v="24.3"/>
    <n v="24.8"/>
    <n v="12.74"/>
    <n v="12.98"/>
    <n v="11.82"/>
    <n v="11.01"/>
    <n v="11.2"/>
    <n v="11"/>
    <n v="9.93"/>
    <n v="11.57"/>
    <n v="10.93"/>
    <n v="10.43"/>
  </r>
  <r>
    <x v="24"/>
    <s v="US4592001014"/>
    <n v="31"/>
    <n v="12"/>
    <n v="2015"/>
    <n v="32.799999999999997"/>
    <n v="25.2"/>
    <n v="19.100000000000001"/>
    <n v="12.13"/>
    <n v="21.75"/>
    <n v="16.989999999999998"/>
    <n v="17.399999999999999"/>
    <n v="19"/>
    <n v="17.43"/>
    <n v="10.06"/>
    <n v="20.55"/>
    <n v="18.920000000000002"/>
    <n v="21.03"/>
  </r>
  <r>
    <x v="25"/>
    <s v="US4781601046"/>
    <n v="31"/>
    <n v="12"/>
    <n v="2015"/>
    <n v="34.9"/>
    <n v="29.8"/>
    <n v="26.7"/>
    <n v="25.06"/>
    <n v="26.25"/>
    <n v="23.33"/>
    <n v="20.95"/>
    <n v="20.66"/>
    <n v="18.37"/>
    <n v="15.35"/>
    <n v="15.25"/>
    <n v="13.59"/>
    <n v="12.73"/>
  </r>
  <r>
    <x v="26"/>
    <s v="US50076Q1067"/>
    <n v="31"/>
    <n v="12"/>
    <n v="2015"/>
    <n v="8.57"/>
    <n v="8.4700000000000006"/>
    <n v="7.6"/>
    <n v="7.43"/>
    <n v="8.6999999999999993"/>
    <n v="6.02"/>
    <n v="4.9800000000000004"/>
    <n v="5.125"/>
    <n v="4.3775000000000004"/>
    <n v="3.7949999999999999"/>
    <m/>
    <m/>
    <m/>
  </r>
  <r>
    <x v="27"/>
    <s v="US5801351017"/>
    <n v="31"/>
    <n v="12"/>
    <n v="2015"/>
    <n v="11.8"/>
    <n v="12.3"/>
    <n v="12.8"/>
    <n v="13.35"/>
    <n v="16.16"/>
    <n v="15.25"/>
    <n v="14.09"/>
    <n v="13.89"/>
    <n v="12.67"/>
    <n v="12"/>
    <n v="13.11"/>
    <n v="12.84"/>
    <n v="11.99"/>
  </r>
  <r>
    <x v="28"/>
    <s v="US58933Y1055"/>
    <n v="31"/>
    <n v="12"/>
    <n v="2015"/>
    <n v="16.600000000000001"/>
    <n v="16.8"/>
    <n v="16.8"/>
    <n v="17.14"/>
    <n v="17"/>
    <n v="17.52"/>
    <n v="17.93"/>
    <n v="17.64"/>
    <n v="19"/>
    <m/>
    <m/>
    <m/>
    <m/>
  </r>
  <r>
    <x v="29"/>
    <s v="US5949181045"/>
    <n v="30"/>
    <n v="6"/>
    <n v="2015"/>
    <n v="14.5"/>
    <n v="13.3"/>
    <n v="12"/>
    <n v="10.9"/>
    <n v="9.48"/>
    <n v="7.92"/>
    <n v="6.82"/>
    <n v="5.33"/>
    <n v="4.4400000000000004"/>
    <n v="3.97"/>
    <n v="3.32"/>
    <n v="3.99"/>
    <n v="4.49"/>
  </r>
  <r>
    <x v="30"/>
    <s v="US6092071058"/>
    <n v="31"/>
    <n v="12"/>
    <n v="2015"/>
    <n v="17.8"/>
    <n v="17.2"/>
    <n v="16.2"/>
    <n v="16.68"/>
    <n v="18.98"/>
    <n v="18.12"/>
    <n v="14.940000000000001"/>
    <n v="15.375"/>
    <n v="13.1325"/>
    <n v="11.385"/>
    <m/>
    <m/>
    <m/>
  </r>
  <r>
    <x v="31"/>
    <s v="US61166W1018"/>
    <n v="31"/>
    <n v="8"/>
    <n v="2015"/>
    <n v="20.7"/>
    <n v="17.5"/>
    <n v="16.100000000000001"/>
    <n v="16.23"/>
    <n v="23.74"/>
    <n v="22.14"/>
    <n v="21.57"/>
    <n v="18.690000000000001"/>
    <n v="18.420000000000002"/>
    <n v="17.09"/>
    <n v="13.75"/>
    <n v="12.01"/>
    <n v="10.46"/>
  </r>
  <r>
    <x v="32"/>
    <s v="US68389X1054"/>
    <n v="31"/>
    <n v="5"/>
    <n v="2015"/>
    <n v="13.8"/>
    <n v="12.3"/>
    <n v="11"/>
    <n v="10.5"/>
    <n v="9.61"/>
    <n v="8.91"/>
    <n v="7.85"/>
    <n v="6.13"/>
    <n v="5.01"/>
    <n v="4.47"/>
    <n v="3.31"/>
    <n v="2.87"/>
    <n v="2.11"/>
  </r>
  <r>
    <x v="33"/>
    <s v="US7134481081"/>
    <n v="31"/>
    <n v="12"/>
    <n v="2015"/>
    <n v="13.3"/>
    <n v="11.6"/>
    <n v="11.5"/>
    <n v="11.93"/>
    <n v="16.100000000000001"/>
    <n v="14.6"/>
    <n v="13.44"/>
    <n v="13.65"/>
    <n v="11.21"/>
    <n v="7.86"/>
    <n v="10.79"/>
    <n v="9.43"/>
    <n v="8.65"/>
  </r>
  <r>
    <x v="34"/>
    <s v="US7170811035"/>
    <n v="31"/>
    <n v="12"/>
    <n v="2015"/>
    <n v="11.3"/>
    <n v="11"/>
    <n v="11"/>
    <n v="11.33"/>
    <n v="11.92"/>
    <n v="11.17"/>
    <n v="10.85"/>
    <n v="10.96"/>
    <n v="11.15"/>
    <m/>
    <m/>
    <m/>
    <m/>
  </r>
  <r>
    <x v="35"/>
    <s v="US7181721090"/>
    <n v="31"/>
    <n v="12"/>
    <n v="2015"/>
    <n v="-3.61"/>
    <n v="-3.21"/>
    <n v="-3.25"/>
    <n v="-8.16"/>
    <n v="-4.8899999999999997"/>
    <n v="-2.2200000000000002"/>
    <n v="0.13"/>
    <n v="1.95"/>
    <n v="3.03"/>
    <m/>
    <m/>
    <m/>
    <m/>
  </r>
  <r>
    <x v="36"/>
    <s v="US7427181091"/>
    <n v="30"/>
    <n v="6"/>
    <n v="2015"/>
    <n v="23.8"/>
    <n v="23.2"/>
    <n v="23.3"/>
    <n v="25.81"/>
    <n v="25.06"/>
    <n v="23.3"/>
    <n v="24.59"/>
    <n v="21.61"/>
    <n v="21.65"/>
    <n v="22.91"/>
    <n v="21.32"/>
    <n v="19.79"/>
    <m/>
  </r>
  <r>
    <x v="37"/>
    <s v="US92343V1044"/>
    <n v="31"/>
    <n v="12"/>
    <n v="2015"/>
    <n v="5.49"/>
    <n v="5.57"/>
    <n v="3.73"/>
    <n v="2.96"/>
    <m/>
    <m/>
    <m/>
    <m/>
    <m/>
    <m/>
    <m/>
    <m/>
    <m/>
  </r>
  <r>
    <x v="38"/>
    <s v="US9311421039"/>
    <n v="31"/>
    <n v="1"/>
    <n v="2015"/>
    <n v="29.4"/>
    <n v="27.7"/>
    <n v="25.21"/>
    <n v="23.59"/>
    <n v="23.04"/>
    <n v="20.86"/>
    <n v="19.489999999999998"/>
    <n v="18.82"/>
    <n v="16.63"/>
    <n v="16.260000000000002"/>
    <n v="14.91"/>
    <n v="12.77"/>
    <n v="11.67"/>
  </r>
  <r>
    <x v="39"/>
    <s v="z_BE0003793107"/>
    <n v="31"/>
    <n v="12"/>
    <n v="2015"/>
    <n v="35.700000000000003"/>
    <n v="35"/>
    <n v="33.4"/>
    <n v="31.08"/>
    <n v="31.32"/>
    <n v="25.6"/>
    <n v="23.34"/>
    <n v="21.97"/>
    <n v="18.899999999999999"/>
    <m/>
    <m/>
    <m/>
    <m/>
  </r>
  <r>
    <x v="40"/>
    <s v="z_CH0010570759"/>
    <n v="31"/>
    <n v="12"/>
    <n v="2015"/>
    <n v="15840"/>
    <n v="15990"/>
    <n v="15069"/>
    <n v="22071"/>
    <n v="19373"/>
    <n v="12607"/>
    <n v="11565"/>
    <n v="11946"/>
    <n v="16177"/>
    <n v="14790"/>
    <n v="13894"/>
    <n v="11558"/>
    <n v="9711"/>
  </r>
  <r>
    <x v="41"/>
    <s v="z_DE0006048432"/>
    <n v="31"/>
    <n v="12"/>
    <n v="2015"/>
    <n v="40.200000000000003"/>
    <n v="35.1"/>
    <n v="32.799999999999997"/>
    <n v="26.59"/>
    <n v="23.19"/>
    <n v="21.72"/>
    <n v="20"/>
    <n v="18.149999999999999"/>
    <n v="14.94"/>
    <n v="14.92"/>
    <n v="13.03"/>
    <n v="12.66"/>
    <n v="12.33"/>
  </r>
  <r>
    <x v="42"/>
    <s v="z_DE0006483001"/>
    <n v="31"/>
    <n v="12"/>
    <n v="2015"/>
    <n v="74.599999999999994"/>
    <n v="81.599999999999994"/>
    <n v="76.599999999999994"/>
    <n v="76.81"/>
    <n v="73.180000000000007"/>
    <n v="73.739999999999995"/>
    <n v="70.98"/>
    <n v="66.72"/>
    <n v="54.39"/>
    <n v="48.96"/>
    <n v="55.38"/>
    <n v="51.18"/>
    <n v="36.81"/>
  </r>
  <r>
    <x v="43"/>
    <s v="z_DK0060534915"/>
    <n v="31"/>
    <n v="12"/>
    <n v="2015"/>
    <n v="26.2"/>
    <n v="21.9"/>
    <n v="18"/>
    <n v="15.21"/>
    <n v="15.48"/>
    <n v="14.51"/>
    <n v="13.47"/>
    <n v="12.92"/>
    <n v="12.15"/>
    <n v="10.85"/>
    <n v="9.9600000000000009"/>
    <n v="9.5"/>
    <n v="8.52"/>
  </r>
  <r>
    <x v="44"/>
    <s v="z_FR0000120321"/>
    <n v="31"/>
    <n v="12"/>
    <n v="2015"/>
    <n v="46.8"/>
    <n v="43"/>
    <n v="39.5"/>
    <n v="35.97"/>
    <n v="37.36"/>
    <n v="34.380000000000003"/>
    <n v="29.25"/>
    <n v="24.73"/>
    <n v="22.7"/>
    <n v="19.63"/>
    <n v="22.04"/>
    <n v="22.86"/>
    <n v="22.25"/>
  </r>
  <r>
    <x v="45"/>
    <s v="z_FR0000120578"/>
    <n v="31"/>
    <n v="12"/>
    <n v="2015"/>
    <n v="46.2"/>
    <n v="45"/>
    <n v="44.1"/>
    <n v="42.54"/>
    <n v="42.95"/>
    <n v="43.23"/>
    <n v="41.93"/>
    <n v="40.5"/>
    <n v="36.65"/>
    <n v="34.11"/>
    <n v="32.61"/>
    <n v="33.54"/>
    <n v="33.42"/>
  </r>
  <r>
    <x v="46"/>
    <s v="z_GB0002374006"/>
    <n v="30"/>
    <n v="6"/>
    <n v="2015"/>
    <n v="3.7800000000000002"/>
    <n v="3.35"/>
    <n v="2.98"/>
    <n v="2.48"/>
    <n v="2.5499999999999998"/>
    <n v="2.0299999999999998"/>
    <n v="1.9"/>
    <n v="1.45"/>
    <n v="1.1399999999999999"/>
    <n v="1.25"/>
    <n v="1.36"/>
    <n v="1.48"/>
    <n v="1.19"/>
  </r>
  <r>
    <x v="47"/>
    <s v="z_GB0004835483"/>
    <n v="31"/>
    <n v="3"/>
    <n v="2015"/>
    <n v="20.2"/>
    <n v="18.899999999999999"/>
    <n v="17.600000000000001"/>
    <n v="15.74"/>
    <n v="15.79"/>
    <n v="15.07"/>
    <n v="13.27"/>
    <n v="12.13"/>
    <n v="9.6999999999999993"/>
    <n v="11.65"/>
    <n v="9.57"/>
    <m/>
    <m/>
  </r>
  <r>
    <x v="48"/>
    <s v="z_GB00B24CGK77"/>
    <n v="31"/>
    <n v="12"/>
    <n v="2015"/>
    <n v="11.58"/>
    <n v="10.88"/>
    <n v="10.029999999999999"/>
    <n v="9.51"/>
    <n v="8.6"/>
    <n v="8.06"/>
    <n v="7.84"/>
    <n v="6.97"/>
    <n v="5.55"/>
    <n v="4.5599999999999996"/>
    <n v="3.3"/>
    <m/>
    <m/>
  </r>
  <r>
    <x v="49"/>
    <s v="z_IE00B4BNMY34"/>
    <n v="31"/>
    <n v="8"/>
    <n v="2015"/>
    <n v="11.4"/>
    <n v="9.98"/>
    <n v="9.5500000000000007"/>
    <n v="8.73"/>
    <n v="7.44"/>
    <n v="6.13"/>
    <n v="5.62"/>
    <n v="4.07"/>
    <n v="3.98"/>
    <n v="3.47"/>
    <n v="2.71"/>
    <n v="2.29"/>
    <n v="1.97"/>
  </r>
  <r>
    <x v="50"/>
    <s v="z_IE00BTN1Y115"/>
    <n v="30"/>
    <n v="4"/>
    <n v="2015"/>
    <n v="24"/>
    <n v="22.5"/>
    <n v="21"/>
    <n v="19.46"/>
    <n v="18.38"/>
    <n v="16.5"/>
    <n v="14.92"/>
    <n v="13.33"/>
    <n v="11.78"/>
    <n v="10.26"/>
    <n v="9.6"/>
    <n v="8.1199999999999992"/>
    <n v="8.6300000000000008"/>
  </r>
  <r>
    <x v="51"/>
    <s v="z_US02209S1033"/>
    <n v="31"/>
    <n v="12"/>
    <n v="2015"/>
    <n v="1.26"/>
    <n v="1.68"/>
    <n v="2.09"/>
    <n v="1.53"/>
    <n v="2.0699999999999998"/>
    <n v="1.58"/>
    <n v="1.8"/>
    <n v="2.4900000000000002"/>
    <n v="1.96"/>
    <m/>
    <m/>
    <m/>
    <m/>
  </r>
  <r>
    <x v="52"/>
    <s v="z_US1266501006"/>
    <n v="31"/>
    <n v="12"/>
    <n v="2015"/>
    <n v="34.6"/>
    <n v="33.4"/>
    <n v="32.6"/>
    <n v="33.299999999999997"/>
    <n v="32.15"/>
    <n v="30.62"/>
    <n v="29.32"/>
    <n v="27.66"/>
    <n v="25.72"/>
    <n v="24.03"/>
    <n v="21.8"/>
    <m/>
    <m/>
  </r>
  <r>
    <x v="53"/>
    <s v="z_US17275R1023"/>
    <n v="31"/>
    <n v="7"/>
    <n v="2015"/>
    <n v="13.1"/>
    <n v="12.5"/>
    <n v="10.9"/>
    <n v="11.1"/>
    <n v="10.97"/>
    <n v="9.68"/>
    <n v="8.69"/>
    <n v="7.83"/>
    <n v="6.68"/>
    <n v="5.83"/>
    <n v="5.2"/>
    <n v="3.95"/>
    <n v="3.66"/>
  </r>
  <r>
    <x v="54"/>
    <s v="z_US2635341090"/>
    <n v="31"/>
    <n v="12"/>
    <n v="2015"/>
    <n v="19.100000000000001"/>
    <n v="17.3"/>
    <n v="15.7"/>
    <n v="14.72"/>
    <n v="17.510000000000002"/>
    <n v="10.81"/>
    <n v="9.2799999999999994"/>
    <n v="10.11"/>
    <n v="7.98"/>
    <n v="7.9"/>
    <n v="12.38"/>
    <n v="10.220000000000001"/>
    <n v="9.69"/>
  </r>
  <r>
    <x v="55"/>
    <s v="z_US3703341046"/>
    <n v="31"/>
    <n v="5"/>
    <n v="2015"/>
    <n v="10.4"/>
    <n v="10.1"/>
    <n v="10.1"/>
    <n v="10.67"/>
    <n v="10.41"/>
    <n v="9.9"/>
    <n v="9.8699999999999992"/>
    <n v="8.3000000000000007"/>
    <n v="7.95"/>
    <n v="10.45"/>
    <n v="7.82"/>
    <n v="8.11"/>
    <n v="7.69"/>
  </r>
  <r>
    <x v="56"/>
    <s v="z_US4878361082"/>
    <n v="31"/>
    <n v="12"/>
    <n v="2015"/>
    <n v="11"/>
    <n v="10.1"/>
    <n v="9.48"/>
    <n v="7.83"/>
    <n v="9.77"/>
    <n v="6.7"/>
    <n v="4.93"/>
    <n v="5.91"/>
    <n v="5.97"/>
    <n v="3.79"/>
    <n v="6.48"/>
    <n v="5.2"/>
    <n v="5.63"/>
  </r>
  <r>
    <x v="57"/>
    <s v="z_US4943681035"/>
    <n v="31"/>
    <n v="12"/>
    <n v="2015"/>
    <n v="2.59"/>
    <n v="1.73"/>
    <n v="1.41"/>
    <n v="2"/>
    <n v="12.75"/>
    <n v="12.81"/>
    <n v="13.27"/>
    <n v="14.54"/>
    <n v="12.99"/>
    <n v="9.3800000000000008"/>
    <n v="12.41"/>
    <n v="13.38"/>
    <n v="12.04"/>
  </r>
  <r>
    <x v="58"/>
    <s v="z_US57636Q1040"/>
    <n v="31"/>
    <n v="12"/>
    <n v="2015"/>
    <n v="12.8"/>
    <n v="8.48"/>
    <n v="7.12"/>
    <n v="5.89"/>
    <n v="6.27"/>
    <n v="5.61"/>
    <n v="4.63"/>
    <n v="3.98"/>
    <n v="2.7"/>
    <m/>
    <m/>
    <m/>
    <m/>
  </r>
  <r>
    <x v="59"/>
    <s v="z_US6153691059"/>
    <n v="31"/>
    <n v="12"/>
    <n v="2015"/>
    <n v="-3.52"/>
    <n v="-2.94"/>
    <n v="-1.22"/>
    <n v="-0.92"/>
    <n v="1.58"/>
    <n v="1.73"/>
    <n v="-0.76"/>
    <n v="-1.34"/>
    <n v="-2.56"/>
    <n v="-4.2300000000000004"/>
    <n v="-3.12"/>
    <n v="0.6"/>
    <n v="1.07"/>
  </r>
  <r>
    <x v="60"/>
    <s v="z_US91324P1021"/>
    <n v="31"/>
    <n v="12"/>
    <n v="2015"/>
    <n v="45.2"/>
    <n v="41.9"/>
    <n v="37.1"/>
    <n v="35.47"/>
    <n v="33.729999999999997"/>
    <n v="32.68"/>
    <n v="27.23"/>
    <n v="23.78"/>
    <n v="20.58"/>
    <n v="17.3"/>
    <n v="16.010000000000002"/>
    <n v="15.47"/>
    <n v="13.06"/>
  </r>
  <r>
    <x v="61"/>
    <s v="z_US92826C8394"/>
    <n v="30"/>
    <n v="9"/>
    <n v="2015"/>
    <n v="22.5"/>
    <n v="12"/>
    <n v="10.76"/>
    <n v="8.7899999999999991"/>
    <n v="8.61"/>
    <n v="8.52"/>
    <n v="8.02"/>
    <n v="7.49"/>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r>
    <x v="62"/>
    <m/>
    <m/>
    <m/>
    <m/>
    <m/>
    <m/>
    <m/>
    <m/>
    <m/>
    <m/>
    <m/>
    <m/>
    <m/>
    <m/>
    <m/>
    <m/>
    <m/>
  </r>
</pivotCacheRecords>
</file>

<file path=xl/pivotCache/pivotCacheRecords4.xml><?xml version="1.0" encoding="utf-8"?>
<pivotCacheRecords xmlns="http://schemas.openxmlformats.org/spreadsheetml/2006/main" xmlns:r="http://schemas.openxmlformats.org/officeDocument/2006/relationships" count="100">
  <r>
    <x v="0"/>
    <s v="CH0011037469"/>
    <m/>
    <n v="91.66"/>
    <n v="91.75"/>
    <n v="91.74"/>
    <n v="91.25"/>
    <n v="92.2"/>
    <n v="94.6"/>
    <n v="96.9"/>
    <n v="100.8"/>
    <n v="104"/>
    <n v="106.4"/>
  </r>
  <r>
    <x v="1"/>
    <s v="CH0012005267"/>
    <m/>
    <n v="2399"/>
    <n v="2426"/>
    <n v="2706"/>
    <n v="2746"/>
    <n v="2638"/>
    <n v="2638"/>
    <n v="2644"/>
    <n v="2729"/>
    <n v="2729"/>
    <n v="2739"/>
  </r>
  <r>
    <x v="2"/>
    <s v="CH0012032048"/>
    <m/>
    <n v="862.56"/>
    <n v="862.56"/>
    <n v="862.56"/>
    <n v="862.56"/>
    <n v="862.56"/>
    <n v="862.56"/>
    <n v="862.56"/>
    <n v="862.6"/>
    <n v="862.6"/>
    <n v="862.6"/>
  </r>
  <r>
    <x v="3"/>
    <s v="CH0038863350"/>
    <m/>
    <n v="3225"/>
    <n v="3225"/>
    <n v="3225"/>
    <n v="3300"/>
    <n v="3465"/>
    <n v="3650"/>
    <n v="3830"/>
    <n v="3931"/>
    <n v="4007"/>
    <n v="4035"/>
  </r>
  <r>
    <x v="4"/>
    <s v="DE0005200000"/>
    <m/>
    <n v="252"/>
    <n v="252"/>
    <n v="252"/>
    <n v="252"/>
    <n v="252"/>
    <n v="252"/>
    <n v="252"/>
    <n v="252"/>
    <n v="252"/>
    <n v="252"/>
  </r>
  <r>
    <x v="5"/>
    <s v="DE0005552004"/>
    <m/>
    <n v="1211"/>
    <n v="1209"/>
    <n v="1209"/>
    <n v="1209"/>
    <n v="1209"/>
    <n v="1209"/>
    <n v="1209"/>
    <n v="1208"/>
    <n v="1202"/>
    <n v="1193"/>
  </r>
  <r>
    <x v="6"/>
    <s v="DE0005557508"/>
    <m/>
    <n v="4536"/>
    <n v="4451"/>
    <n v="4321"/>
    <n v="4321"/>
    <n v="4321"/>
    <n v="4361"/>
    <n v="4361"/>
    <n v="4361"/>
    <n v="4361"/>
    <n v="4198"/>
  </r>
  <r>
    <x v="7"/>
    <s v="DE0007164600"/>
    <m/>
    <n v="1229"/>
    <n v="1229"/>
    <n v="1229"/>
    <n v="1228"/>
    <n v="1227"/>
    <n v="1226"/>
    <n v="1226"/>
    <n v="1246"/>
    <n v="1268"/>
    <n v="1266"/>
  </r>
  <r>
    <x v="8"/>
    <s v="DE0007236101"/>
    <m/>
    <n v="881"/>
    <n v="881"/>
    <n v="881"/>
    <n v="914.2"/>
    <n v="914.2"/>
    <n v="914.2"/>
    <n v="914.2"/>
    <n v="914.2"/>
    <n v="891"/>
    <n v="891"/>
  </r>
  <r>
    <x v="9"/>
    <s v="DE0008404005"/>
    <m/>
    <n v="457"/>
    <n v="456.5"/>
    <n v="455.95"/>
    <n v="455.3"/>
    <n v="454.5"/>
    <n v="453.9"/>
    <n v="453.05"/>
    <n v="450.2"/>
    <n v="432.2"/>
    <n v="406"/>
  </r>
  <r>
    <x v="10"/>
    <s v="DE0008430026"/>
    <m/>
    <n v="172.94"/>
    <n v="179.34"/>
    <n v="179.34"/>
    <n v="179.3"/>
    <n v="188.5"/>
    <n v="197.4"/>
    <n v="206.4"/>
    <n v="217.9"/>
    <n v="229.6"/>
    <n v="229.6"/>
  </r>
  <r>
    <x v="11"/>
    <s v="DE000BASF111"/>
    <m/>
    <n v="918.5"/>
    <n v="918.5"/>
    <n v="918.5"/>
    <n v="918.5"/>
    <n v="918.5"/>
    <n v="918.5"/>
    <n v="918.5"/>
    <n v="956.4"/>
    <n v="999.4"/>
    <n v="1029"/>
  </r>
  <r>
    <x v="12"/>
    <s v="DE000BAY0017"/>
    <m/>
    <n v="826.95"/>
    <n v="826.95"/>
    <n v="826.95"/>
    <n v="826.95"/>
    <n v="826.9"/>
    <n v="826.9"/>
    <n v="764.3"/>
    <n v="764.3"/>
    <n v="764.3"/>
    <n v="730.3"/>
  </r>
  <r>
    <x v="13"/>
    <s v="ES0178430E18"/>
    <m/>
    <n v="4657"/>
    <n v="4551"/>
    <n v="4551"/>
    <n v="4511"/>
    <n v="4522"/>
    <n v="4553"/>
    <n v="4705"/>
    <n v="4774"/>
    <n v="4921"/>
    <n v="4921"/>
  </r>
  <r>
    <x v="14"/>
    <s v="FR0000120644"/>
    <m/>
    <n v="600.08000000000004"/>
    <n v="586.41999999999996"/>
    <n v="593.33000000000004"/>
    <n v="600.64"/>
    <n v="616.23"/>
    <n v="613.48"/>
    <n v="513.79999999999995"/>
    <n v="512.79999999999995"/>
    <n v="521.79999999999995"/>
    <n v="528.4"/>
  </r>
  <r>
    <x v="15"/>
    <s v="GB0002875804"/>
    <m/>
    <n v="2027"/>
    <n v="2026"/>
    <n v="2026"/>
    <n v="2026"/>
    <n v="2026"/>
    <n v="2025"/>
    <n v="2025"/>
    <n v="2025"/>
    <m/>
    <m/>
  </r>
  <r>
    <x v="16"/>
    <s v="GB0004544929"/>
    <m/>
    <n v="1036"/>
    <n v="1068"/>
    <n v="1068"/>
    <n v="1068"/>
    <n v="1068"/>
    <n v="1068"/>
    <n v="1068"/>
    <m/>
    <m/>
    <m/>
  </r>
  <r>
    <x v="17"/>
    <s v="GB00BH4HKS39"/>
    <n v="28812"/>
    <n v="28812"/>
    <m/>
    <m/>
    <m/>
    <m/>
    <m/>
    <m/>
    <m/>
    <m/>
    <m/>
  </r>
  <r>
    <x v="18"/>
    <s v="NL0000009355"/>
    <m/>
    <n v="3000"/>
    <n v="3000"/>
    <n v="3000"/>
    <n v="3000"/>
    <n v="3000"/>
    <n v="3000"/>
    <n v="3000"/>
    <n v="3000"/>
    <n v="3000"/>
    <n v="3000"/>
  </r>
  <r>
    <x v="19"/>
    <s v="US00206R1023"/>
    <m/>
    <n v="5187"/>
    <n v="5226"/>
    <n v="5581"/>
    <n v="5927"/>
    <n v="5911"/>
    <n v="5902"/>
    <n v="5893"/>
    <n v="6044"/>
    <n v="6239"/>
    <m/>
  </r>
  <r>
    <x v="20"/>
    <s v="US09247X1019"/>
    <m/>
    <n v="164.79"/>
    <n v="166.59"/>
    <n v="168.88"/>
    <n v="138.46"/>
    <n v="131.19999999999999"/>
    <m/>
    <m/>
    <m/>
    <m/>
    <m/>
  </r>
  <r>
    <x v="21"/>
    <s v="US1912161007"/>
    <m/>
    <n v="4366"/>
    <n v="4402"/>
    <n v="4469"/>
    <n v="4526"/>
    <n v="4584"/>
    <n v="4606"/>
    <n v="4624"/>
    <n v="4636"/>
    <n v="4636"/>
    <n v="4738"/>
  </r>
  <r>
    <x v="22"/>
    <s v="US1941621039"/>
    <m/>
    <n v="907.08"/>
    <n v="918.94"/>
    <n v="935.39"/>
    <n v="959.2"/>
    <n v="987.8"/>
    <n v="987.4"/>
    <n v="1003"/>
    <n v="1018"/>
    <n v="1025"/>
    <n v="1032"/>
  </r>
  <r>
    <x v="23"/>
    <s v="US3696041033"/>
    <m/>
    <n v="10057"/>
    <n v="10061"/>
    <n v="10406"/>
    <n v="10573"/>
    <n v="10615"/>
    <n v="10663"/>
    <n v="10537"/>
    <n v="9988"/>
    <n v="10277"/>
    <n v="10484"/>
  </r>
  <r>
    <x v="24"/>
    <s v="US4592001014"/>
    <m/>
    <n v="990.52"/>
    <n v="1054"/>
    <n v="1117"/>
    <n v="1163"/>
    <n v="1220"/>
    <n v="1305"/>
    <n v="1339"/>
    <n v="1385"/>
    <n v="1507"/>
    <n v="1574"/>
  </r>
  <r>
    <x v="25"/>
    <s v="US4781601046"/>
    <m/>
    <n v="2783"/>
    <n v="2821"/>
    <n v="2778"/>
    <n v="2724"/>
    <n v="2738"/>
    <n v="2754"/>
    <n v="2769"/>
    <n v="2840"/>
    <n v="2893"/>
    <n v="2975"/>
  </r>
  <r>
    <x v="26"/>
    <s v="US50076Q1067"/>
    <m/>
    <n v="587.33000000000004"/>
    <n v="596.30999999999995"/>
    <n v="593.37"/>
    <m/>
    <m/>
    <m/>
    <m/>
    <m/>
    <m/>
    <m/>
  </r>
  <r>
    <x v="27"/>
    <s v="US5801351017"/>
    <m/>
    <n v="962.9"/>
    <n v="990.4"/>
    <n v="1003"/>
    <n v="1021"/>
    <n v="1054"/>
    <n v="1107"/>
    <n v="1115"/>
    <n v="1165"/>
    <n v="1204"/>
    <n v="1263"/>
  </r>
  <r>
    <x v="28"/>
    <s v="US58933Y1055"/>
    <m/>
    <n v="2838"/>
    <n v="2928"/>
    <n v="3027"/>
    <n v="3041"/>
    <n v="3082"/>
    <n v="3108"/>
    <m/>
    <m/>
    <m/>
    <m/>
  </r>
  <r>
    <x v="29"/>
    <s v="US5949181045"/>
    <m/>
    <n v="8239"/>
    <n v="8328"/>
    <n v="8381"/>
    <n v="8376"/>
    <n v="8668"/>
    <n v="8908"/>
    <n v="9151"/>
    <n v="9380"/>
    <n v="10062"/>
    <n v="10710"/>
  </r>
  <r>
    <x v="30"/>
    <s v="US6092071058"/>
    <m/>
    <n v="1664"/>
    <n v="1705"/>
    <n v="1778"/>
    <n v="1768"/>
    <n v="1749"/>
    <n v="1478"/>
    <n v="1469"/>
    <n v="1534"/>
    <n v="1636"/>
    <n v="1670"/>
  </r>
  <r>
    <x v="31"/>
    <s v="US61166W1018"/>
    <m/>
    <n v="485.26"/>
    <n v="529.03"/>
    <n v="534.37"/>
    <n v="535.29999999999995"/>
    <n v="540.4"/>
    <n v="545.9"/>
    <n v="548.6"/>
    <n v="545.6"/>
    <n v="543.20000000000005"/>
    <n v="536.4"/>
  </r>
  <r>
    <x v="32"/>
    <s v="US68389X1054"/>
    <m/>
    <n v="4464"/>
    <n v="4646"/>
    <n v="4905"/>
    <n v="5068"/>
    <n v="5026"/>
    <n v="5007"/>
    <n v="5150"/>
    <n v="5107"/>
    <n v="5232"/>
    <n v="5145"/>
  </r>
  <r>
    <x v="33"/>
    <s v="US7134481081"/>
    <m/>
    <n v="1482"/>
    <n v="1522"/>
    <n v="1543"/>
    <n v="1564"/>
    <n v="1581"/>
    <n v="1565"/>
    <n v="1553"/>
    <n v="1605"/>
    <n v="1638"/>
    <n v="1656"/>
  </r>
  <r>
    <x v="34"/>
    <s v="US7170811035"/>
    <m/>
    <n v="6291"/>
    <n v="6399"/>
    <n v="7276"/>
    <n v="7575"/>
    <n v="8012"/>
    <n v="8070"/>
    <m/>
    <m/>
    <m/>
    <m/>
  </r>
  <r>
    <x v="35"/>
    <s v="US7181721090"/>
    <m/>
    <n v="1547"/>
    <n v="1589"/>
    <n v="1564"/>
    <n v="1726"/>
    <n v="1802"/>
    <n v="1887"/>
    <n v="2007"/>
    <m/>
    <m/>
    <m/>
  </r>
  <r>
    <x v="36"/>
    <s v="US7427181091"/>
    <m/>
    <n v="2711"/>
    <n v="2742"/>
    <n v="2748"/>
    <n v="2766"/>
    <n v="2844"/>
    <n v="2915"/>
    <n v="3033"/>
    <n v="3132"/>
    <n v="3179"/>
    <m/>
  </r>
  <r>
    <x v="37"/>
    <s v="US92343V1044"/>
    <n v="4155"/>
    <n v="4155"/>
    <m/>
    <m/>
    <m/>
    <m/>
    <m/>
    <m/>
    <m/>
    <m/>
    <m/>
  </r>
  <r>
    <x v="38"/>
    <s v="US9311421039"/>
    <n v="3228"/>
    <n v="3233"/>
    <n v="3314"/>
    <n v="3418"/>
    <n v="3516"/>
    <n v="3759"/>
    <n v="3925"/>
    <n v="3973"/>
    <n v="4131"/>
    <n v="4165"/>
    <n v="4234"/>
  </r>
  <r>
    <x v="39"/>
    <s v="z_BE0003793107"/>
    <m/>
    <n v="1608"/>
    <n v="1608"/>
    <n v="1607"/>
    <n v="1606"/>
    <n v="1605"/>
    <n v="1604"/>
    <m/>
    <m/>
    <m/>
    <m/>
  </r>
  <r>
    <x v="40"/>
    <s v="z_CH0010570759"/>
    <m/>
    <n v="0.14000000000000001"/>
    <n v="0.14000000000000001"/>
    <n v="0.14000000000000001"/>
    <n v="0.14000000000000001"/>
    <n v="0.14000000000000001"/>
    <n v="0.1"/>
    <n v="0.1"/>
    <n v="0.1"/>
    <n v="0.1"/>
    <n v="0.1"/>
  </r>
  <r>
    <x v="41"/>
    <s v="z_DE0006048432"/>
    <m/>
    <n v="437.96"/>
    <n v="437.96"/>
    <n v="437.96"/>
    <n v="438"/>
    <n v="438"/>
    <n v="438"/>
    <n v="438"/>
    <n v="438"/>
    <n v="438"/>
    <n v="438"/>
  </r>
  <r>
    <x v="42"/>
    <s v="z_DE0006483001"/>
    <m/>
    <n v="185.73"/>
    <n v="185.65"/>
    <n v="185.23"/>
    <m/>
    <m/>
    <m/>
    <m/>
    <m/>
    <m/>
    <m/>
  </r>
  <r>
    <x v="43"/>
    <s v="z_DK0060534915"/>
    <m/>
    <n v="2650"/>
    <n v="2750"/>
    <n v="2800"/>
    <n v="2780"/>
    <n v="2860"/>
    <n v="2940"/>
    <n v="3040"/>
    <m/>
    <m/>
    <m/>
  </r>
  <r>
    <x v="44"/>
    <s v="z_FR0000120321"/>
    <m/>
    <n v="561.23"/>
    <n v="605.9"/>
    <n v="608.80999999999995"/>
    <n v="602.98"/>
    <n v="601"/>
    <n v="599"/>
    <n v="602.4"/>
    <n v="618"/>
    <n v="639.6"/>
    <n v="658.8"/>
  </r>
  <r>
    <x v="45"/>
    <s v="z_FR0000120578"/>
    <m/>
    <n v="1319"/>
    <n v="1324"/>
    <n v="1326"/>
    <n v="1341"/>
    <n v="1311"/>
    <n v="1319"/>
    <n v="1316"/>
    <n v="1366"/>
    <n v="1359"/>
    <n v="1396"/>
  </r>
  <r>
    <x v="46"/>
    <s v="z_GB0002374006"/>
    <m/>
    <n v="2754"/>
    <n v="2754"/>
    <n v="2754"/>
    <n v="2754"/>
    <n v="2754"/>
    <n v="2822"/>
    <n v="2803"/>
    <n v="2931"/>
    <n v="3051"/>
    <n v="3060"/>
  </r>
  <r>
    <x v="47"/>
    <s v="z_GB0004835483"/>
    <m/>
    <n v="1673"/>
    <n v="1670"/>
    <n v="1664"/>
    <n v="1659"/>
    <n v="1641"/>
    <n v="1585"/>
    <n v="1506"/>
    <n v="1506"/>
    <m/>
    <m/>
  </r>
  <r>
    <x v="48"/>
    <s v="z_GB00B24CGK77"/>
    <m/>
    <n v="736.5"/>
    <n v="736.5"/>
    <n v="734.2"/>
    <n v="728.6"/>
    <n v="725.9"/>
    <n v="722.6"/>
    <n v="722.6"/>
    <n v="722.4"/>
    <m/>
    <m/>
  </r>
  <r>
    <x v="49"/>
    <s v="z_IE00B4BNMY34"/>
    <m/>
    <n v="656.56"/>
    <n v="666.36"/>
    <n v="676.6"/>
    <n v="690.1"/>
    <n v="696.4"/>
    <m/>
    <m/>
    <m/>
    <m/>
    <m/>
  </r>
  <r>
    <x v="50"/>
    <s v="z_IE00BTN1Y115"/>
    <m/>
    <n v="999"/>
    <n v="1016"/>
    <n v="1037"/>
    <n v="1070"/>
    <n v="1097"/>
    <n v="1119"/>
    <n v="1125"/>
    <n v="1143"/>
    <n v="1155"/>
    <n v="1210"/>
  </r>
  <r>
    <x v="51"/>
    <s v="z_US02209S1033"/>
    <m/>
    <n v="1972"/>
    <n v="1993"/>
    <n v="2010"/>
    <n v="2046"/>
    <n v="2089"/>
    <n v="2081"/>
    <n v="2061"/>
    <n v="2108"/>
    <n v="2097"/>
    <n v="2084"/>
  </r>
  <r>
    <x v="52"/>
    <s v="z_US1266501006"/>
    <m/>
    <n v="1140"/>
    <n v="1180"/>
    <n v="1231"/>
    <n v="1298"/>
    <n v="1363"/>
    <n v="1391"/>
    <n v="1439"/>
    <n v="1437"/>
    <m/>
    <m/>
  </r>
  <r>
    <x v="53"/>
    <s v="z_US17275R1023"/>
    <m/>
    <n v="5107"/>
    <n v="5389"/>
    <n v="5298"/>
    <n v="5435"/>
    <n v="5655"/>
    <n v="5785"/>
    <n v="5893"/>
    <n v="6059"/>
    <n v="6059"/>
    <n v="6331"/>
  </r>
  <r>
    <x v="54"/>
    <s v="z_US2635341090"/>
    <m/>
    <n v="904.98"/>
    <n v="926.99"/>
    <n v="933.02"/>
    <n v="926.1"/>
    <n v="917.3"/>
    <n v="903.8"/>
    <n v="902.3"/>
    <n v="899.3"/>
    <n v="922.1"/>
    <n v="919.6"/>
  </r>
  <r>
    <x v="55"/>
    <s v="z_US3703341046"/>
    <m/>
    <n v="612.5"/>
    <n v="640.79999999999995"/>
    <n v="648.5"/>
    <n v="644.79999999999995"/>
    <n v="651.20000000000005"/>
    <n v="650.79999999999995"/>
    <n v="595"/>
    <n v="680"/>
    <n v="712"/>
    <n v="738"/>
  </r>
  <r>
    <x v="56"/>
    <s v="z_US4878361082"/>
    <m/>
    <n v="356"/>
    <n v="362.8"/>
    <n v="361.27"/>
    <n v="357.3"/>
    <n v="365.1"/>
    <n v="380.6"/>
    <n v="381.9"/>
    <n v="390.1"/>
    <n v="397.7"/>
    <n v="405.3"/>
  </r>
  <r>
    <x v="57"/>
    <s v="z_US4943681035"/>
    <m/>
    <n v="365.3"/>
    <n v="380.8"/>
    <n v="389.3"/>
    <n v="395.7"/>
    <n v="406.9"/>
    <n v="416.3"/>
    <n v="413.6"/>
    <n v="420.9"/>
    <n v="455.6"/>
    <n v="461.5"/>
  </r>
  <r>
    <x v="58"/>
    <s v="z_US57636Q1040"/>
    <m/>
    <n v="1153"/>
    <n v="1194"/>
    <n v="1232"/>
    <n v="1269"/>
    <n v="1309"/>
    <n v="1298"/>
    <m/>
    <m/>
    <m/>
    <m/>
  </r>
  <r>
    <x v="59"/>
    <s v="z_US6153691059"/>
    <m/>
    <n v="204.36"/>
    <n v="213.96"/>
    <n v="223.25"/>
    <n v="222.44"/>
    <n v="230.8"/>
    <n v="236.9"/>
    <n v="235.1"/>
    <n v="251.4"/>
    <n v="278.60000000000002"/>
    <n v="290.3"/>
  </r>
  <r>
    <x v="60"/>
    <s v="z_US91324P1021"/>
    <m/>
    <n v="954"/>
    <n v="988"/>
    <n v="1019"/>
    <n v="1039"/>
    <n v="1086"/>
    <n v="1147"/>
    <n v="1201"/>
    <n v="1253"/>
    <n v="1345"/>
    <n v="1358"/>
  </r>
  <r>
    <x v="61"/>
    <s v="z_US92826C8394"/>
    <m/>
    <n v="3120"/>
    <n v="3120"/>
    <n v="3244"/>
    <n v="3296"/>
    <n v="3340"/>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r>
    <x v="62"/>
    <m/>
    <m/>
    <m/>
    <m/>
    <m/>
    <m/>
    <m/>
    <m/>
    <m/>
    <m/>
    <m/>
    <m/>
  </r>
</pivotCacheRecords>
</file>

<file path=xl/pivotCache/pivotCacheRecords5.xml><?xml version="1.0" encoding="utf-8"?>
<pivotCacheRecords xmlns="http://schemas.openxmlformats.org/spreadsheetml/2006/main" xmlns:r="http://schemas.openxmlformats.org/officeDocument/2006/relationships" count="100">
  <r>
    <x v="0"/>
    <s v="CH0011037469"/>
    <n v="31"/>
    <n v="12"/>
    <n v="2015"/>
    <n v="13.7"/>
    <n v="12.6"/>
    <n v="11.9"/>
    <n v="11.12"/>
    <n v="11.25"/>
    <n v="10.38"/>
    <n v="8.82"/>
    <n v="7.64"/>
    <n v="5.61"/>
    <n v="5.27"/>
    <n v="4.76"/>
    <n v="2.64"/>
    <n v="3.3"/>
    <n v="2.7"/>
  </r>
  <r>
    <x v="1"/>
    <s v="CH0012005267"/>
    <n v="31"/>
    <n v="12"/>
    <n v="2015"/>
    <n v="3.29"/>
    <n v="2.95"/>
    <n v="2.82"/>
    <n v="2.63"/>
    <n v="2.77"/>
    <n v="2.4700000000000002"/>
    <n v="2.42"/>
    <n v="2.34"/>
    <n v="2.02"/>
    <n v="1.89"/>
    <n v="1.42"/>
    <n v="1.1100000000000001"/>
    <n v="0.88"/>
    <n v="0.92"/>
  </r>
  <r>
    <x v="2"/>
    <s v="CH0012032048"/>
    <n v="31"/>
    <n v="12"/>
    <n v="2015"/>
    <n v="9.57"/>
    <n v="8.82"/>
    <n v="8.31"/>
    <n v="8"/>
    <n v="7.8"/>
    <n v="7.35"/>
    <n v="6.8"/>
    <n v="6.6"/>
    <n v="6"/>
    <n v="5"/>
    <n v="4.5999999999999996"/>
    <n v="3.4"/>
    <n v="2.5"/>
    <n v="2"/>
  </r>
  <r>
    <x v="3"/>
    <s v="CH0038863350"/>
    <n v="31"/>
    <n v="12"/>
    <n v="2015"/>
    <n v="2.4700000000000002"/>
    <n v="2.37"/>
    <n v="2.2599999999999998"/>
    <n v="2.2000000000000002"/>
    <n v="2.15"/>
    <n v="2.0499999999999998"/>
    <n v="1.95"/>
    <n v="1.85"/>
    <n v="1.6"/>
    <n v="1.4"/>
    <n v="1.22"/>
    <n v="1.04"/>
    <n v="0.9"/>
    <n v="0.8"/>
  </r>
  <r>
    <x v="4"/>
    <s v="DE0005200000"/>
    <n v="31"/>
    <n v="12"/>
    <n v="2015"/>
    <n v="0.81"/>
    <n v="0.78"/>
    <n v="0.75"/>
    <n v="0.7"/>
    <n v="0.7"/>
    <n v="0.7"/>
    <n v="0.7"/>
    <n v="0.7"/>
    <n v="0.7"/>
    <n v="0.9"/>
    <n v="0.7"/>
    <n v="0.6"/>
    <n v="0.56999999999999995"/>
    <n v="0.53"/>
  </r>
  <r>
    <x v="5"/>
    <s v="DE0005552004"/>
    <n v="31"/>
    <n v="12"/>
    <n v="2015"/>
    <n v="1.07"/>
    <n v="0.99"/>
    <n v="0.89"/>
    <n v="0.85"/>
    <n v="0.8"/>
    <n v="0.7"/>
    <n v="0.7"/>
    <n v="0.65"/>
    <n v="0.6"/>
    <n v="0.6"/>
    <n v="0.9"/>
    <n v="0.75"/>
    <n v="0.7"/>
    <n v="0.5"/>
  </r>
  <r>
    <x v="6"/>
    <s v="DE0005557508"/>
    <n v="31"/>
    <n v="12"/>
    <n v="2015"/>
    <n v="0.63"/>
    <n v="0.59"/>
    <n v="0.54"/>
    <n v="0.5"/>
    <n v="0.5"/>
    <n v="0.7"/>
    <n v="0.7"/>
    <n v="0.7"/>
    <n v="0.78"/>
    <n v="0.78"/>
    <n v="0.78"/>
    <n v="0.72"/>
    <n v="0.72"/>
    <n v="0.62"/>
  </r>
  <r>
    <x v="7"/>
    <s v="DE0007164600"/>
    <n v="31"/>
    <n v="12"/>
    <n v="2015"/>
    <n v="1.36"/>
    <n v="1.21"/>
    <n v="1.1299999999999999"/>
    <n v="1.1000000000000001"/>
    <n v="1"/>
    <n v="0.85"/>
    <n v="1.1000000000000001"/>
    <n v="0.6"/>
    <n v="0.5"/>
    <n v="0.5"/>
    <n v="0.5"/>
    <n v="0.46"/>
    <n v="0.36"/>
    <n v="0.28000000000000003"/>
  </r>
  <r>
    <x v="8"/>
    <s v="DE0007236101"/>
    <n v="30"/>
    <n v="9"/>
    <n v="2015"/>
    <n v="4"/>
    <n v="3.68"/>
    <n v="3.53"/>
    <n v="3.3"/>
    <n v="3"/>
    <n v="3"/>
    <n v="3"/>
    <n v="2.7"/>
    <n v="1.6"/>
    <n v="1.6"/>
    <n v="1.6"/>
    <n v="1.45"/>
    <n v="1.35"/>
    <n v="1.25"/>
  </r>
  <r>
    <x v="9"/>
    <s v="DE0008404005"/>
    <n v="31"/>
    <n v="12"/>
    <n v="2015"/>
    <n v="7.01"/>
    <n v="7.07"/>
    <n v="7.05"/>
    <n v="6.85"/>
    <n v="5.3"/>
    <n v="4.5"/>
    <n v="4.5"/>
    <n v="4.5"/>
    <n v="4.0999999999999996"/>
    <n v="3.5"/>
    <n v="5.5"/>
    <n v="3.8"/>
    <n v="2"/>
    <n v="1.75"/>
  </r>
  <r>
    <x v="10"/>
    <s v="DE0008430026"/>
    <n v="31"/>
    <n v="12"/>
    <n v="2015"/>
    <n v="7.98"/>
    <n v="8.17"/>
    <n v="7.9"/>
    <n v="7.75"/>
    <n v="7.25"/>
    <n v="7"/>
    <n v="6.25"/>
    <n v="6.25"/>
    <n v="5.75"/>
    <n v="5.5"/>
    <n v="5.5"/>
    <n v="4.5"/>
    <n v="3.1"/>
    <n v="2"/>
  </r>
  <r>
    <x v="11"/>
    <s v="DE000BASF111"/>
    <n v="31"/>
    <n v="12"/>
    <n v="2015"/>
    <n v="3.2"/>
    <n v="3.04"/>
    <n v="2.9"/>
    <n v="2.8"/>
    <n v="2.7"/>
    <n v="2.6"/>
    <n v="2.5"/>
    <n v="2.2000000000000002"/>
    <n v="1.7"/>
    <n v="1.95"/>
    <n v="1.95"/>
    <n v="1.5"/>
    <n v="1"/>
    <n v="0.85"/>
  </r>
  <r>
    <x v="12"/>
    <s v="DE000BAY0017"/>
    <n v="31"/>
    <n v="12"/>
    <n v="2015"/>
    <n v="3.04"/>
    <n v="2.79"/>
    <n v="2.5"/>
    <n v="2.25"/>
    <n v="2.1"/>
    <n v="1.9"/>
    <n v="1.65"/>
    <n v="1.5"/>
    <n v="1.4"/>
    <n v="1.4"/>
    <n v="1.35"/>
    <n v="1"/>
    <n v="0.95"/>
    <n v="0.55000000000000004"/>
  </r>
  <r>
    <x v="13"/>
    <s v="ES0178430E18"/>
    <n v="31"/>
    <n v="12"/>
    <n v="2015"/>
    <n v="0.72"/>
    <n v="0.7"/>
    <n v="0.7"/>
    <n v="0.4"/>
    <n v="0.75"/>
    <n v="0.82"/>
    <n v="1.52"/>
    <n v="1.3"/>
    <n v="1"/>
    <n v="0.9"/>
    <n v="0.65"/>
    <n v="0.55000000000000004"/>
    <n v="0.5"/>
    <n v="0.4"/>
  </r>
  <r>
    <x v="14"/>
    <s v="FR0000120644"/>
    <n v="31"/>
    <n v="12"/>
    <n v="2015"/>
    <n v="1.87"/>
    <n v="1.72"/>
    <n v="1.6"/>
    <n v="1.5"/>
    <n v="1.45"/>
    <n v="1.45"/>
    <n v="1.39"/>
    <n v="1.3"/>
    <n v="1.2"/>
    <n v="1.2"/>
    <n v="1.1000000000000001"/>
    <n v="1"/>
    <n v="0.85"/>
    <n v="0.68"/>
  </r>
  <r>
    <x v="15"/>
    <s v="GB0002875804"/>
    <n v="31"/>
    <n v="12"/>
    <n v="2015"/>
    <n v="1.73"/>
    <n v="1.61"/>
    <n v="1.52"/>
    <n v="1.48"/>
    <n v="1.42"/>
    <n v="1.35"/>
    <n v="1.27"/>
    <n v="1.1399999999999999"/>
    <n v="1"/>
    <n v="0.84"/>
    <n v="0.66"/>
    <m/>
    <m/>
    <m/>
  </r>
  <r>
    <x v="16"/>
    <s v="GB0004544929"/>
    <n v="30"/>
    <n v="9"/>
    <n v="2015"/>
    <n v="1.69"/>
    <n v="1.53"/>
    <n v="1.41"/>
    <n v="1.28"/>
    <n v="1.1599999999999999"/>
    <n v="1.06"/>
    <n v="0.95"/>
    <n v="0.84"/>
    <n v="0.73"/>
    <n v="0.63"/>
    <n v="0.6"/>
    <m/>
    <m/>
    <m/>
  </r>
  <r>
    <x v="17"/>
    <s v="GB00BH4HKS39"/>
    <n v="31"/>
    <n v="3"/>
    <n v="2015"/>
    <n v="0.11599999999999999"/>
    <n v="0.115"/>
    <n v="0.113"/>
    <n v="0.11"/>
    <n v="0.1"/>
    <n v="9.5000000000000001E-2"/>
    <n v="8.8999999999999996E-2"/>
    <n v="8.3000000000000004E-2"/>
    <n v="5.6000000000000001E-2"/>
    <n v="7.4999999999999997E-2"/>
    <n v="6.8000000000000005E-2"/>
    <n v="6.0999999999999999E-2"/>
    <n v="0.04"/>
    <n v="0.02"/>
  </r>
  <r>
    <x v="18"/>
    <s v="NL0000009355"/>
    <n v="31"/>
    <n v="12"/>
    <n v="2015"/>
    <n v="1.38"/>
    <n v="1.27"/>
    <n v="1.19"/>
    <n v="1.1200000000000001"/>
    <n v="1.05"/>
    <n v="0.97"/>
    <n v="0.9"/>
    <n v="0.83"/>
    <n v="0.8"/>
    <n v="0.77"/>
    <n v="0.75"/>
    <n v="0.70499999999999996"/>
    <n v="0.66"/>
    <n v="0.63"/>
  </r>
  <r>
    <x v="19"/>
    <s v="US00206R1023"/>
    <n v="31"/>
    <n v="12"/>
    <n v="2015"/>
    <n v="1.96"/>
    <n v="1.93"/>
    <n v="1.89"/>
    <n v="1.85"/>
    <n v="1.81"/>
    <n v="1.77"/>
    <n v="1.72"/>
    <n v="1.68"/>
    <n v="1.65"/>
    <n v="1.61"/>
    <n v="1.47"/>
    <n v="1.35"/>
    <n v="1.3"/>
    <n v="1.26"/>
  </r>
  <r>
    <x v="20"/>
    <s v="US09247X1019"/>
    <n v="31"/>
    <n v="12"/>
    <n v="2015"/>
    <n v="10.7"/>
    <n v="9.65"/>
    <n v="8.75"/>
    <n v="7.72"/>
    <n v="6.72"/>
    <n v="6"/>
    <n v="5.5"/>
    <n v="4"/>
    <n v="3.12"/>
    <n v="3.12"/>
    <m/>
    <m/>
    <m/>
    <m/>
  </r>
  <r>
    <x v="21"/>
    <s v="US1912161007"/>
    <n v="31"/>
    <n v="12"/>
    <n v="2015"/>
    <n v="1.51"/>
    <n v="1.43"/>
    <n v="1.32"/>
    <n v="1.22"/>
    <n v="1.1200000000000001"/>
    <n v="1.02"/>
    <n v="0.94"/>
    <n v="0.88"/>
    <n v="0.82"/>
    <n v="0.76"/>
    <n v="0.68"/>
    <n v="0.62"/>
    <n v="0.56000000000000005"/>
    <n v="0.5"/>
  </r>
  <r>
    <x v="22"/>
    <s v="US1941621039"/>
    <n v="31"/>
    <n v="12"/>
    <n v="2015"/>
    <n v="1.78"/>
    <n v="1.64"/>
    <n v="1.52"/>
    <n v="1.42"/>
    <n v="1.33"/>
    <n v="1.22"/>
    <n v="1.1399999999999999"/>
    <n v="1.01"/>
    <n v="0.86"/>
    <n v="0.78"/>
    <n v="0.7"/>
    <n v="0.63"/>
    <n v="0.56000000000000005"/>
    <n v="0.48"/>
  </r>
  <r>
    <x v="23"/>
    <s v="US3696041033"/>
    <n v="31"/>
    <n v="12"/>
    <n v="2015"/>
    <n v="1.01"/>
    <n v="0.97"/>
    <n v="0.93"/>
    <n v="0.89"/>
    <n v="0.79"/>
    <n v="0.7"/>
    <n v="0.61"/>
    <n v="0.46"/>
    <n v="0.61"/>
    <n v="1.24"/>
    <n v="1.1499999999999999"/>
    <n v="1.03"/>
    <n v="0.91"/>
    <n v="0.82"/>
  </r>
  <r>
    <x v="24"/>
    <s v="US4592001014"/>
    <n v="31"/>
    <n v="12"/>
    <n v="2015"/>
    <n v="4.75"/>
    <n v="4.87"/>
    <n v="4.5599999999999996"/>
    <n v="4.25"/>
    <n v="3.7"/>
    <n v="3.3"/>
    <n v="2.9"/>
    <n v="2.5"/>
    <n v="2.15"/>
    <n v="1.9"/>
    <n v="1.5"/>
    <n v="1.1000000000000001"/>
    <n v="0.78"/>
    <n v="0.7"/>
  </r>
  <r>
    <x v="25"/>
    <s v="US4781601046"/>
    <n v="31"/>
    <n v="12"/>
    <n v="2015"/>
    <n v="3.33"/>
    <n v="3.08"/>
    <n v="2.91"/>
    <n v="2.76"/>
    <n v="2.59"/>
    <n v="2.4"/>
    <n v="2.25"/>
    <n v="2.11"/>
    <n v="1.93"/>
    <n v="1.79"/>
    <n v="1.62"/>
    <n v="1.46"/>
    <n v="1.27"/>
    <n v="1.0900000000000001"/>
  </r>
  <r>
    <x v="26"/>
    <s v="US50076Q1067"/>
    <n v="31"/>
    <n v="12"/>
    <n v="2015"/>
    <n v="2.4900000000000002"/>
    <n v="2.36"/>
    <n v="2.2400000000000002"/>
    <n v="2.15"/>
    <n v="2.0499999999999998"/>
    <n v="1.1426592797783934"/>
    <n v="0.8765743073047858"/>
    <n v="1.0368715083798883"/>
    <n v="0.985079365079365"/>
    <n v="1.07919028340081"/>
    <m/>
    <m/>
    <m/>
    <m/>
  </r>
  <r>
    <x v="27"/>
    <s v="US5801351017"/>
    <n v="31"/>
    <n v="12"/>
    <n v="2015"/>
    <n v="3.95"/>
    <n v="3.69"/>
    <n v="3.46"/>
    <n v="3.28"/>
    <n v="3.12"/>
    <n v="2.87"/>
    <n v="2.5299999999999998"/>
    <n v="2.2599999999999998"/>
    <n v="2.0499999999999998"/>
    <n v="1.63"/>
    <n v="1.5"/>
    <n v="1"/>
    <n v="0.67"/>
    <n v="0.55000000000000004"/>
  </r>
  <r>
    <x v="28"/>
    <s v="US58933Y1055"/>
    <n v="31"/>
    <n v="12"/>
    <n v="2015"/>
    <n v="1.88"/>
    <n v="1.84"/>
    <n v="1.79"/>
    <n v="1.77"/>
    <n v="1.73"/>
    <n v="1.68"/>
    <n v="1.52"/>
    <n v="1.52"/>
    <n v="1.52"/>
    <n v="1.52"/>
    <n v="1.52"/>
    <n v="1.52"/>
    <n v="1.52"/>
    <n v="1.49"/>
  </r>
  <r>
    <x v="29"/>
    <s v="US5949181045"/>
    <n v="30"/>
    <n v="6"/>
    <n v="2015"/>
    <n v="1.37"/>
    <n v="1.28"/>
    <n v="1.19"/>
    <n v="1.1200000000000001"/>
    <n v="0.92"/>
    <n v="0.8"/>
    <n v="0.64"/>
    <n v="0.52"/>
    <n v="0.52"/>
    <n v="0.44"/>
    <n v="0.4"/>
    <n v="0.35"/>
    <n v="0.34"/>
    <n v="0.16"/>
  </r>
  <r>
    <x v="30"/>
    <s v="US6092071058"/>
    <n v="31"/>
    <n v="12"/>
    <n v="2015"/>
    <n v="0.72"/>
    <n v="0.66"/>
    <n v="0.61"/>
    <n v="0.57999999999999996"/>
    <n v="0.54"/>
    <n v="0.35734072022160668"/>
    <n v="0.28342569269521412"/>
    <n v="0.12312849162011172"/>
    <n v="0.17492063492063489"/>
    <n v="4.080971659919029E-2"/>
    <m/>
    <m/>
    <m/>
    <m/>
  </r>
  <r>
    <x v="31"/>
    <s v="US61166W1018"/>
    <n v="31"/>
    <n v="8"/>
    <n v="2015"/>
    <n v="2.06"/>
    <n v="2.0699999999999998"/>
    <n v="1.92"/>
    <n v="1.78"/>
    <n v="1.56"/>
    <n v="1.28"/>
    <n v="1.1399999999999999"/>
    <n v="1.08"/>
    <n v="1.04"/>
    <n v="0.83"/>
    <n v="0.55000000000000004"/>
    <n v="0.4"/>
    <n v="0.34"/>
    <n v="0.34"/>
  </r>
  <r>
    <x v="32"/>
    <s v="US68389X1054"/>
    <n v="31"/>
    <n v="5"/>
    <n v="2015"/>
    <n v="0.56000000000000005"/>
    <n v="0.55000000000000004"/>
    <n v="0.5"/>
    <n v="0.48"/>
    <n v="0.3"/>
    <n v="0.24"/>
    <n v="0.21"/>
    <n v="0.2"/>
    <n v="0.05"/>
    <n v="0"/>
    <n v="0"/>
    <n v="0"/>
    <n v="0"/>
    <n v="0"/>
  </r>
  <r>
    <x v="33"/>
    <s v="US7134481081"/>
    <n v="31"/>
    <n v="12"/>
    <n v="2015"/>
    <n v="3.24"/>
    <n v="2.96"/>
    <n v="2.76"/>
    <n v="2.5299999999999998"/>
    <n v="2.2400000000000002"/>
    <n v="2.13"/>
    <n v="2.0299999999999998"/>
    <n v="1.89"/>
    <n v="1.78"/>
    <n v="1.65"/>
    <n v="1.43"/>
    <n v="1.1599999999999999"/>
    <n v="1.01"/>
    <n v="0.85"/>
  </r>
  <r>
    <x v="34"/>
    <s v="US7170811035"/>
    <n v="31"/>
    <n v="12"/>
    <n v="2015"/>
    <n v="1.21"/>
    <n v="1.1399999999999999"/>
    <n v="1.1100000000000001"/>
    <n v="1.04"/>
    <n v="0.96"/>
    <n v="0.88"/>
    <n v="0.8"/>
    <n v="0.72"/>
    <n v="0.8"/>
    <n v="1.28"/>
    <n v="1.1599999999999999"/>
    <n v="0.96"/>
    <n v="0.76"/>
    <n v="0.68"/>
  </r>
  <r>
    <x v="35"/>
    <s v="US7181721090"/>
    <n v="31"/>
    <n v="12"/>
    <n v="2015"/>
    <n v="4.38"/>
    <n v="4.22"/>
    <n v="4.0599999999999996"/>
    <n v="3.88"/>
    <n v="3.58"/>
    <n v="3.24"/>
    <n v="2.82"/>
    <n v="2.44"/>
    <n v="2.2400000000000002"/>
    <n v="1.54"/>
    <m/>
    <m/>
    <m/>
    <m/>
  </r>
  <r>
    <x v="36"/>
    <s v="US7427181091"/>
    <n v="30"/>
    <n v="6"/>
    <n v="2015"/>
    <n v="3.01"/>
    <n v="2.79"/>
    <n v="2.6"/>
    <n v="2.4500000000000002"/>
    <n v="2.29"/>
    <n v="2.14"/>
    <n v="1.97"/>
    <n v="1.8"/>
    <n v="1.64"/>
    <n v="1.45"/>
    <n v="1.28"/>
    <n v="1.1499999999999999"/>
    <n v="1.03"/>
    <n v="0.93"/>
  </r>
  <r>
    <x v="37"/>
    <s v="US92343V1044"/>
    <n v="31"/>
    <n v="12"/>
    <n v="2015"/>
    <n v="2.33"/>
    <n v="2.27"/>
    <n v="2.2200000000000002"/>
    <n v="2.16"/>
    <n v="2.09"/>
    <n v="2.0299999999999998"/>
    <n v="1.98"/>
    <n v="1.93"/>
    <n v="1.87"/>
    <n v="1.78"/>
    <n v="1.67"/>
    <n v="1.62"/>
    <n v="1.62"/>
    <n v="1.54"/>
  </r>
  <r>
    <x v="38"/>
    <s v="US9311421039"/>
    <n v="31"/>
    <n v="1"/>
    <n v="2015"/>
    <n v="2.06"/>
    <n v="1.98"/>
    <n v="1.92"/>
    <n v="1.88"/>
    <n v="1.59"/>
    <n v="1.46"/>
    <n v="1.21"/>
    <n v="1.0900000000000001"/>
    <n v="0.95"/>
    <n v="0.88"/>
    <n v="0.67"/>
    <n v="0.6"/>
    <n v="0.52"/>
    <n v="0.36"/>
  </r>
  <r>
    <x v="39"/>
    <s v="z_BE0003793107"/>
    <n v="31"/>
    <n v="12"/>
    <n v="2015"/>
    <n v="4.16"/>
    <n v="3.79"/>
    <n v="3.5"/>
    <n v="3"/>
    <n v="2.0499999999999998"/>
    <n v="2.23"/>
    <n v="1.55"/>
    <n v="1.07"/>
    <n v="0.55000000000000004"/>
    <n v="0.35"/>
    <m/>
    <m/>
    <m/>
    <m/>
  </r>
  <r>
    <x v="40"/>
    <s v="z_CH0010570759"/>
    <n v="31"/>
    <n v="12"/>
    <n v="2015"/>
    <n v="990"/>
    <n v="909"/>
    <n v="814"/>
    <n v="725"/>
    <n v="650"/>
    <n v="575"/>
    <n v="500"/>
    <n v="450"/>
    <n v="400"/>
    <n v="360"/>
    <n v="330"/>
    <n v="275"/>
    <n v="225"/>
    <n v="180"/>
  </r>
  <r>
    <x v="41"/>
    <s v="z_DE0006048432"/>
    <n v="31"/>
    <n v="12"/>
    <n v="2015"/>
    <n v="1.74"/>
    <n v="1.59"/>
    <n v="1.47"/>
    <n v="1.32"/>
    <n v="1.22"/>
    <n v="0.95"/>
    <n v="0.8"/>
    <n v="0.72"/>
    <n v="0.53"/>
    <n v="0.53"/>
    <n v="0.53"/>
    <n v="0.5"/>
    <n v="0.45"/>
    <n v="0.43"/>
  </r>
  <r>
    <x v="42"/>
    <s v="z_DE0006483001"/>
    <n v="31"/>
    <n v="12"/>
    <n v="2015"/>
    <n v="4.16"/>
    <n v="3.82"/>
    <n v="3.45"/>
    <n v="3.15"/>
    <n v="3"/>
    <n v="2.7"/>
    <n v="2.5"/>
    <n v="2.2000000000000002"/>
    <n v="1.8"/>
    <n v="1.8"/>
    <n v="1.7"/>
    <n v="1.5"/>
    <n v="1.4"/>
    <n v="1.25"/>
  </r>
  <r>
    <x v="43"/>
    <s v="z_DK0060534915"/>
    <n v="31"/>
    <n v="12"/>
    <n v="2015"/>
    <n v="7.87"/>
    <n v="6.95"/>
    <n v="5.73"/>
    <n v="5"/>
    <n v="4.5"/>
    <n v="3.6"/>
    <n v="2.8"/>
    <n v="2"/>
    <n v="1.5"/>
    <n v="1.2"/>
    <n v="0.9"/>
    <n v="0.7"/>
    <n v="0.6"/>
    <n v="0.48"/>
  </r>
  <r>
    <x v="44"/>
    <s v="z_FR0000120321"/>
    <n v="31"/>
    <n v="12"/>
    <n v="2015"/>
    <n v="3.66"/>
    <n v="3.37"/>
    <n v="3.09"/>
    <n v="2.7"/>
    <n v="2.5"/>
    <n v="2.2999999999999998"/>
    <n v="2"/>
    <n v="1.8"/>
    <n v="1.5"/>
    <n v="1.44"/>
    <n v="1.38"/>
    <n v="1.18"/>
    <n v="1"/>
    <n v="0.82"/>
  </r>
  <r>
    <x v="45"/>
    <s v="z_FR0000120578"/>
    <n v="31"/>
    <n v="12"/>
    <n v="2015"/>
    <n v="3.29"/>
    <n v="3.15"/>
    <n v="3.03"/>
    <n v="2.8"/>
    <n v="2.77"/>
    <n v="2.65"/>
    <n v="2.5"/>
    <n v="2.4"/>
    <n v="2.2000000000000002"/>
    <n v="2.0699999999999998"/>
    <n v="1.75"/>
    <n v="1.52"/>
    <n v="1.2"/>
    <n v="1.02"/>
  </r>
  <r>
    <x v="46"/>
    <s v="z_GB0002374006"/>
    <n v="30"/>
    <n v="6"/>
    <n v="2015"/>
    <n v="0.61299999999999999"/>
    <n v="0.57700000000000007"/>
    <n v="0.53800000000000003"/>
    <n v="0.52"/>
    <n v="0.47"/>
    <n v="0.44"/>
    <n v="0.4"/>
    <n v="0.38"/>
    <n v="0.36"/>
    <n v="0.34"/>
    <n v="0.33"/>
    <n v="0.31"/>
    <n v="0.3"/>
    <n v="0.28000000000000003"/>
  </r>
  <r>
    <x v="47"/>
    <s v="z_GB0004835483"/>
    <n v="31"/>
    <n v="3"/>
    <n v="2015"/>
    <n v="1.26"/>
    <n v="1.1599999999999999"/>
    <n v="1.1000000000000001"/>
    <n v="1.05"/>
    <n v="1.01"/>
    <n v="0.91"/>
    <n v="0.81"/>
    <n v="0.68"/>
    <n v="0.57999999999999996"/>
    <n v="0.57999999999999996"/>
    <n v="0.5"/>
    <m/>
    <m/>
    <m/>
  </r>
  <r>
    <x v="48"/>
    <s v="z_GB00B24CGK77"/>
    <n v="31"/>
    <n v="12"/>
    <n v="2015"/>
    <n v="1.45"/>
    <n v="1.34"/>
    <n v="1.26"/>
    <n v="1.39"/>
    <n v="1.37"/>
    <n v="1.34"/>
    <n v="1.25"/>
    <n v="1.1499999999999999"/>
    <n v="1"/>
    <n v="0.62"/>
    <n v="0.5"/>
    <m/>
    <m/>
    <m/>
  </r>
  <r>
    <x v="49"/>
    <s v="z_IE00B4BNMY34"/>
    <n v="31"/>
    <n v="8"/>
    <n v="2015"/>
    <n v="2.35"/>
    <n v="2.19"/>
    <n v="2.02"/>
    <n v="1.86"/>
    <n v="1.62"/>
    <n v="1.35"/>
    <n v="0.9"/>
    <n v="1.1299999999999999"/>
    <n v="0.5"/>
    <n v="0.42"/>
    <n v="0.35"/>
    <n v="0.3"/>
    <n v="0"/>
    <n v="0"/>
  </r>
  <r>
    <x v="50"/>
    <s v="z_IE00BTN1Y115"/>
    <n v="30"/>
    <n v="4"/>
    <n v="2015"/>
    <n v="1.58"/>
    <n v="1.47"/>
    <n v="0.92"/>
    <n v="1.1200000000000001"/>
    <n v="1.04"/>
    <n v="0.97"/>
    <n v="0.9"/>
    <n v="0.82"/>
    <n v="0.75"/>
    <n v="0.5"/>
    <n v="0.44"/>
    <n v="0.39"/>
    <n v="0.34"/>
    <n v="0.28999999999999998"/>
  </r>
  <r>
    <x v="51"/>
    <s v="z_US02209S1033"/>
    <n v="31"/>
    <n v="12"/>
    <n v="2015"/>
    <n v="2.5099999999999998"/>
    <n v="2.34"/>
    <n v="2.1800000000000002"/>
    <n v="1.7"/>
    <n v="1.84"/>
    <n v="1.7"/>
    <n v="1.58"/>
    <n v="1.46"/>
    <n v="1.32"/>
    <n v="1.04"/>
    <n v="0.94199999999999995"/>
    <n v="0.83499999999999996"/>
    <n v="0.70899999999999996"/>
    <n v="0.77300000000000002"/>
  </r>
  <r>
    <x v="52"/>
    <s v="z_US1266501006"/>
    <n v="31"/>
    <n v="12"/>
    <n v="2015"/>
    <n v="2"/>
    <n v="1.59"/>
    <n v="1.32"/>
    <n v="1.1000000000000001"/>
    <n v="0.9"/>
    <n v="0.65"/>
    <n v="0.5"/>
    <n v="0.35"/>
    <n v="0.31"/>
    <n v="0.26"/>
    <n v="0.23"/>
    <n v="0.16"/>
    <n v="0.14000000000000001"/>
    <n v="0.13"/>
  </r>
  <r>
    <x v="53"/>
    <s v="z_US17275R1023"/>
    <n v="31"/>
    <n v="7"/>
    <n v="2015"/>
    <n v="0.94"/>
    <n v="0.84"/>
    <n v="0.79"/>
    <n v="0.72"/>
    <n v="0.62"/>
    <n v="0.28000000000000003"/>
    <n v="0.12"/>
    <n v="0"/>
    <n v="0"/>
    <n v="0"/>
    <n v="0"/>
    <n v="0"/>
    <n v="0"/>
    <n v="0"/>
  </r>
  <r>
    <x v="54"/>
    <s v="z_US2635341090"/>
    <n v="31"/>
    <n v="12"/>
    <n v="2015"/>
    <n v="2.21"/>
    <n v="2.0499999999999998"/>
    <n v="1.96"/>
    <n v="1.84"/>
    <n v="1.78"/>
    <n v="1.7"/>
    <n v="1.64"/>
    <n v="1.64"/>
    <n v="1.64"/>
    <n v="1.64"/>
    <n v="1.52"/>
    <n v="1.48"/>
    <n v="1.46"/>
    <n v="1.4"/>
  </r>
  <r>
    <x v="55"/>
    <s v="z_US3703341046"/>
    <n v="31"/>
    <n v="5"/>
    <n v="2015"/>
    <n v="1.88"/>
    <n v="1.76"/>
    <n v="1.64"/>
    <n v="1.55"/>
    <n v="1.32"/>
    <n v="1.22"/>
    <n v="1.1200000000000001"/>
    <n v="0.96"/>
    <n v="0.86"/>
    <n v="0.79"/>
    <n v="0.72"/>
    <n v="0.67"/>
    <n v="0.62"/>
    <n v="0.55000000000000004"/>
  </r>
  <r>
    <x v="56"/>
    <s v="z_US4878361082"/>
    <n v="31"/>
    <n v="12"/>
    <n v="2015"/>
    <n v="2.19"/>
    <n v="2.02"/>
    <n v="1.94"/>
    <n v="1.9"/>
    <n v="1.8"/>
    <n v="1.74"/>
    <n v="1.67"/>
    <n v="1.56"/>
    <n v="1.43"/>
    <n v="1.3"/>
    <n v="1.2"/>
    <n v="1.1399999999999999"/>
    <n v="1.06"/>
    <n v="1.01"/>
  </r>
  <r>
    <x v="57"/>
    <s v="z_US4943681035"/>
    <n v="31"/>
    <n v="12"/>
    <n v="2015"/>
    <n v="4"/>
    <n v="3.65"/>
    <n v="3.48"/>
    <n v="3.36"/>
    <n v="3.24"/>
    <n v="2.96"/>
    <n v="2.8"/>
    <n v="2.64"/>
    <n v="2.4"/>
    <n v="2.3199999999999998"/>
    <n v="2.12"/>
    <n v="1.96"/>
    <n v="1.8"/>
    <n v="1.6"/>
  </r>
  <r>
    <x v="58"/>
    <s v="z_US57636Q1040"/>
    <n v="31"/>
    <n v="12"/>
    <n v="2015"/>
    <n v="0.55000000000000004"/>
    <n v="0.57999999999999996"/>
    <n v="0.56000000000000005"/>
    <n v="0.44"/>
    <n v="0.21"/>
    <n v="0.12"/>
    <n v="0.06"/>
    <n v="0.06"/>
    <n v="0.06"/>
    <n v="0.06"/>
    <m/>
    <m/>
    <m/>
    <m/>
  </r>
  <r>
    <x v="59"/>
    <s v="z_US6153691059"/>
    <n v="31"/>
    <n v="12"/>
    <n v="2015"/>
    <n v="1.75"/>
    <n v="1.43"/>
    <n v="1.32"/>
    <n v="1.18"/>
    <n v="0.98"/>
    <n v="0.64"/>
    <n v="0.54"/>
    <n v="0.42"/>
    <n v="0.4"/>
    <n v="0.4"/>
    <n v="0.34"/>
    <n v="0.28999999999999998"/>
    <n v="0.24"/>
    <n v="0.15"/>
  </r>
  <r>
    <x v="60"/>
    <s v="z_US91324P1021"/>
    <n v="31"/>
    <n v="12"/>
    <n v="2015"/>
    <n v="1.73"/>
    <n v="1.52"/>
    <n v="1.43"/>
    <n v="1.41"/>
    <n v="1.05"/>
    <n v="0.8"/>
    <n v="0.61"/>
    <n v="0.40500000000000003"/>
    <n v="0.03"/>
    <n v="0.03"/>
    <n v="0.03"/>
    <n v="0.03"/>
    <n v="0.02"/>
    <n v="0.02"/>
  </r>
  <r>
    <x v="61"/>
    <s v="z_US92826C8394"/>
    <n v="30"/>
    <n v="9"/>
    <n v="2015"/>
    <n v="0.82"/>
    <n v="0.57999999999999996"/>
    <n v="0.53"/>
    <n v="0.4"/>
    <n v="0.35"/>
    <n v="0.25"/>
    <n v="0.15"/>
    <n v="0.13"/>
    <n v="0.11"/>
    <n v="2.5999999999999999E-2"/>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r>
    <x v="62"/>
    <m/>
    <m/>
    <m/>
    <m/>
    <m/>
    <m/>
    <m/>
    <m/>
    <m/>
    <m/>
    <m/>
    <m/>
    <m/>
    <m/>
    <m/>
    <m/>
    <m/>
    <m/>
  </r>
</pivotCacheRecords>
</file>

<file path=xl/pivotCache/pivotCacheRecords6.xml><?xml version="1.0" encoding="utf-8"?>
<pivotCacheRecords xmlns="http://schemas.openxmlformats.org/spreadsheetml/2006/main" xmlns:r="http://schemas.openxmlformats.org/officeDocument/2006/relationships" count="100">
  <r>
    <x v="0"/>
    <s v="CH0011037469"/>
    <n v="31"/>
    <n v="12"/>
    <n v="2015"/>
    <n v="0.62557077625570778"/>
    <n v="0.64615384615384619"/>
    <n v="0.70000000000000007"/>
    <n v="0.63181818181818172"/>
    <n v="0.63273340832395941"/>
    <n v="0.51082677165354329"/>
    <n v="0.50953206239168114"/>
    <n v="0.50967311541027349"/>
    <n v="0.38372093023255816"/>
    <n v="0.36021872863978122"/>
    <n v="0.41681260945709281"/>
    <n v="0.41574803149606304"/>
    <n v="0.53833605220228387"/>
  </r>
  <r>
    <x v="1"/>
    <s v="CH0012005267"/>
    <n v="31"/>
    <n v="12"/>
    <n v="2015"/>
    <n v="0.62906309751434031"/>
    <n v="0.64977973568281944"/>
    <n v="0.60775862068965514"/>
    <n v="0.61020881670533644"/>
    <n v="0.74864864864864866"/>
    <n v="0.634961439588689"/>
    <n v="0.64021164021164023"/>
    <n v="0.54929577464788737"/>
    <n v="0.54742547425474253"/>
    <n v="0.52646239554317553"/>
    <n v="0.50533807829181487"/>
    <n v="0.36513157894736847"/>
    <n v="0.33587786259541985"/>
  </r>
  <r>
    <x v="2"/>
    <s v="CH0012032048"/>
    <n v="31"/>
    <n v="12"/>
    <n v="2015"/>
    <n v="0.61741935483870969"/>
    <n v="0.60410958904109591"/>
    <n v="0.62014925373134333"/>
    <n v="0.74005550416281218"/>
    <n v="0.60324825986078889"/>
    <n v="0.65860215053763438"/>
    <n v="0.61930783242258647"/>
    <n v="0.65281899109792285"/>
    <n v="0.66518847006651893"/>
    <n v="0.48875855327468226"/>
    <n v="0.41218637992831536"/>
    <n v="0.37569060773480661"/>
    <n v="0.37257824143070045"/>
  </r>
  <r>
    <x v="3"/>
    <s v="CH0038863350"/>
    <n v="31"/>
    <n v="12"/>
    <n v="2015"/>
    <n v="0.6465968586387435"/>
    <n v="0.6657303370786517"/>
    <n v="0.67867867867867859"/>
    <n v="1.291079812206573"/>
    <n v="0.81377744133232399"/>
    <n v="0.61746987951807231"/>
    <n v="0.65878378378378377"/>
    <n v="0.86854460093896724"/>
    <n v="0.54982817869415812"/>
    <n v="0.57377049180327866"/>
    <n v="0.4420289855072464"/>
    <n v="0.44067796610169496"/>
    <n v="0.44117647058823528"/>
  </r>
  <r>
    <x v="4"/>
    <s v="DE0005200000"/>
    <n v="31"/>
    <n v="12"/>
    <n v="2015"/>
    <n v="0.24397590361445787"/>
    <n v="0.25913621262458475"/>
    <n v="0.27075812274368233"/>
    <n v="0.30303030303030298"/>
    <n v="0.30042918454935619"/>
    <n v="0.33653846153846151"/>
    <n v="0.37433155080213898"/>
    <n v="0.38043478260869562"/>
    <n v="0.42424242424242425"/>
    <n v="0.41095890410958907"/>
    <n v="0.330188679245283"/>
    <n v="0.35502958579881655"/>
    <n v="0.39310344827586202"/>
  </r>
  <r>
    <x v="5"/>
    <s v="DE0005552004"/>
    <n v="31"/>
    <n v="12"/>
    <n v="2015"/>
    <n v="0.5"/>
    <n v="0.49253731343283585"/>
    <n v="0.49444444444444446"/>
    <n v="0.51829268292682928"/>
    <n v="0.48192771084337355"/>
    <n v="0.53030303030303028"/>
    <n v="0.72916666666666663"/>
    <n v="0.30952380952380953"/>
    <n v="1.1320754716981132"/>
    <n v="2"/>
    <n v="0.78260869565217395"/>
    <n v="0.46875"/>
    <n v="0.35175879396984921"/>
  </r>
  <r>
    <x v="6"/>
    <s v="DE0005557508"/>
    <n v="31"/>
    <n v="12"/>
    <n v="2015"/>
    <n v="0.68478260869565211"/>
    <n v="0.79729729729729726"/>
    <n v="0.87096774193548399"/>
    <n v="0.94339622641509424"/>
    <n v="0.79365079365079361"/>
    <n v="1.2068965517241379"/>
    <n v="1.044776119402985"/>
    <n v="0.88607594936708856"/>
    <n v="1"/>
    <n v="1"/>
    <n v="1.1304347826086958"/>
    <n v="0.79999999999999993"/>
    <n v="0.66666666666666663"/>
  </r>
  <r>
    <x v="7"/>
    <s v="DE0007164600"/>
    <n v="31"/>
    <n v="12"/>
    <n v="2015"/>
    <n v="0.34782608695652173"/>
    <n v="0.33798882681564246"/>
    <n v="0.35873015873015873"/>
    <n v="0.40145985401459855"/>
    <n v="0.35971223021582738"/>
    <n v="0.35864978902953581"/>
    <n v="0.44534412955465585"/>
    <n v="0.2857142857142857"/>
    <n v="0.3401360544217687"/>
    <n v="0.32258064516129031"/>
    <n v="0.31446540880503143"/>
    <n v="0.30263157894736842"/>
    <n v="0.3"/>
  </r>
  <r>
    <x v="8"/>
    <s v="DE0007236101"/>
    <n v="30"/>
    <n v="9"/>
    <n v="2015"/>
    <n v="0.52083333333333337"/>
    <n v="0.52198581560283697"/>
    <n v="0.45784695201037612"/>
    <n v="0.52297939778129954"/>
    <n v="0.59642147117296218"/>
    <n v="0.59523809523809523"/>
    <n v="0.43103448275862072"/>
    <n v="0.60810810810810811"/>
    <n v="0.60836501901140694"/>
    <n v="0.79207920792079212"/>
    <n v="0.41450777202072542"/>
    <n v="0.44478527607361967"/>
    <n v="0.55785123966942152"/>
  </r>
  <r>
    <x v="9"/>
    <s v="DE0008404005"/>
    <n v="31"/>
    <n v="12"/>
    <n v="2015"/>
    <n v="0.48013698630136986"/>
    <n v="0.48095238095238102"/>
    <n v="0.49647887323943662"/>
    <n v="0.50219941348973607"/>
    <n v="0.4061302681992337"/>
    <n v="0.3968253968253968"/>
    <n v="0.82116788321167877"/>
    <n v="0.40467625899280579"/>
    <n v="0.43157894736842101"/>
    <n v="2"/>
    <n v="0.3105590062111801"/>
    <n v="0.22646007151370676"/>
    <n v="0.17793594306049823"/>
  </r>
  <r>
    <x v="10"/>
    <s v="DE0008430026"/>
    <n v="31"/>
    <n v="12"/>
    <n v="2015"/>
    <n v="0.4721893491124261"/>
    <n v="0.4863095238095238"/>
    <n v="0.46470588235294119"/>
    <n v="0.42326597487711637"/>
    <n v="0.39189189189189189"/>
    <n v="0.38932146829810899"/>
    <n v="1.5862944162436547"/>
    <n v="0.47856049004594181"/>
    <n v="0.44401544401544402"/>
    <n v="0.73529411764705876"/>
    <n v="0.30726256983240224"/>
    <n v="0.29761904761904762"/>
    <n v="0.26495726495726496"/>
  </r>
  <r>
    <x v="11"/>
    <s v="DE000BASF111"/>
    <n v="31"/>
    <n v="12"/>
    <n v="2015"/>
    <n v="0.50793650793650802"/>
    <n v="0.53333333333333333"/>
    <n v="0.57199211045364884"/>
    <n v="0.5"/>
    <n v="0.51233396584440238"/>
    <n v="0.48964218455743885"/>
    <n v="0.37147102526002967"/>
    <n v="0.44354838709677424"/>
    <n v="1.1038961038961039"/>
    <n v="0.6230031948881789"/>
    <n v="0.46875"/>
    <n v="0.47021943573667713"/>
    <n v="0.34843205574912889"/>
  </r>
  <r>
    <x v="12"/>
    <s v="DE000BAY0017"/>
    <n v="31"/>
    <n v="12"/>
    <n v="2015"/>
    <n v="0.42517482517482513"/>
    <n v="0.44426751592356689"/>
    <n v="0.48923679060665359"/>
    <n v="0.5434782608695653"/>
    <n v="0.54404145077720212"/>
    <n v="0.64189189189189189"/>
    <n v="0.55183946488294311"/>
    <n v="0.95541401273885351"/>
    <n v="0.82352941176470584"/>
    <n v="0.63063063063063052"/>
    <n v="0.35526315789473689"/>
    <n v="0.4504504504504504"/>
    <n v="0.43378995433789952"/>
  </r>
  <r>
    <x v="13"/>
    <s v="ES0178430E18"/>
    <n v="31"/>
    <n v="12"/>
    <n v="2015"/>
    <n v="0.69902912621359214"/>
    <n v="0.77777777777777768"/>
    <n v="0.87499999999999989"/>
    <n v="0.65573770491803285"/>
    <n v="0.74257425742574257"/>
    <n v="0.94252873563218387"/>
    <n v="1.2666666666666668"/>
    <n v="0.57777777777777783"/>
    <n v="0.58479532163742687"/>
    <n v="0.55214723926380371"/>
    <n v="0.34759358288770054"/>
    <n v="0.42307692307692307"/>
    <n v="0.54945054945054939"/>
  </r>
  <r>
    <x v="14"/>
    <s v="FR0000120644"/>
    <n v="31"/>
    <n v="12"/>
    <n v="2015"/>
    <n v="0.54838709677419351"/>
    <n v="0.54258675078864349"/>
    <n v="0.55749128919860624"/>
    <n v="0.79787234042553201"/>
    <n v="0.59917355371900827"/>
    <n v="0.52346570397111913"/>
    <n v="0.50180505415162446"/>
    <n v="0.42763157894736842"/>
    <n v="0.46692607003891051"/>
    <n v="0.43795620437956201"/>
    <n v="0.60109289617486339"/>
    <n v="0.36101083032490977"/>
    <n v="0.28911564625850339"/>
  </r>
  <r>
    <x v="15"/>
    <s v="GB0002875804"/>
    <n v="31"/>
    <n v="12"/>
    <n v="2015"/>
    <n v="0.70612244897959175"/>
    <n v="0.73181818181818181"/>
    <n v="0.7562189054726367"/>
    <n v="0.88622754491017963"/>
    <n v="0.69268292682926835"/>
    <n v="0.68527918781725894"/>
    <n v="0.8141025641025641"/>
    <n v="0.79166666666666663"/>
    <n v="0.73529411764705876"/>
    <n v="0.68292682926829262"/>
    <n v="0.63461538461538458"/>
    <s v=""/>
    <s v=""/>
  </r>
  <r>
    <x v="16"/>
    <s v="GB0004544929"/>
    <n v="30"/>
    <n v="9"/>
    <n v="2015"/>
    <n v="0.86224489795918369"/>
    <n v="0.85"/>
    <n v="0.83431952662721887"/>
    <n v="0.86486486486486491"/>
    <n v="1.2083333333333333"/>
    <n v="1.5588235294117647"/>
    <n v="0.53672316384180785"/>
    <n v="0.56756756756756754"/>
    <n v="1.1230769230769231"/>
    <n v="1.26"/>
    <n v="0.51724137931034486"/>
    <s v=""/>
    <s v=""/>
  </r>
  <r>
    <x v="17"/>
    <s v="GB00BH4HKS39"/>
    <n v="31"/>
    <n v="3"/>
    <n v="2015"/>
    <n v="1.9761499148211241"/>
    <n v="2"/>
    <n v="0.61748633879781412"/>
    <n v="0.26378896882494007"/>
    <n v="2"/>
    <n v="0.67857142857142849"/>
    <n v="0.59333333333333338"/>
    <n v="0.51875000000000004"/>
    <n v="0.93333333333333335"/>
    <n v="0.57692307692307687"/>
    <n v="2"/>
    <n v="2"/>
    <n v="2"/>
  </r>
  <r>
    <x v="18"/>
    <s v="NL0000009355"/>
    <n v="31"/>
    <n v="12"/>
    <n v="2015"/>
    <n v="0.65094339622641506"/>
    <n v="0.6512820512820513"/>
    <n v="0.65745856353591159"/>
    <n v="0.62569832402234637"/>
    <n v="0.6325301204819278"/>
    <n v="0.6298701298701298"/>
    <n v="0.61643835616438358"/>
    <n v="0.56849315068493145"/>
    <n v="0.68376068376068388"/>
    <n v="0.63636363636363635"/>
    <n v="0.5725190839694656"/>
    <n v="0.63002680965147451"/>
    <n v="0.58458813108945973"/>
  </r>
  <r>
    <x v="19"/>
    <s v="US00206R1023"/>
    <n v="31"/>
    <n v="12"/>
    <n v="2015"/>
    <n v="0.73962264150943402"/>
    <n v="0.74230769230769222"/>
    <n v="0.74703557312252966"/>
    <n v="0.85253456221198165"/>
    <n v="0.7357723577235773"/>
    <n v="0.72244897959183674"/>
    <n v="0.87309644670050757"/>
    <n v="0.52173913043478259"/>
    <n v="0.77830188679245271"/>
    <n v="0.74537037037037035"/>
    <n v="0.75773195876288657"/>
    <n v="0.71428571428571441"/>
    <n v="0.91549295774647899"/>
  </r>
  <r>
    <x v="20"/>
    <s v="US09247X1019"/>
    <n v="31"/>
    <n v="12"/>
    <n v="2015"/>
    <n v="0.41153846153846152"/>
    <n v="0.41956521739130437"/>
    <n v="0.43532338308457708"/>
    <n v="0.40103896103896103"/>
    <n v="0.39834024896265557"/>
    <n v="0.43509789702683105"/>
    <n v="0.44462409054163299"/>
    <n v="0.37914691943127959"/>
    <n v="0.51063829787234039"/>
    <n v="0.53979238754325254"/>
    <s v=""/>
    <s v=""/>
    <s v=""/>
  </r>
  <r>
    <x v="21"/>
    <s v="US1912161007"/>
    <n v="31"/>
    <n v="12"/>
    <n v="2015"/>
    <n v="0.66814159292035402"/>
    <n v="0.68095238095238086"/>
    <n v="0.67346938775510212"/>
    <n v="0.76249999999999996"/>
    <n v="0.58947368421052637"/>
    <n v="0.51776649746192893"/>
    <n v="0.50810810810810803"/>
    <n v="0.54658385093167694"/>
    <n v="0.55782312925170063"/>
    <n v="0.50331125827814571"/>
    <n v="0.52713178294573648"/>
    <n v="0.57407407407407407"/>
    <n v="0.5490196078431373"/>
  </r>
  <r>
    <x v="22"/>
    <s v="US1941621039"/>
    <n v="31"/>
    <n v="12"/>
    <n v="2015"/>
    <n v="0.50712250712250717"/>
    <n v="0.51572327044025157"/>
    <n v="0.52961672473867594"/>
    <n v="0.60169491525423724"/>
    <n v="0.55882352941176472"/>
    <n v="0.47286821705426352"/>
    <n v="0.46153846153846145"/>
    <n v="0.46976744186046515"/>
    <n v="0.39269406392694062"/>
    <n v="0.42622950819672129"/>
    <n v="0.43749999999999994"/>
    <n v="0.51219512195121952"/>
    <n v="0.45901639344262302"/>
  </r>
  <r>
    <x v="23"/>
    <s v="US3696041033"/>
    <n v="31"/>
    <n v="12"/>
    <n v="2015"/>
    <n v="0.59411764705882353"/>
    <n v="0.65986394557823125"/>
    <n v="1.1625000000000001"/>
    <n v="0.59333333333333338"/>
    <n v="0.62204724409448819"/>
    <n v="0.54263565891472865"/>
    <n v="0.49593495934959347"/>
    <n v="0.43396226415094341"/>
    <n v="0.60396039603960394"/>
    <n v="0.72093023255813959"/>
    <n v="0.52995391705069117"/>
    <n v="0.51500000000000001"/>
    <n v="0.59090909090909094"/>
  </r>
  <r>
    <x v="24"/>
    <s v="US4592001014"/>
    <n v="31"/>
    <n v="12"/>
    <n v="2015"/>
    <n v="0.28273809523809523"/>
    <n v="0.31830065359477122"/>
    <n v="0.31232876712328766"/>
    <n v="0.27261064785118666"/>
    <n v="0.24765729585006696"/>
    <n v="0.22964509394572025"/>
    <n v="0.22205206738131697"/>
    <n v="0.2170138888888889"/>
    <n v="0.21478521478521478"/>
    <n v="0.21276595744680851"/>
    <n v="0.20891364902506965"/>
    <n v="0.18003273322422259"/>
    <n v="0.1598360655737705"/>
  </r>
  <r>
    <x v="25"/>
    <s v="US4781601046"/>
    <n v="31"/>
    <n v="12"/>
    <n v="2015"/>
    <n v="0.51230769230769235"/>
    <n v="0.50909090909090915"/>
    <n v="0.49489795918367352"/>
    <n v="0.48421052631578942"/>
    <n v="0.45598591549295775"/>
    <n v="0.54054054054054046"/>
    <n v="0.50448430493273544"/>
    <n v="0.44142259414225937"/>
    <n v="0.4386363636363636"/>
    <n v="0.39168490153172864"/>
    <n v="0.44628099173553726"/>
    <n v="0.39142091152815012"/>
    <n v="0.36705202312138729"/>
  </r>
  <r>
    <x v="26"/>
    <s v="US50076Q1067"/>
    <n v="31"/>
    <n v="12"/>
    <n v="2015"/>
    <n v="0.66756032171581781"/>
    <n v="0.68604651162790697"/>
    <n v="0.69349845201238403"/>
    <n v="0.63235294117647056"/>
    <n v="0.73476702508960567"/>
    <n v="0.41551246537396125"/>
    <n v="0.29219143576826195"/>
    <n v="0.32402234636871508"/>
    <n v="0.30687830687830686"/>
    <n v="0.45344129554655888"/>
    <s v=""/>
    <s v=""/>
    <s v=""/>
  </r>
  <r>
    <x v="27"/>
    <s v="US5801351017"/>
    <n v="31"/>
    <n v="12"/>
    <n v="2015"/>
    <n v="0.67406143344709901"/>
    <n v="0.70018975332068312"/>
    <n v="0.70756646216768915"/>
    <n v="0.68049792531120323"/>
    <n v="0.56216216216216219"/>
    <n v="0.53544776119402981"/>
    <n v="0.48007590132827327"/>
    <n v="0.49344978165938858"/>
    <n v="0.49878345498783444"/>
    <n v="0.43351063829787234"/>
    <n v="0.45454545454545459"/>
    <n v="0.35335689045936397"/>
    <n v="0.32843137254901961"/>
  </r>
  <r>
    <x v="28"/>
    <s v="US58933Y1055"/>
    <n v="31"/>
    <n v="12"/>
    <n v="2015"/>
    <n v="0.6064516129032258"/>
    <n v="0.6216216216216216"/>
    <n v="1.0056179775280898"/>
    <n v="1.0598802395209581"/>
    <n v="1.1768707482993197"/>
    <n v="0.84"/>
    <n v="0.75247524752475248"/>
    <n v="0.44444444444444448"/>
    <n v="1.1603053435114503"/>
    <n v="0.53333333333333333"/>
    <n v="1.0201342281879195"/>
    <n v="0.74876847290640403"/>
    <n v="0.72380952380952379"/>
  </r>
  <r>
    <x v="29"/>
    <s v="US5949181045"/>
    <n v="30"/>
    <n v="6"/>
    <n v="2015"/>
    <n v="0.42024539877300621"/>
    <n v="0.44599303135888502"/>
    <n v="0.5"/>
    <n v="0.42585551330798482"/>
    <n v="0.34456928838951312"/>
    <n v="0.29304029304029305"/>
    <n v="0.23791821561338292"/>
    <n v="0.24761904761904763"/>
    <n v="0.32098765432098764"/>
    <n v="0.23529411764705882"/>
    <n v="0.28169014084507044"/>
    <n v="0.29166666666666669"/>
    <n v="0.30357142857142855"/>
  </r>
  <r>
    <x v="30"/>
    <s v="US6092071058"/>
    <n v="31"/>
    <n v="12"/>
    <n v="2015"/>
    <n v="0.33488372093023255"/>
    <n v="0.35106382978723411"/>
    <n v="0.38124999999999998"/>
    <n v="0.45312499999999994"/>
    <n v="0.41860465116279072"/>
    <n v="0.41551246537396125"/>
    <n v="0.29219143576826201"/>
    <n v="0.32402234636871502"/>
    <n v="0.30687830687830686"/>
    <n v="0.45344129554655882"/>
    <s v=""/>
    <s v=""/>
    <s v=""/>
  </r>
  <r>
    <x v="31"/>
    <s v="US61166W1018"/>
    <n v="31"/>
    <n v="8"/>
    <n v="2015"/>
    <n v="0.26998689384010488"/>
    <n v="0.30803571428571425"/>
    <n v="0.33217993079584773"/>
    <n v="0.34099616858237553"/>
    <n v="0.33913043478260874"/>
    <n v="0.33773087071240104"/>
    <n v="0.38513513513513509"/>
    <n v="0.47161572052401751"/>
    <n v="0.24299065420560748"/>
    <n v="0.22928176795580107"/>
    <n v="0.30726256983240224"/>
    <n v="0.32"/>
    <n v="0.72340425531914898"/>
  </r>
  <r>
    <x v="32"/>
    <s v="US68389X1054"/>
    <n v="31"/>
    <n v="5"/>
    <n v="2015"/>
    <n v="0.20664206642066424"/>
    <n v="0.21825396825396828"/>
    <n v="0.21551724137931036"/>
    <n v="0.20168067226890757"/>
    <n v="0.13274336283185842"/>
    <n v="0.12244897959183673"/>
    <n v="0.12574850299401197"/>
    <n v="0.16528925619834711"/>
    <n v="4.5871559633027525E-2"/>
    <n v="0"/>
    <n v="0"/>
    <n v="0"/>
    <n v="0"/>
  </r>
  <r>
    <x v="33"/>
    <s v="US7134481081"/>
    <n v="31"/>
    <n v="12"/>
    <n v="2015"/>
    <n v="0.59889094269870613"/>
    <n v="0.58846918489065603"/>
    <n v="0.59354838709677415"/>
    <n v="0.59250585480093676"/>
    <n v="0.51851851851851849"/>
    <n v="0.54336734693877553"/>
    <n v="0.50372208436724553"/>
    <n v="0.48337595907928382"/>
    <n v="0.47214854111405835"/>
    <n v="0.51401869158878499"/>
    <n v="0.41935483870967738"/>
    <n v="0.3473053892215569"/>
    <n v="0.42259414225941422"/>
  </r>
  <r>
    <x v="34"/>
    <s v="US7170811035"/>
    <n v="31"/>
    <n v="12"/>
    <n v="2015"/>
    <n v="0.61734693877551017"/>
    <n v="0.61290322580645151"/>
    <n v="0.60989010989010994"/>
    <n v="0.73239436619718312"/>
    <n v="0.58181818181818179"/>
    <n v="0.45360824742268041"/>
    <n v="0.62992125984251968"/>
    <n v="0.70588235294117641"/>
    <n v="0.65040650406504075"/>
    <n v="1.0666666666666667"/>
    <n v="0.99145299145299148"/>
    <n v="0.63157894736842102"/>
    <n v="0.69724770642201828"/>
  </r>
  <r>
    <x v="35"/>
    <s v="US7181721090"/>
    <n v="31"/>
    <n v="12"/>
    <n v="2015"/>
    <n v="0.876"/>
    <n v="0.89787234042553188"/>
    <n v="0.94859813084112132"/>
    <n v="0.81512605042016806"/>
    <n v="0.68060836501901145"/>
    <n v="0.62669245647969052"/>
    <n v="0.58144329896907221"/>
    <n v="0.62244897959183676"/>
    <n v="0.6913580246913581"/>
    <n v="0.46525679758308158"/>
    <s v=""/>
    <s v=""/>
    <s v=""/>
  </r>
  <r>
    <x v="36"/>
    <s v="US7427181091"/>
    <n v="30"/>
    <n v="6"/>
    <n v="2015"/>
    <n v="0.63906581740976642"/>
    <n v="0.65801886792452824"/>
    <n v="0.70652173913043481"/>
    <n v="0.61557788944723624"/>
    <n v="0.59791122715404699"/>
    <n v="0.69934640522875824"/>
    <n v="0.51168831168831164"/>
    <n v="0.51873198847262247"/>
    <n v="0.48377581120943947"/>
    <n v="0.4264705882352941"/>
    <n v="0.45070422535211269"/>
    <n v="0.46184738955823285"/>
    <n v="0.40711462450592889"/>
  </r>
  <r>
    <x v="37"/>
    <s v="US92343V1044"/>
    <n v="31"/>
    <n v="12"/>
    <n v="2015"/>
    <n v="0.56553398058252424"/>
    <n v="0.57035175879396982"/>
    <n v="0.59042553191489366"/>
    <n v="0.89256198347107452"/>
    <n v="0.52249999999999996"/>
    <n v="0.90624999999999978"/>
    <n v="0.92093023255813955"/>
    <n v="0.8772727272727272"/>
    <n v="0.77916666666666679"/>
    <n v="0.78761061946902666"/>
    <n v="0.87894736842105259"/>
    <n v="0.75348837209302333"/>
    <n v="0.61132075471698122"/>
  </r>
  <r>
    <x v="38"/>
    <s v="US9311421039"/>
    <n v="31"/>
    <n v="1"/>
    <n v="2015"/>
    <n v="0.39691714836223507"/>
    <n v="0.40408163265306118"/>
    <n v="0.3801980198019802"/>
    <n v="0.38524590163934425"/>
    <n v="0.31673306772908372"/>
    <n v="0.32300884955752213"/>
    <n v="0.27069351230425054"/>
    <n v="0.29459459459459458"/>
    <n v="0.28023598820058992"/>
    <n v="0.28115015974440893"/>
    <n v="0.24723247232472326"/>
    <n v="0.22388059701492535"/>
    <n v="0.21576763485477177"/>
  </r>
  <r>
    <x v="39"/>
    <s v="z_BE0003793107"/>
    <n v="31"/>
    <n v="12"/>
    <n v="2015"/>
    <n v="0.68196721311475417"/>
    <n v="0.65457685664939547"/>
    <n v="0.63636363636363635"/>
    <n v="0.54151624548736466"/>
    <n v="0.41751527494908347"/>
    <n v="0.50112359550561791"/>
    <n v="0.4269972451790634"/>
    <n v="0.42800000000000005"/>
    <n v="0.18965517241379312"/>
    <n v="0.18134715025906736"/>
    <s v=""/>
    <s v=""/>
    <s v=""/>
  </r>
  <r>
    <x v="40"/>
    <s v="z_CH0010570759"/>
    <n v="31"/>
    <n v="12"/>
    <n v="2015"/>
    <n v="0.51805337519623229"/>
    <n v="0.51706484641638228"/>
    <n v="0.51291745431632008"/>
    <n v="0.49657534246575341"/>
    <n v="0.49467275494672752"/>
    <n v="0.48441449031171019"/>
    <n v="0.46382189239332094"/>
    <n v="0.42654028436018959"/>
    <n v="0.47009049241979084"/>
    <n v="0.31578947368421051"/>
    <n v="0.30247479376718606"/>
    <n v="0.29852366478506293"/>
    <n v="0.29289247591772977"/>
  </r>
  <r>
    <x v="41"/>
    <s v="z_DE0006048432"/>
    <n v="31"/>
    <n v="12"/>
    <n v="2015"/>
    <n v="0.31294964028776978"/>
    <n v="0.31673306772908372"/>
    <n v="0.31887201735357917"/>
    <n v="0.35106382978723411"/>
    <n v="0.33242506811989103"/>
    <n v="0.27220630372492832"/>
    <n v="0.27681660899653981"/>
    <n v="0.27906976744186046"/>
    <n v="0.37857142857142861"/>
    <n v="0.28804347826086957"/>
    <n v="0.24766355140186916"/>
    <n v="0.25125628140703515"/>
    <n v="0.25423728813559321"/>
  </r>
  <r>
    <x v="42"/>
    <s v="z_DE0006483001"/>
    <n v="31"/>
    <n v="12"/>
    <n v="2015"/>
    <n v="0.4219066937119676"/>
    <n v="0.42729306487695751"/>
    <n v="0.44174135723431501"/>
    <n v="0.53030303030303028"/>
    <n v="0.42372881355932202"/>
    <n v="0.38737446197991393"/>
    <n v="0.36656891495601174"/>
    <n v="0.37542662116040959"/>
    <n v="0.51724137931034486"/>
    <n v="0.42452830188679247"/>
    <n v="0.54347826086956519"/>
    <n v="0.31217481789802293"/>
    <n v="0.35353535353535354"/>
  </r>
  <r>
    <x v="43"/>
    <s v="z_DK0060534915"/>
    <n v="31"/>
    <n v="12"/>
    <n v="2015"/>
    <n v="0.46023391812865494"/>
    <n v="0.46026490066225167"/>
    <n v="0.46967213114754103"/>
    <n v="0.49652432969215488"/>
    <n v="0.48128342245989308"/>
    <n v="0.46332046332046334"/>
    <n v="0.46666666666666662"/>
    <n v="0.4065040650406504"/>
    <n v="0.42134831460674155"/>
    <n v="0.38585209003215432"/>
    <n v="0.33582089552238803"/>
    <n v="0.35"/>
    <n v="0.33707865168539325"/>
  </r>
  <r>
    <x v="44"/>
    <s v="z_FR0000120321"/>
    <n v="31"/>
    <n v="12"/>
    <n v="2015"/>
    <n v="0.50622406639004147"/>
    <n v="0.50223546944858422"/>
    <n v="0.49758454106280192"/>
    <n v="0.5056179775280899"/>
    <n v="0.48732943469785578"/>
    <n v="0.46843177189409363"/>
    <n v="0.46296296296296291"/>
    <n v="0.44887780548628431"/>
    <n v="0.43859649122807021"/>
    <n v="0.41260744985673348"/>
    <n v="0.4107142857142857"/>
    <n v="0.39597315436241609"/>
    <n v="0.38461538461538458"/>
  </r>
  <r>
    <x v="45"/>
    <s v="z_FR0000120578"/>
    <n v="31"/>
    <n v="12"/>
    <n v="2015"/>
    <n v="0.63026819923371646"/>
    <n v="0.65352697095435675"/>
    <n v="0.67184035476718407"/>
    <n v="0.84848484848484851"/>
    <n v="0.99640287769784175"/>
    <n v="0.70855614973262027"/>
    <n v="0.58275058275058278"/>
    <n v="0.57416267942583732"/>
    <n v="0.54590570719602982"/>
    <n v="0.70408163265306123"/>
    <n v="0.44987146529562982"/>
    <n v="0.51525423728813557"/>
    <n v="0.7142857142857143"/>
  </r>
  <r>
    <x v="46"/>
    <s v="z_GB0002374006"/>
    <n v="30"/>
    <n v="6"/>
    <n v="2015"/>
    <n v="0.58380952380952378"/>
    <n v="0.59301130524152112"/>
    <n v="0.61345496009122014"/>
    <n v="0.58230683090705493"/>
    <n v="0.47474747474747475"/>
    <n v="0.5714285714285714"/>
    <n v="0.52631578947368418"/>
    <n v="0.57575757575757569"/>
    <n v="0.55384615384615377"/>
    <n v="0.57627118644067798"/>
    <n v="0.6"/>
    <n v="0.46268656716417905"/>
    <n v="0.65217391304347816"/>
  </r>
  <r>
    <x v="47"/>
    <s v="z_GB0004835483"/>
    <n v="31"/>
    <n v="3"/>
    <n v="2015"/>
    <n v="0.51219512195121952"/>
    <n v="0.51327433628318586"/>
    <n v="0.47619047619047622"/>
    <n v="0.50239234449760772"/>
    <n v="0.49509803921568629"/>
    <n v="0.34469696969696967"/>
    <n v="0.53289473684210531"/>
    <n v="0.55737704918032793"/>
    <n v="0.46399999999999997"/>
    <n v="0.43283582089552231"/>
    <n v="0.45454545454545453"/>
    <s v=""/>
    <s v=""/>
  </r>
  <r>
    <x v="48"/>
    <s v="z_GB00B24CGK77"/>
    <n v="31"/>
    <n v="12"/>
    <n v="2015"/>
    <n v="0.52158273381294962"/>
    <n v="0.52549019607843139"/>
    <n v="0.52941176470588236"/>
    <n v="0.31519274376417228"/>
    <n v="0.57322175732217573"/>
    <n v="0.53600000000000003"/>
    <n v="0.52742616033755274"/>
    <n v="0.53738317757009335"/>
    <n v="0.51282051282051289"/>
    <n v="0.39999999999999997"/>
    <n v="0.390625"/>
    <s v=""/>
    <s v=""/>
  </r>
  <r>
    <x v="49"/>
    <s v="z_IE00B4BNMY34"/>
    <n v="31"/>
    <n v="8"/>
    <n v="2015"/>
    <n v="0.41083916083916089"/>
    <n v="0.42441860465116277"/>
    <n v="0.42796610169491528"/>
    <n v="0.41150442477876115"/>
    <n v="0.38479809976247031"/>
    <n v="0.35156250000000006"/>
    <n v="0.26470588235294118"/>
    <n v="0.42481203007518792"/>
    <n v="0.20491803278688525"/>
    <n v="0.15849056603773584"/>
    <n v="0.17766497461928932"/>
    <n v="0.18867924528301885"/>
    <n v="0"/>
  </r>
  <r>
    <x v="50"/>
    <s v="z_IE00BTN1Y115"/>
    <n v="30"/>
    <n v="4"/>
    <n v="2015"/>
    <n v="0.42021276595744683"/>
    <n v="0.43108504398826974"/>
    <n v="0.24797843665768196"/>
    <n v="0.29629629629629634"/>
    <n v="0.3086053412462908"/>
    <n v="0.28445747800586507"/>
    <n v="0.31468531468531469"/>
    <n v="0.29390681003584229"/>
    <n v="0.30364372469635625"/>
    <n v="0.22831050228310504"/>
    <n v="0.18257261410788381"/>
    <n v="0.18660287081339716"/>
    <n v="0.17894736842105266"/>
  </r>
  <r>
    <x v="51"/>
    <s v="z_US02209S1033"/>
    <n v="31"/>
    <n v="12"/>
    <n v="2015"/>
    <n v="0.77708978328173373"/>
    <n v="0.77483443708609268"/>
    <n v="0.78417266187050372"/>
    <n v="0.6640625"/>
    <n v="0.81415929203539839"/>
    <n v="0.82524271844660191"/>
    <n v="0.96341463414634154"/>
    <n v="0.78074866310160418"/>
    <n v="0.85714285714285721"/>
    <n v="0.70270270270270274"/>
    <n v="0.63648648648648642"/>
    <n v="0.55298013245033106"/>
    <n v="0.58114754098360655"/>
  </r>
  <r>
    <x v="52"/>
    <s v="z_US1266501006"/>
    <n v="31"/>
    <n v="12"/>
    <n v="2015"/>
    <n v="0.30627871362940273"/>
    <n v="0.28191489361702132"/>
    <n v="0.26993865030674852"/>
    <n v="0.27777777777777779"/>
    <n v="0.24064171122994651"/>
    <n v="0.21523178807947022"/>
    <n v="0.19455252918287938"/>
    <n v="0.14056224899598391"/>
    <n v="0.1215686274509804"/>
    <n v="0.11926605504587155"/>
    <n v="0.11979166666666667"/>
    <n v="9.9999999999999992E-2"/>
    <n v="9.6551724137931047E-2"/>
  </r>
  <r>
    <x v="53"/>
    <s v="z_US17275R1023"/>
    <n v="31"/>
    <n v="7"/>
    <n v="2015"/>
    <n v="0.44976076555023925"/>
    <n v="0.4375"/>
    <n v="0.45142857142857146"/>
    <n v="0.48322147651006708"/>
    <n v="0.33333333333333331"/>
    <n v="0.18791946308724833"/>
    <n v="9.3023255813953487E-2"/>
    <n v="0"/>
    <n v="0"/>
    <n v="0"/>
    <n v="0"/>
    <n v="0"/>
    <n v="0"/>
  </r>
  <r>
    <x v="54"/>
    <s v="z_US2635341090"/>
    <n v="31"/>
    <n v="12"/>
    <n v="2015"/>
    <n v="0.45945945945945948"/>
    <n v="0.45253863134657829"/>
    <n v="0.49122807017543857"/>
    <n v="0.46938775510204084"/>
    <n v="0.57289990344383646"/>
    <n v="0.57627118644067787"/>
    <n v="0.44565217391304346"/>
    <n v="0.5"/>
    <n v="0.85416666666666663"/>
    <n v="0.65338645418326691"/>
    <n v="0.47204968944099379"/>
    <n v="0.43786982248520712"/>
    <n v="0.70531400966183577"/>
  </r>
  <r>
    <x v="55"/>
    <s v="z_US3703341046"/>
    <n v="31"/>
    <n v="5"/>
    <n v="2015"/>
    <n v="0.58204334365325072"/>
    <n v="0.58862876254180596"/>
    <n v="0.64566929133858264"/>
    <n v="0.54770318021201414"/>
    <n v="0.4731182795698925"/>
    <n v="0.51914893617021274"/>
    <n v="0.4148148148148148"/>
    <n v="0.42857142857142849"/>
    <n v="0.45263157894736844"/>
    <n v="0.42473118279569894"/>
    <n v="0.45283018867924524"/>
    <n v="0.46206896551724141"/>
    <n v="0.40259740259740256"/>
  </r>
  <r>
    <x v="56"/>
    <s v="z_US4878361082"/>
    <n v="31"/>
    <n v="12"/>
    <n v="2015"/>
    <n v="0.54074074074074074"/>
    <n v="0.55040871934604907"/>
    <n v="0.55270655270655278"/>
    <n v="0.49738219895287961"/>
    <n v="0.47368421052631582"/>
    <n v="0.48066298342541436"/>
    <n v="0.45879120879120877"/>
    <n v="0.47272727272727277"/>
    <n v="0.45253164556962022"/>
    <n v="0.43478260869565216"/>
    <n v="0.43478260869565222"/>
    <n v="0.4541832669322709"/>
    <n v="0.44915254237288138"/>
  </r>
  <r>
    <x v="57"/>
    <s v="z_US4943681035"/>
    <n v="31"/>
    <n v="12"/>
    <n v="2015"/>
    <n v="0.60790273556231"/>
    <n v="0.5915721231766613"/>
    <n v="0.65290806754221387"/>
    <n v="0.6098003629764065"/>
    <n v="0.58589511754068713"/>
    <n v="0.66968325791855199"/>
    <n v="0.70175438596491224"/>
    <n v="0.59325842696629216"/>
    <n v="0.53097345132743368"/>
    <n v="0.57425742574257421"/>
    <n v="0.51833740831295849"/>
    <n v="0.60307692307692307"/>
    <n v="0.54878048780487809"/>
  </r>
  <r>
    <x v="58"/>
    <s v="z_US57636Q1040"/>
    <n v="31"/>
    <n v="12"/>
    <n v="2015"/>
    <n v="0.10826771653543307"/>
    <n v="0.1394230769230769"/>
    <n v="0.16138328530259366"/>
    <n v="0.14193548387096774"/>
    <n v="8.203125E-2"/>
    <n v="5.4794520547945202E-2"/>
    <n v="4.0268456375838924E-2"/>
    <n v="4.2553191489361701E-2"/>
    <n v="5.3571428571428562E-2"/>
    <n v="5.7142857142857141E-2"/>
    <s v=""/>
    <s v=""/>
    <s v=""/>
  </r>
  <r>
    <x v="59"/>
    <s v="z_US6153691059"/>
    <n v="31"/>
    <n v="12"/>
    <n v="2015"/>
    <n v="0.30701754385964913"/>
    <n v="0.2755298651252408"/>
    <n v="0.28884026258205686"/>
    <n v="0.25596529284164854"/>
    <n v="0.2722222222222222"/>
    <n v="0.20983606557377052"/>
    <n v="0.21686746987951808"/>
    <n v="0.19534883720930232"/>
    <n v="0.23668639053254439"/>
    <n v="0.21390374331550802"/>
    <n v="0.13178294573643412"/>
    <n v="0.11240310077519379"/>
    <n v="0.13043478260869565"/>
  </r>
  <r>
    <x v="60"/>
    <s v="z_US91324P1021"/>
    <n v="31"/>
    <n v="12"/>
    <n v="2015"/>
    <n v="0.21437422552664187"/>
    <n v="0.21652421652421655"/>
    <n v="0.2288"/>
    <n v="0.24736842105263157"/>
    <n v="0.19090909090909092"/>
    <n v="0.15151515151515152"/>
    <n v="0.12896405919661733"/>
    <n v="9.8780487804878067E-2"/>
    <n v="9.2592592592592587E-3"/>
    <n v="1.2500000000000001E-2"/>
    <n v="8.771929824561403E-3"/>
    <n v="1.01010101010101E-2"/>
    <n v="8.0645161290322578E-3"/>
  </r>
  <r>
    <x v="61"/>
    <s v="z_US92826C8394"/>
    <n v="30"/>
    <n v="9"/>
    <n v="2015"/>
    <n v="0.23495702005730656"/>
    <n v="0.19397993311036787"/>
    <n v="0.20463320463320467"/>
    <n v="0.186046511627907"/>
    <n v="0.18421052631578946"/>
    <n v="0.16233766233766234"/>
    <n v="0.11627906976744186"/>
    <n v="0.13"/>
    <n v="0.14102564102564102"/>
    <n v="0.10833333333333334"/>
    <s v=""/>
    <s v=""/>
    <s v=""/>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r>
    <x v="62"/>
    <m/>
    <m/>
    <m/>
    <m/>
    <e v="#N/A"/>
    <e v="#N/A"/>
    <e v="#N/A"/>
    <e v="#N/A"/>
    <e v="#N/A"/>
    <e v="#N/A"/>
    <e v="#N/A"/>
    <e v="#N/A"/>
    <e v="#N/A"/>
    <e v="#N/A"/>
    <e v="#N/A"/>
    <e v="#N/A"/>
    <e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7" cacheId="221" dataOnRows="1" applyNumberFormats="0" applyBorderFormats="0" applyFontFormats="0" applyPatternFormats="0" applyAlignmentFormats="0" applyWidthHeightFormats="1" dataCaption="Werte" updatedVersion="4" minRefreshableVersion="3" useAutoFormatting="1" rowGrandTotals="0" colGrandTotals="0" itemPrintTitles="1" createdVersion="4" indent="0" outline="1" outlineData="1" multipleFieldFilters="0" chartFormat="1">
  <location ref="D36:E50" firstHeaderRow="1" firstDataRow="2" firstDataCol="1"/>
  <pivotFields count="18">
    <pivotField axis="axisCol" showAll="0" defaultSubtotal="0">
      <items count="63">
        <item h="1" x="9"/>
        <item h="1" x="51"/>
        <item h="1" x="39"/>
        <item h="1" x="19"/>
        <item h="1" x="11"/>
        <item h="1" x="12"/>
        <item h="1" x="4"/>
        <item h="1" x="20"/>
        <item h="1" x="15"/>
        <item h="1" x="21"/>
        <item h="1" x="22"/>
        <item h="1" x="14"/>
        <item h="1" x="5"/>
        <item h="1" x="6"/>
        <item h="1" x="46"/>
        <item h="1" x="23"/>
        <item h="1" x="55"/>
        <item h="1" x="41"/>
        <item h="1" x="24"/>
        <item h="1" x="16"/>
        <item x="25"/>
        <item h="1" x="57"/>
        <item h="1" x="26"/>
        <item h="1" x="40"/>
        <item h="1" x="44"/>
        <item h="1" x="27"/>
        <item h="1" x="28"/>
        <item h="1" x="29"/>
        <item h="1" x="30"/>
        <item h="1" x="31"/>
        <item h="1" x="10"/>
        <item h="1" x="3"/>
        <item h="1" x="1"/>
        <item h="1" x="32"/>
        <item h="1" x="33"/>
        <item h="1" x="34"/>
        <item h="1" x="35"/>
        <item h="1" x="36"/>
        <item h="1" x="48"/>
        <item h="1" x="2"/>
        <item h="1" x="47"/>
        <item h="1" x="45"/>
        <item h="1" x="7"/>
        <item h="1" x="8"/>
        <item h="1" x="0"/>
        <item h="1" x="13"/>
        <item h="1" x="18"/>
        <item h="1" x="37"/>
        <item h="1" x="17"/>
        <item h="1" x="38"/>
        <item h="1" x="50"/>
        <item h="1" x="56"/>
        <item h="1" x="58"/>
        <item h="1" x="59"/>
        <item h="1" x="61"/>
        <item h="1" x="62"/>
        <item h="1" x="42"/>
        <item h="1" x="43"/>
        <item h="1" x="52"/>
        <item h="1" x="54"/>
        <item h="1" x="60"/>
        <item h="1" x="49"/>
        <item h="1" x="53"/>
      </items>
    </pivotField>
    <pivotField showAll="0" defaultSubtotal="0"/>
    <pivotField numFmtId="173" showAll="0" defaultSubtotal="0"/>
    <pivotField numFmtId="173" showAll="0" defaultSubtotal="0"/>
    <pivotField numFmtId="173" showAll="0" defaultSubtotal="0"/>
    <pivotField dataField="1" showAll="0" defaultSubtotal="0"/>
    <pivotField dataField="1" numFmtId="166" showAll="0" defaultSubtotal="0"/>
    <pivotField dataField="1" numFmtId="166" showAll="0" defaultSubtotal="0"/>
    <pivotField dataField="1" numFmtId="166" showAll="0" defaultSubtotal="0"/>
    <pivotField dataField="1" numFmtId="166" showAll="0" defaultSubtotal="0"/>
    <pivotField dataField="1" numFmtId="166" showAll="0" defaultSubtotal="0"/>
    <pivotField dataField="1" numFmtId="166" showAll="0" defaultSubtotal="0"/>
    <pivotField dataField="1" numFmtId="166" showAll="0" defaultSubtotal="0"/>
    <pivotField dataField="1" numFmtId="166" showAll="0" defaultSubtotal="0"/>
    <pivotField dataField="1" numFmtId="166" showAll="0" defaultSubtotal="0"/>
    <pivotField dataField="1" showAll="0" defaultSubtotal="0"/>
    <pivotField dataField="1" showAll="0" defaultSubtotal="0"/>
    <pivotField dataField="1" showAll="0" defaultSubtotal="0"/>
  </pivotFields>
  <rowFields count="1">
    <field x="-2"/>
  </rowFields>
  <rowItems count="13">
    <i>
      <x/>
    </i>
    <i i="1">
      <x v="1"/>
    </i>
    <i i="2">
      <x v="2"/>
    </i>
    <i i="3">
      <x v="3"/>
    </i>
    <i i="4">
      <x v="4"/>
    </i>
    <i i="5">
      <x v="5"/>
    </i>
    <i i="6">
      <x v="6"/>
    </i>
    <i i="7">
      <x v="7"/>
    </i>
    <i i="8">
      <x v="8"/>
    </i>
    <i i="9">
      <x v="9"/>
    </i>
    <i i="10">
      <x v="10"/>
    </i>
    <i i="11">
      <x v="11"/>
    </i>
    <i i="12">
      <x v="12"/>
    </i>
  </rowItems>
  <colFields count="1">
    <field x="0"/>
  </colFields>
  <colItems count="1">
    <i>
      <x v="20"/>
    </i>
  </colItems>
  <dataFields count="13">
    <dataField name="Jahr+2" fld="5" baseField="0" baseItem="8" numFmtId="10"/>
    <dataField name="Jahr+1" fld="6" baseField="0" baseItem="8" numFmtId="10"/>
    <dataField name="Jahr+0" fld="7" baseField="0" baseItem="8" numFmtId="10"/>
    <dataField name="Jahr-1" fld="8" baseField="0" baseItem="8" numFmtId="10"/>
    <dataField name="Jahr-2" fld="9" baseField="0" baseItem="8" numFmtId="10"/>
    <dataField name="Jahr-3" fld="10" baseField="0" baseItem="8" numFmtId="10"/>
    <dataField name="Jahr-4" fld="11" baseField="0" baseItem="8" numFmtId="10"/>
    <dataField name="Jahr-5" fld="12" baseField="0" baseItem="8" numFmtId="10"/>
    <dataField name="Jahr-6" fld="13" baseField="0" baseItem="8" numFmtId="10"/>
    <dataField name="Jahr-7" fld="14" baseField="0" baseItem="8" numFmtId="10"/>
    <dataField name="Jahr-8" fld="15" baseField="0" baseItem="8" numFmtId="10"/>
    <dataField name="Jahr-9" fld="16" baseField="0" baseItem="8" numFmtId="10"/>
    <dataField name="Jahr-10" fld="17" baseField="0" baseItem="8" numFmtId="1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6" cacheId="220" dataOnRows="1" applyNumberFormats="0" applyBorderFormats="0" applyFontFormats="0" applyPatternFormats="0" applyAlignmentFormats="0" applyWidthHeightFormats="1" dataCaption="Werte" updatedVersion="4" minRefreshableVersion="3" useAutoFormatting="1" rowGrandTotals="0" colGrandTotals="0" itemPrintTitles="1" createdVersion="4" indent="0" outline="1" outlineData="1" multipleFieldFilters="0" chartFormat="1">
  <location ref="D18:E33" firstHeaderRow="1" firstDataRow="2" firstDataCol="1"/>
  <pivotFields count="19">
    <pivotField axis="axisCol" showAll="0" defaultSubtotal="0">
      <items count="63">
        <item h="1" x="9"/>
        <item h="1" x="51"/>
        <item h="1" x="39"/>
        <item h="1" x="19"/>
        <item h="1" x="11"/>
        <item h="1" x="12"/>
        <item h="1" x="4"/>
        <item h="1" x="20"/>
        <item h="1" x="15"/>
        <item h="1" x="21"/>
        <item h="1" x="22"/>
        <item h="1" x="14"/>
        <item h="1" x="5"/>
        <item h="1" x="6"/>
        <item h="1" x="46"/>
        <item h="1" x="23"/>
        <item h="1" x="55"/>
        <item h="1" x="41"/>
        <item h="1" x="24"/>
        <item h="1" x="16"/>
        <item x="25"/>
        <item h="1" x="57"/>
        <item h="1" x="26"/>
        <item h="1" x="40"/>
        <item h="1" x="44"/>
        <item h="1" x="27"/>
        <item h="1" x="28"/>
        <item h="1" x="29"/>
        <item h="1" x="30"/>
        <item h="1" x="31"/>
        <item h="1" x="10"/>
        <item h="1" x="3"/>
        <item h="1" x="1"/>
        <item h="1" x="32"/>
        <item h="1" x="33"/>
        <item h="1" x="34"/>
        <item h="1" x="35"/>
        <item h="1" x="36"/>
        <item h="1" x="48"/>
        <item h="1" x="2"/>
        <item h="1" x="47"/>
        <item h="1" x="45"/>
        <item h="1" x="7"/>
        <item h="1" x="8"/>
        <item h="1" x="0"/>
        <item h="1" x="13"/>
        <item h="1" x="18"/>
        <item h="1" x="37"/>
        <item h="1" x="17"/>
        <item h="1" x="38"/>
        <item h="1" x="50"/>
        <item h="1" x="56"/>
        <item h="1" x="58"/>
        <item h="1" x="59"/>
        <item h="1" x="61"/>
        <item h="1" x="62"/>
        <item h="1" x="42"/>
        <item h="1" x="43"/>
        <item h="1" x="52"/>
        <item h="1" x="54"/>
        <item h="1" x="60"/>
        <item h="1" x="49"/>
        <item h="1" x="53"/>
      </items>
    </pivotField>
    <pivotField showAll="0" defaultSubtotal="0"/>
    <pivotField numFmtId="173" showAll="0" defaultSubtotal="0"/>
    <pivotField numFmtId="173" showAll="0" defaultSubtotal="0"/>
    <pivotField numFmtId="173" showAll="0" defaultSubtotal="0"/>
    <pivotField dataField="1"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showAll="0" defaultSubtotal="0"/>
    <pivotField dataField="1" showAll="0" defaultSubtotal="0"/>
    <pivotField dataField="1" showAll="0" defaultSubtotal="0"/>
    <pivotField dataField="1" showAll="0" defaultSubtotal="0"/>
  </pivotFields>
  <rowFields count="1">
    <field x="-2"/>
  </rowFields>
  <rowItems count="14">
    <i>
      <x/>
    </i>
    <i i="1">
      <x v="1"/>
    </i>
    <i i="2">
      <x v="2"/>
    </i>
    <i i="3">
      <x v="3"/>
    </i>
    <i i="4">
      <x v="4"/>
    </i>
    <i i="5">
      <x v="5"/>
    </i>
    <i i="6">
      <x v="6"/>
    </i>
    <i i="7">
      <x v="7"/>
    </i>
    <i i="8">
      <x v="8"/>
    </i>
    <i i="9">
      <x v="9"/>
    </i>
    <i i="10">
      <x v="10"/>
    </i>
    <i i="11">
      <x v="11"/>
    </i>
    <i i="12">
      <x v="12"/>
    </i>
    <i i="13">
      <x v="13"/>
    </i>
  </rowItems>
  <colFields count="1">
    <field x="0"/>
  </colFields>
  <colItems count="1">
    <i>
      <x v="20"/>
    </i>
  </colItems>
  <dataFields count="14">
    <dataField name="Jahr+2" fld="5" baseField="0" baseItem="8" numFmtId="164"/>
    <dataField name="Jahr+1" fld="6" baseField="0" baseItem="8" numFmtId="164"/>
    <dataField name="Jahr+0" fld="7" baseField="0" baseItem="8" numFmtId="164"/>
    <dataField name="Jahr-1" fld="8" baseField="0" baseItem="8" numFmtId="164"/>
    <dataField name="Jahr-2" fld="9" baseField="0" baseItem="8" numFmtId="164"/>
    <dataField name="Jahr-3" fld="10" baseField="0" baseItem="8" numFmtId="164"/>
    <dataField name="Jahr-4" fld="11" baseField="0" baseItem="8" numFmtId="164"/>
    <dataField name="Jahr-5" fld="12" baseField="0" baseItem="8" numFmtId="164"/>
    <dataField name="Jahr-6" fld="13" baseField="0" baseItem="8" numFmtId="164"/>
    <dataField name="Jahr-7" fld="14" baseField="0" baseItem="8" numFmtId="164"/>
    <dataField name="Jahr-8" fld="15" baseField="0" baseItem="8" numFmtId="164"/>
    <dataField name="Jahr-9" fld="16" baseField="0" baseItem="8" numFmtId="164"/>
    <dataField name="Jahr-10" fld="17" baseField="0" baseItem="8" numFmtId="164"/>
    <dataField name="Jahr-11" fld="18" baseField="0" baseItem="8" numFmtId="164"/>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5" cacheId="219" dataOnRows="1" applyNumberFormats="0" applyBorderFormats="0" applyFontFormats="0" applyPatternFormats="0" applyAlignmentFormats="0" applyWidthHeightFormats="1" dataCaption="Werte" updatedVersion="4" minRefreshableVersion="3" useAutoFormatting="1" rowGrandTotals="0" colGrandTotals="0" itemPrintTitles="1" createdVersion="4" indent="0" outline="1" outlineData="1" multipleFieldFilters="0" chartFormat="1">
  <location ref="D2:E14" firstHeaderRow="1" firstDataRow="2" firstDataCol="1"/>
  <pivotFields count="13">
    <pivotField axis="axisCol" showAll="0" defaultSubtotal="0">
      <items count="63">
        <item h="1" x="9"/>
        <item h="1" x="51"/>
        <item h="1" x="39"/>
        <item h="1" x="19"/>
        <item h="1" x="11"/>
        <item h="1" x="12"/>
        <item h="1" x="4"/>
        <item h="1" x="20"/>
        <item h="1" x="15"/>
        <item h="1" x="21"/>
        <item h="1" x="22"/>
        <item h="1" x="14"/>
        <item h="1" x="5"/>
        <item h="1" x="6"/>
        <item h="1" x="46"/>
        <item h="1" x="23"/>
        <item h="1" x="55"/>
        <item h="1" x="41"/>
        <item h="1" x="24"/>
        <item h="1" x="16"/>
        <item x="25"/>
        <item h="1" x="57"/>
        <item h="1" x="26"/>
        <item h="1" x="40"/>
        <item h="1" x="44"/>
        <item h="1" x="27"/>
        <item h="1" x="28"/>
        <item h="1" x="29"/>
        <item h="1" x="30"/>
        <item h="1" x="31"/>
        <item h="1" x="10"/>
        <item h="1" x="3"/>
        <item h="1" x="1"/>
        <item h="1" x="32"/>
        <item h="1" x="33"/>
        <item h="1" x="34"/>
        <item h="1" x="35"/>
        <item h="1" x="36"/>
        <item h="1" x="48"/>
        <item h="1" x="2"/>
        <item h="1" x="47"/>
        <item h="1" x="45"/>
        <item h="1" x="7"/>
        <item h="1" x="8"/>
        <item h="1" x="0"/>
        <item h="1" x="13"/>
        <item h="1" x="18"/>
        <item h="1" x="37"/>
        <item h="1" x="17"/>
        <item h="1" x="38"/>
        <item h="1" x="50"/>
        <item h="1" x="56"/>
        <item h="1" x="58"/>
        <item h="1" x="59"/>
        <item h="1" x="61"/>
        <item h="1" x="62"/>
        <item h="1" x="42"/>
        <item h="1" x="43"/>
        <item h="1" x="52"/>
        <item h="1" x="54"/>
        <item h="1" x="60"/>
        <item h="1" x="49"/>
        <item h="1" x="53"/>
      </items>
    </pivotField>
    <pivotField showAll="0" defaultSubtotal="0"/>
    <pivotField dataField="1" showAll="0" defaultSubtotal="0"/>
    <pivotField dataField="1" numFmtId="164" showAll="0" defaultSubtotal="0"/>
    <pivotField dataField="1" numFmtId="164" showAll="0" defaultSubtotal="0"/>
    <pivotField dataField="1" numFmtId="164"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1">
    <field x="-2"/>
  </rowFields>
  <rowItems count="11">
    <i>
      <x/>
    </i>
    <i i="1">
      <x v="1"/>
    </i>
    <i i="2">
      <x v="2"/>
    </i>
    <i i="3">
      <x v="3"/>
    </i>
    <i i="4">
      <x v="4"/>
    </i>
    <i i="5">
      <x v="5"/>
    </i>
    <i i="6">
      <x v="6"/>
    </i>
    <i i="7">
      <x v="7"/>
    </i>
    <i i="8">
      <x v="8"/>
    </i>
    <i i="9">
      <x v="9"/>
    </i>
    <i i="10">
      <x v="10"/>
    </i>
  </rowItems>
  <colFields count="1">
    <field x="0"/>
  </colFields>
  <colItems count="1">
    <i>
      <x v="20"/>
    </i>
  </colItems>
  <dataFields count="11">
    <dataField name="Jahr-0" fld="2" baseField="0" baseItem="8" numFmtId="164"/>
    <dataField name="Jahr-1" fld="3" baseField="0" baseItem="8" numFmtId="164"/>
    <dataField name="Jahr-2" fld="4" baseField="0" baseItem="8" numFmtId="164"/>
    <dataField name="Jahr-3" fld="5" baseField="0" baseItem="8" numFmtId="164"/>
    <dataField name="Jahr-4" fld="6" baseField="0" baseItem="8" numFmtId="164"/>
    <dataField name="Jahr-5" fld="7" baseField="0" baseItem="8" numFmtId="164"/>
    <dataField name="Jahr-6" fld="8" baseField="0" baseItem="8" numFmtId="164"/>
    <dataField name="Jahr-7" fld="9" baseField="0" baseItem="8" numFmtId="164"/>
    <dataField name="Jahr-8" fld="10" baseField="0" baseItem="8" numFmtId="164"/>
    <dataField name="Jahr-9" fld="11" baseField="0" baseItem="8" numFmtId="164"/>
    <dataField name="Jahr-10" fld="12" baseField="0" baseItem="8" numFmtId="164"/>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4" cacheId="218" dataOnRows="1" applyNumberFormats="0" applyBorderFormats="0" applyFontFormats="0" applyPatternFormats="0" applyAlignmentFormats="0" applyWidthHeightFormats="1" dataCaption="Werte" updatedVersion="4" minRefreshableVersion="3" useAutoFormatting="1" rowGrandTotals="0" colGrandTotals="0" itemPrintTitles="1" createdVersion="4" indent="0" outline="1" outlineData="1" multipleFieldFilters="0" chartFormat="1">
  <location ref="A36:B50" firstHeaderRow="1" firstDataRow="2" firstDataCol="1"/>
  <pivotFields count="18">
    <pivotField axis="axisCol" showAll="0" defaultSubtotal="0">
      <items count="63">
        <item h="1" x="9"/>
        <item h="1" x="51"/>
        <item h="1" x="39"/>
        <item h="1" x="19"/>
        <item h="1" x="11"/>
        <item h="1" x="12"/>
        <item h="1" x="4"/>
        <item h="1" x="20"/>
        <item h="1" x="15"/>
        <item h="1" x="21"/>
        <item h="1" x="22"/>
        <item h="1" x="14"/>
        <item h="1" x="5"/>
        <item h="1" x="6"/>
        <item h="1" x="46"/>
        <item h="1" x="23"/>
        <item h="1" x="55"/>
        <item h="1" x="41"/>
        <item h="1" x="24"/>
        <item h="1" x="16"/>
        <item x="25"/>
        <item h="1" x="57"/>
        <item h="1" x="26"/>
        <item h="1" x="40"/>
        <item h="1" x="44"/>
        <item h="1" x="27"/>
        <item h="1" x="28"/>
        <item h="1" x="29"/>
        <item h="1" x="30"/>
        <item h="1" x="31"/>
        <item h="1" x="10"/>
        <item h="1" x="3"/>
        <item h="1" x="1"/>
        <item h="1" x="32"/>
        <item h="1" x="33"/>
        <item h="1" x="34"/>
        <item h="1" x="35"/>
        <item h="1" x="36"/>
        <item h="1" x="48"/>
        <item h="1" x="2"/>
        <item h="1" x="47"/>
        <item h="1" x="45"/>
        <item h="1" x="7"/>
        <item h="1" x="8"/>
        <item h="1" x="0"/>
        <item h="1" x="13"/>
        <item h="1" x="18"/>
        <item h="1" x="37"/>
        <item h="1" x="17"/>
        <item h="1" x="38"/>
        <item h="1" x="50"/>
        <item h="1" x="56"/>
        <item h="1" x="58"/>
        <item h="1" x="59"/>
        <item h="1" x="61"/>
        <item h="1" x="62"/>
        <item h="1" x="42"/>
        <item h="1" x="43"/>
        <item h="1" x="52"/>
        <item h="1" x="54"/>
        <item h="1" x="60"/>
        <item h="1" x="49"/>
        <item h="1" x="53"/>
      </items>
    </pivotField>
    <pivotField showAll="0" defaultSubtotal="0"/>
    <pivotField numFmtId="173" showAll="0" defaultSubtotal="0"/>
    <pivotField numFmtId="173" showAll="0" defaultSubtotal="0"/>
    <pivotField numFmtId="173" showAll="0" defaultSubtotal="0"/>
    <pivotField dataField="1"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showAll="0" defaultSubtotal="0"/>
    <pivotField dataField="1" showAll="0" defaultSubtotal="0"/>
    <pivotField dataField="1" showAll="0" defaultSubtotal="0"/>
    <pivotField dataField="1" showAll="0" defaultSubtotal="0"/>
    <pivotField dataField="1" showAll="0" defaultSubtotal="0"/>
  </pivotFields>
  <rowFields count="1">
    <field x="-2"/>
  </rowFields>
  <rowItems count="13">
    <i>
      <x/>
    </i>
    <i i="1">
      <x v="1"/>
    </i>
    <i i="2">
      <x v="2"/>
    </i>
    <i i="3">
      <x v="3"/>
    </i>
    <i i="4">
      <x v="4"/>
    </i>
    <i i="5">
      <x v="5"/>
    </i>
    <i i="6">
      <x v="6"/>
    </i>
    <i i="7">
      <x v="7"/>
    </i>
    <i i="8">
      <x v="8"/>
    </i>
    <i i="9">
      <x v="9"/>
    </i>
    <i i="10">
      <x v="10"/>
    </i>
    <i i="11">
      <x v="11"/>
    </i>
    <i i="12">
      <x v="12"/>
    </i>
  </rowItems>
  <colFields count="1">
    <field x="0"/>
  </colFields>
  <colItems count="1">
    <i>
      <x v="20"/>
    </i>
  </colItems>
  <dataFields count="13">
    <dataField name="Jahr+2" fld="5" baseField="0" baseItem="8" numFmtId="164"/>
    <dataField name="Jahr+1" fld="6" baseField="0" baseItem="8" numFmtId="164"/>
    <dataField name="Jahr+0" fld="7" baseField="0" baseItem="8" numFmtId="164"/>
    <dataField name="Jahr-1" fld="8" baseField="0" baseItem="8" numFmtId="164"/>
    <dataField name="Jahr-2" fld="9" baseField="0" baseItem="8" numFmtId="164"/>
    <dataField name="Jahr-3" fld="10" baseField="0" baseItem="8" numFmtId="164"/>
    <dataField name="Jahr-4" fld="11" baseField="0" baseItem="8" numFmtId="164"/>
    <dataField name="Jahr-5" fld="12" baseField="0" baseItem="8" numFmtId="164"/>
    <dataField name="Jahr-6" fld="13" baseField="0" baseItem="8" numFmtId="164"/>
    <dataField name="Jahr-7" fld="14" baseField="0" baseItem="8" numFmtId="164"/>
    <dataField name="Jahr-8" fld="15" baseField="0" baseItem="8" numFmtId="164"/>
    <dataField name="Jahr-9" fld="16" baseField="0" baseItem="8" numFmtId="164"/>
    <dataField name="Jahr-10" fld="17" baseField="0" baseItem="8" numFmtId="164"/>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3" cacheId="217" dataOnRows="1" applyNumberFormats="0" applyBorderFormats="0" applyFontFormats="0" applyPatternFormats="0" applyAlignmentFormats="0" applyWidthHeightFormats="1" dataCaption="Werte" updatedVersion="4" minRefreshableVersion="3" useAutoFormatting="1" rowGrandTotals="0" colGrandTotals="0" itemPrintTitles="1" createdVersion="4" indent="0" outline="1" outlineData="1" multipleFieldFilters="0" chartFormat="1">
  <location ref="A19:B33" firstHeaderRow="1" firstDataRow="2" firstDataCol="1"/>
  <pivotFields count="18">
    <pivotField axis="axisCol" showAll="0" defaultSubtotal="0">
      <items count="63">
        <item h="1" x="9"/>
        <item h="1" x="51"/>
        <item h="1" x="39"/>
        <item h="1" x="19"/>
        <item h="1" x="11"/>
        <item h="1" x="12"/>
        <item h="1" x="4"/>
        <item h="1" x="20"/>
        <item h="1" x="15"/>
        <item h="1" x="21"/>
        <item h="1" x="22"/>
        <item h="1" x="14"/>
        <item h="1" x="5"/>
        <item h="1" x="6"/>
        <item h="1" x="46"/>
        <item h="1" x="23"/>
        <item h="1" x="55"/>
        <item h="1" x="41"/>
        <item h="1" x="24"/>
        <item h="1" x="16"/>
        <item x="25"/>
        <item h="1" x="57"/>
        <item h="1" x="26"/>
        <item h="1" x="40"/>
        <item h="1" x="44"/>
        <item h="1" x="27"/>
        <item h="1" x="28"/>
        <item h="1" x="29"/>
        <item h="1" x="30"/>
        <item h="1" x="31"/>
        <item h="1" x="10"/>
        <item h="1" x="3"/>
        <item h="1" x="1"/>
        <item h="1" x="32"/>
        <item h="1" x="33"/>
        <item h="1" x="34"/>
        <item h="1" x="35"/>
        <item h="1" x="36"/>
        <item h="1" x="48"/>
        <item h="1" x="2"/>
        <item h="1" x="47"/>
        <item h="1" x="45"/>
        <item h="1" x="7"/>
        <item h="1" x="8"/>
        <item h="1" x="0"/>
        <item h="1" x="13"/>
        <item h="1" x="18"/>
        <item h="1" x="37"/>
        <item h="1" x="17"/>
        <item h="1" x="38"/>
        <item h="1" x="50"/>
        <item h="1" x="56"/>
        <item h="1" x="58"/>
        <item h="1" x="59"/>
        <item h="1" x="61"/>
        <item h="1" x="62"/>
        <item h="1" x="42"/>
        <item h="1" x="43"/>
        <item h="1" x="52"/>
        <item h="1" x="54"/>
        <item h="1" x="60"/>
        <item h="1" x="49"/>
        <item h="1" x="53"/>
      </items>
    </pivotField>
    <pivotField showAll="0" defaultSubtotal="0"/>
    <pivotField numFmtId="173" showAll="0" defaultSubtotal="0"/>
    <pivotField numFmtId="173" showAll="0" defaultSubtotal="0"/>
    <pivotField numFmtId="173" showAll="0" defaultSubtotal="0"/>
    <pivotField dataField="1"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numFmtId="167" showAll="0" defaultSubtotal="0"/>
    <pivotField dataField="1" showAll="0" defaultSubtotal="0"/>
    <pivotField dataField="1" showAll="0" defaultSubtotal="0"/>
    <pivotField dataField="1" showAll="0" defaultSubtotal="0"/>
  </pivotFields>
  <rowFields count="1">
    <field x="-2"/>
  </rowFields>
  <rowItems count="13">
    <i>
      <x/>
    </i>
    <i i="1">
      <x v="1"/>
    </i>
    <i i="2">
      <x v="2"/>
    </i>
    <i i="3">
      <x v="3"/>
    </i>
    <i i="4">
      <x v="4"/>
    </i>
    <i i="5">
      <x v="5"/>
    </i>
    <i i="6">
      <x v="6"/>
    </i>
    <i i="7">
      <x v="7"/>
    </i>
    <i i="8">
      <x v="8"/>
    </i>
    <i i="9">
      <x v="9"/>
    </i>
    <i i="10">
      <x v="10"/>
    </i>
    <i i="11">
      <x v="11"/>
    </i>
    <i i="12">
      <x v="12"/>
    </i>
  </rowItems>
  <colFields count="1">
    <field x="0"/>
  </colFields>
  <colItems count="1">
    <i>
      <x v="20"/>
    </i>
  </colItems>
  <dataFields count="13">
    <dataField name="Jahr+2" fld="5" baseField="0" baseItem="8" numFmtId="164"/>
    <dataField name="Jahr+1" fld="6" baseField="0" baseItem="8" numFmtId="164"/>
    <dataField name="Jahr+0" fld="7" baseField="0" baseItem="8" numFmtId="164"/>
    <dataField name="Jahr-1" fld="8" baseField="0" baseItem="8" numFmtId="164"/>
    <dataField name="Jahr-2" fld="9" baseField="0" baseItem="8" numFmtId="164"/>
    <dataField name="Jahr-3" fld="10" baseField="0" baseItem="8" numFmtId="164"/>
    <dataField name="Jahr-4" fld="11" baseField="0" baseItem="8" numFmtId="164"/>
    <dataField name="Jahr-5" fld="12" baseField="0" baseItem="8" numFmtId="164"/>
    <dataField name="Jahr-6" fld="13" baseField="0" baseItem="8" numFmtId="164"/>
    <dataField name="Jahr-7" fld="14" baseField="0" baseItem="8" numFmtId="164"/>
    <dataField name="Jahr-8" fld="15" baseField="0" baseItem="8" numFmtId="164"/>
    <dataField name="Jahr-9" fld="16" baseField="0" baseItem="8" numFmtId="164"/>
    <dataField name="Jahr-10" fld="17" baseField="0" baseItem="8" numFmtId="164"/>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2" cacheId="216" dataOnRows="1" dataPosition="0" applyNumberFormats="0" applyBorderFormats="0" applyFontFormats="0" applyPatternFormats="0" applyAlignmentFormats="0" applyWidthHeightFormats="1" dataCaption="Werte" updatedVersion="4" minRefreshableVersion="3" useAutoFormatting="1" rowGrandTotals="0" colGrandTotals="0" itemPrintTitles="1" createdVersion="4" indent="0" outline="1" outlineData="1" multipleFieldFilters="0" chartFormat="1">
  <location ref="A2:B16" firstHeaderRow="1" firstDataRow="2" firstDataCol="1"/>
  <pivotFields count="18">
    <pivotField axis="axisCol" showAll="0" defaultSubtotal="0">
      <items count="63">
        <item h="1" x="9"/>
        <item h="1" x="51"/>
        <item h="1" x="39"/>
        <item h="1" x="19"/>
        <item h="1" x="11"/>
        <item h="1" x="12"/>
        <item h="1" x="4"/>
        <item h="1" x="20"/>
        <item h="1" x="15"/>
        <item h="1" x="21"/>
        <item h="1" x="22"/>
        <item h="1" x="14"/>
        <item h="1" x="5"/>
        <item h="1" x="6"/>
        <item h="1" x="46"/>
        <item h="1" x="23"/>
        <item h="1" x="55"/>
        <item h="1" x="41"/>
        <item h="1" x="24"/>
        <item h="1" x="16"/>
        <item x="25"/>
        <item h="1" x="57"/>
        <item h="1" x="26"/>
        <item h="1" x="40"/>
        <item h="1" x="44"/>
        <item h="1" x="27"/>
        <item h="1" x="28"/>
        <item h="1" x="29"/>
        <item h="1" x="30"/>
        <item h="1" x="31"/>
        <item h="1" x="10"/>
        <item h="1" x="3"/>
        <item h="1" x="1"/>
        <item h="1" x="32"/>
        <item h="1" x="33"/>
        <item h="1" x="34"/>
        <item h="1" x="35"/>
        <item h="1" x="36"/>
        <item h="1" x="48"/>
        <item h="1" x="2"/>
        <item h="1" x="47"/>
        <item h="1" x="45"/>
        <item h="1" x="7"/>
        <item h="1" x="8"/>
        <item h="1" x="0"/>
        <item h="1" x="13"/>
        <item h="1" x="18"/>
        <item h="1" x="37"/>
        <item h="1" x="17"/>
        <item h="1" x="38"/>
        <item h="1" x="50"/>
        <item h="1" x="56"/>
        <item h="1" x="58"/>
        <item h="1" x="59"/>
        <item h="1" x="61"/>
        <item h="1" x="62"/>
        <item h="1" x="42"/>
        <item h="1" x="43"/>
        <item h="1" x="52"/>
        <item h="1" x="54"/>
        <item h="1" x="60"/>
        <item h="1" x="49"/>
        <item h="1" x="53"/>
      </items>
    </pivotField>
    <pivotField showAll="0" defaultSubtotal="0"/>
    <pivotField dataField="1" showAll="0" defaultSubtotal="0"/>
    <pivotField dataField="1" numFmtId="164" showAll="0" defaultSubtotal="0"/>
    <pivotField dataField="1" numFmtId="164" showAll="0" defaultSubtotal="0"/>
    <pivotField dataField="1" numFmtId="164" showAll="0" defaultSubtotal="0"/>
    <pivotField dataField="1" numFmtId="164"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numFmtId="164" showAll="0" defaultSubtotal="0"/>
    <pivotField numFmtId="164" showAll="0" defaultSubtotal="0"/>
    <pivotField numFmtId="166" showAll="0" defaultSubtotal="0"/>
  </pivotFields>
  <rowFields count="1">
    <field x="-2"/>
  </rowFields>
  <rowItems count="13">
    <i>
      <x/>
    </i>
    <i i="1">
      <x v="1"/>
    </i>
    <i i="2">
      <x v="2"/>
    </i>
    <i i="3">
      <x v="3"/>
    </i>
    <i i="4">
      <x v="4"/>
    </i>
    <i i="5">
      <x v="5"/>
    </i>
    <i i="6">
      <x v="6"/>
    </i>
    <i i="7">
      <x v="7"/>
    </i>
    <i i="8">
      <x v="8"/>
    </i>
    <i i="9">
      <x v="9"/>
    </i>
    <i i="10">
      <x v="10"/>
    </i>
    <i i="11">
      <x v="11"/>
    </i>
    <i i="12">
      <x v="12"/>
    </i>
  </rowItems>
  <colFields count="1">
    <field x="0"/>
  </colFields>
  <colItems count="1">
    <i>
      <x v="20"/>
    </i>
  </colItems>
  <dataFields count="13">
    <dataField name="Jahr+2" fld="2" baseField="0" baseItem="8" numFmtId="164"/>
    <dataField name="Jahr+1" fld="3" baseField="0" baseItem="8" numFmtId="164"/>
    <dataField name="Jahr+0" fld="4" baseField="0" baseItem="8" numFmtId="164"/>
    <dataField name="Jahr-1" fld="5" baseField="0" baseItem="8" numFmtId="164"/>
    <dataField name="Jahr-2" fld="6" baseField="0" baseItem="8" numFmtId="164"/>
    <dataField name="Jahr-3" fld="7" baseField="0" baseItem="8" numFmtId="164"/>
    <dataField name="Jahr-4" fld="8" baseField="0" baseItem="8" numFmtId="164"/>
    <dataField name="Jahr-5" fld="9" baseField="0" baseItem="8" numFmtId="164"/>
    <dataField name="Jahr-6" fld="10" baseField="0" baseItem="8" numFmtId="164"/>
    <dataField name="Jahr-7" fld="11" baseField="0" baseItem="8" numFmtId="164"/>
    <dataField name="Jahr-8" fld="12" baseField="0" baseItem="8" numFmtId="164"/>
    <dataField name="Jahr-9" fld="13" baseField="0" baseItem="8" numFmtId="164"/>
    <dataField name="Jahr-10" fld="14" baseField="0" baseItem="8" numFmtId="164"/>
  </dataFields>
  <chartFormats count="63">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1">
          <reference field="4294967294" count="1" selected="0">
            <x v="4"/>
          </reference>
        </references>
      </pivotArea>
    </chartFormat>
    <chartFormat chart="0" format="5" series="1">
      <pivotArea type="data" outline="0" fieldPosition="0">
        <references count="1">
          <reference field="4294967294" count="1" selected="0">
            <x v="5"/>
          </reference>
        </references>
      </pivotArea>
    </chartFormat>
    <chartFormat chart="0" format="6" series="1">
      <pivotArea type="data" outline="0" fieldPosition="0">
        <references count="1">
          <reference field="4294967294" count="1" selected="0">
            <x v="6"/>
          </reference>
        </references>
      </pivotArea>
    </chartFormat>
    <chartFormat chart="0" format="7" series="1">
      <pivotArea type="data" outline="0" fieldPosition="0">
        <references count="1">
          <reference field="4294967294" count="1" selected="0">
            <x v="7"/>
          </reference>
        </references>
      </pivotArea>
    </chartFormat>
    <chartFormat chart="0" format="8" series="1">
      <pivotArea type="data" outline="0" fieldPosition="0">
        <references count="1">
          <reference field="4294967294" count="1" selected="0">
            <x v="8"/>
          </reference>
        </references>
      </pivotArea>
    </chartFormat>
    <chartFormat chart="0" format="9" series="1">
      <pivotArea type="data" outline="0" fieldPosition="0">
        <references count="1">
          <reference field="4294967294" count="1" selected="0">
            <x v="9"/>
          </reference>
        </references>
      </pivotArea>
    </chartFormat>
    <chartFormat chart="0" format="10" series="1">
      <pivotArea type="data" outline="0" fieldPosition="0">
        <references count="1">
          <reference field="4294967294" count="1" selected="0">
            <x v="10"/>
          </reference>
        </references>
      </pivotArea>
    </chartFormat>
    <chartFormat chart="0" format="11" series="1">
      <pivotArea type="data" outline="0" fieldPosition="0">
        <references count="1">
          <reference field="4294967294" count="1" selected="0">
            <x v="11"/>
          </reference>
        </references>
      </pivotArea>
    </chartFormat>
    <chartFormat chart="0" format="12" series="1">
      <pivotArea type="data" outline="0" fieldPosition="0">
        <references count="1">
          <reference field="4294967294" count="1" selected="0">
            <x v="12"/>
          </reference>
        </references>
      </pivotArea>
    </chartFormat>
    <chartFormat chart="0" format="13" series="1">
      <pivotArea type="data" outline="0" fieldPosition="0">
        <references count="2">
          <reference field="4294967294" count="1" selected="0">
            <x v="0"/>
          </reference>
          <reference field="0" count="1" selected="0">
            <x v="0"/>
          </reference>
        </references>
      </pivotArea>
    </chartFormat>
    <chartFormat chart="0" format="14" series="1">
      <pivotArea type="data" outline="0" fieldPosition="0">
        <references count="2">
          <reference field="4294967294" count="1" selected="0">
            <x v="0"/>
          </reference>
          <reference field="0" count="1" selected="0">
            <x v="1"/>
          </reference>
        </references>
      </pivotArea>
    </chartFormat>
    <chartFormat chart="0" format="15" series="1">
      <pivotArea type="data" outline="0" fieldPosition="0">
        <references count="2">
          <reference field="4294967294" count="1" selected="0">
            <x v="0"/>
          </reference>
          <reference field="0" count="1" selected="0">
            <x v="2"/>
          </reference>
        </references>
      </pivotArea>
    </chartFormat>
    <chartFormat chart="0" format="16" series="1">
      <pivotArea type="data" outline="0" fieldPosition="0">
        <references count="2">
          <reference field="4294967294" count="1" selected="0">
            <x v="0"/>
          </reference>
          <reference field="0" count="1" selected="0">
            <x v="3"/>
          </reference>
        </references>
      </pivotArea>
    </chartFormat>
    <chartFormat chart="0" format="18" series="1">
      <pivotArea type="data" outline="0" fieldPosition="0">
        <references count="2">
          <reference field="4294967294" count="1" selected="0">
            <x v="0"/>
          </reference>
          <reference field="0" count="1" selected="0">
            <x v="4"/>
          </reference>
        </references>
      </pivotArea>
    </chartFormat>
    <chartFormat chart="0" format="19" series="1">
      <pivotArea type="data" outline="0" fieldPosition="0">
        <references count="2">
          <reference field="4294967294" count="1" selected="0">
            <x v="0"/>
          </reference>
          <reference field="0" count="1" selected="0">
            <x v="5"/>
          </reference>
        </references>
      </pivotArea>
    </chartFormat>
    <chartFormat chart="0" format="20" series="1">
      <pivotArea type="data" outline="0" fieldPosition="0">
        <references count="2">
          <reference field="4294967294" count="1" selected="0">
            <x v="0"/>
          </reference>
          <reference field="0" count="1" selected="0">
            <x v="6"/>
          </reference>
        </references>
      </pivotArea>
    </chartFormat>
    <chartFormat chart="0" format="22" series="1">
      <pivotArea type="data" outline="0" fieldPosition="0">
        <references count="2">
          <reference field="4294967294" count="1" selected="0">
            <x v="0"/>
          </reference>
          <reference field="0" count="1" selected="0">
            <x v="7"/>
          </reference>
        </references>
      </pivotArea>
    </chartFormat>
    <chartFormat chart="0" format="24" series="1">
      <pivotArea type="data" outline="0" fieldPosition="0">
        <references count="2">
          <reference field="4294967294" count="1" selected="0">
            <x v="0"/>
          </reference>
          <reference field="0" count="1" selected="0">
            <x v="8"/>
          </reference>
        </references>
      </pivotArea>
    </chartFormat>
    <chartFormat chart="0" format="26" series="1">
      <pivotArea type="data" outline="0" fieldPosition="0">
        <references count="2">
          <reference field="4294967294" count="1" selected="0">
            <x v="0"/>
          </reference>
          <reference field="0" count="1" selected="0">
            <x v="9"/>
          </reference>
        </references>
      </pivotArea>
    </chartFormat>
    <chartFormat chart="0" format="27" series="1">
      <pivotArea type="data" outline="0" fieldPosition="0">
        <references count="2">
          <reference field="4294967294" count="1" selected="0">
            <x v="0"/>
          </reference>
          <reference field="0" count="1" selected="0">
            <x v="10"/>
          </reference>
        </references>
      </pivotArea>
    </chartFormat>
    <chartFormat chart="0" format="28" series="1">
      <pivotArea type="data" outline="0" fieldPosition="0">
        <references count="2">
          <reference field="4294967294" count="1" selected="0">
            <x v="0"/>
          </reference>
          <reference field="0" count="1" selected="0">
            <x v="11"/>
          </reference>
        </references>
      </pivotArea>
    </chartFormat>
    <chartFormat chart="0" format="30" series="1">
      <pivotArea type="data" outline="0" fieldPosition="0">
        <references count="2">
          <reference field="4294967294" count="1" selected="0">
            <x v="0"/>
          </reference>
          <reference field="0" count="1" selected="0">
            <x v="12"/>
          </reference>
        </references>
      </pivotArea>
    </chartFormat>
    <chartFormat chart="0" format="31" series="1">
      <pivotArea type="data" outline="0" fieldPosition="0">
        <references count="2">
          <reference field="4294967294" count="1" selected="0">
            <x v="0"/>
          </reference>
          <reference field="0" count="1" selected="0">
            <x v="13"/>
          </reference>
        </references>
      </pivotArea>
    </chartFormat>
    <chartFormat chart="0" format="32" series="1">
      <pivotArea type="data" outline="0" fieldPosition="0">
        <references count="2">
          <reference field="4294967294" count="1" selected="0">
            <x v="0"/>
          </reference>
          <reference field="0" count="1" selected="0">
            <x v="14"/>
          </reference>
        </references>
      </pivotArea>
    </chartFormat>
    <chartFormat chart="0" format="35" series="1">
      <pivotArea type="data" outline="0" fieldPosition="0">
        <references count="2">
          <reference field="4294967294" count="1" selected="0">
            <x v="0"/>
          </reference>
          <reference field="0" count="1" selected="0">
            <x v="15"/>
          </reference>
        </references>
      </pivotArea>
    </chartFormat>
    <chartFormat chart="0" format="36" series="1">
      <pivotArea type="data" outline="0" fieldPosition="0">
        <references count="2">
          <reference field="4294967294" count="1" selected="0">
            <x v="0"/>
          </reference>
          <reference field="0" count="1" selected="0">
            <x v="16"/>
          </reference>
        </references>
      </pivotArea>
    </chartFormat>
    <chartFormat chart="0" format="39" series="1">
      <pivotArea type="data" outline="0" fieldPosition="0">
        <references count="2">
          <reference field="4294967294" count="1" selected="0">
            <x v="0"/>
          </reference>
          <reference field="0" count="1" selected="0">
            <x v="17"/>
          </reference>
        </references>
      </pivotArea>
    </chartFormat>
    <chartFormat chart="0" format="41" series="1">
      <pivotArea type="data" outline="0" fieldPosition="0">
        <references count="2">
          <reference field="4294967294" count="1" selected="0">
            <x v="0"/>
          </reference>
          <reference field="0" count="1" selected="0">
            <x v="18"/>
          </reference>
        </references>
      </pivotArea>
    </chartFormat>
    <chartFormat chart="0" format="42" series="1">
      <pivotArea type="data" outline="0" fieldPosition="0">
        <references count="2">
          <reference field="4294967294" count="1" selected="0">
            <x v="0"/>
          </reference>
          <reference field="0" count="1" selected="0">
            <x v="19"/>
          </reference>
        </references>
      </pivotArea>
    </chartFormat>
    <chartFormat chart="0" format="43" series="1">
      <pivotArea type="data" outline="0" fieldPosition="0">
        <references count="2">
          <reference field="4294967294" count="1" selected="0">
            <x v="0"/>
          </reference>
          <reference field="0" count="1" selected="0">
            <x v="20"/>
          </reference>
        </references>
      </pivotArea>
    </chartFormat>
    <chartFormat chart="0" format="45" series="1">
      <pivotArea type="data" outline="0" fieldPosition="0">
        <references count="2">
          <reference field="4294967294" count="1" selected="0">
            <x v="0"/>
          </reference>
          <reference field="0" count="1" selected="0">
            <x v="21"/>
          </reference>
        </references>
      </pivotArea>
    </chartFormat>
    <chartFormat chart="0" format="46" series="1">
      <pivotArea type="data" outline="0" fieldPosition="0">
        <references count="2">
          <reference field="4294967294" count="1" selected="0">
            <x v="0"/>
          </reference>
          <reference field="0" count="1" selected="0">
            <x v="22"/>
          </reference>
        </references>
      </pivotArea>
    </chartFormat>
    <chartFormat chart="0" format="47" series="1">
      <pivotArea type="data" outline="0" fieldPosition="0">
        <references count="2">
          <reference field="4294967294" count="1" selected="0">
            <x v="0"/>
          </reference>
          <reference field="0" count="1" selected="0">
            <x v="23"/>
          </reference>
        </references>
      </pivotArea>
    </chartFormat>
    <chartFormat chart="0" format="48" series="1">
      <pivotArea type="data" outline="0" fieldPosition="0">
        <references count="2">
          <reference field="4294967294" count="1" selected="0">
            <x v="0"/>
          </reference>
          <reference field="0" count="1" selected="0">
            <x v="24"/>
          </reference>
        </references>
      </pivotArea>
    </chartFormat>
    <chartFormat chart="0" format="49" series="1">
      <pivotArea type="data" outline="0" fieldPosition="0">
        <references count="2">
          <reference field="4294967294" count="1" selected="0">
            <x v="0"/>
          </reference>
          <reference field="0" count="1" selected="0">
            <x v="25"/>
          </reference>
        </references>
      </pivotArea>
    </chartFormat>
    <chartFormat chart="0" format="50" series="1">
      <pivotArea type="data" outline="0" fieldPosition="0">
        <references count="2">
          <reference field="4294967294" count="1" selected="0">
            <x v="0"/>
          </reference>
          <reference field="0" count="1" selected="0">
            <x v="26"/>
          </reference>
        </references>
      </pivotArea>
    </chartFormat>
    <chartFormat chart="0" format="51" series="1">
      <pivotArea type="data" outline="0" fieldPosition="0">
        <references count="2">
          <reference field="4294967294" count="1" selected="0">
            <x v="0"/>
          </reference>
          <reference field="0" count="1" selected="0">
            <x v="27"/>
          </reference>
        </references>
      </pivotArea>
    </chartFormat>
    <chartFormat chart="0" format="52" series="1">
      <pivotArea type="data" outline="0" fieldPosition="0">
        <references count="2">
          <reference field="4294967294" count="1" selected="0">
            <x v="0"/>
          </reference>
          <reference field="0" count="1" selected="0">
            <x v="28"/>
          </reference>
        </references>
      </pivotArea>
    </chartFormat>
    <chartFormat chart="0" format="53" series="1">
      <pivotArea type="data" outline="0" fieldPosition="0">
        <references count="2">
          <reference field="4294967294" count="1" selected="0">
            <x v="0"/>
          </reference>
          <reference field="0" count="1" selected="0">
            <x v="29"/>
          </reference>
        </references>
      </pivotArea>
    </chartFormat>
    <chartFormat chart="0" format="54" series="1">
      <pivotArea type="data" outline="0" fieldPosition="0">
        <references count="2">
          <reference field="4294967294" count="1" selected="0">
            <x v="0"/>
          </reference>
          <reference field="0" count="1" selected="0">
            <x v="30"/>
          </reference>
        </references>
      </pivotArea>
    </chartFormat>
    <chartFormat chart="0" format="55" series="1">
      <pivotArea type="data" outline="0" fieldPosition="0">
        <references count="2">
          <reference field="4294967294" count="1" selected="0">
            <x v="0"/>
          </reference>
          <reference field="0" count="1" selected="0">
            <x v="31"/>
          </reference>
        </references>
      </pivotArea>
    </chartFormat>
    <chartFormat chart="0" format="56" series="1">
      <pivotArea type="data" outline="0" fieldPosition="0">
        <references count="2">
          <reference field="4294967294" count="1" selected="0">
            <x v="0"/>
          </reference>
          <reference field="0" count="1" selected="0">
            <x v="32"/>
          </reference>
        </references>
      </pivotArea>
    </chartFormat>
    <chartFormat chart="0" format="57" series="1">
      <pivotArea type="data" outline="0" fieldPosition="0">
        <references count="2">
          <reference field="4294967294" count="1" selected="0">
            <x v="0"/>
          </reference>
          <reference field="0" count="1" selected="0">
            <x v="33"/>
          </reference>
        </references>
      </pivotArea>
    </chartFormat>
    <chartFormat chart="0" format="58" series="1">
      <pivotArea type="data" outline="0" fieldPosition="0">
        <references count="2">
          <reference field="4294967294" count="1" selected="0">
            <x v="0"/>
          </reference>
          <reference field="0" count="1" selected="0">
            <x v="34"/>
          </reference>
        </references>
      </pivotArea>
    </chartFormat>
    <chartFormat chart="0" format="59" series="1">
      <pivotArea type="data" outline="0" fieldPosition="0">
        <references count="2">
          <reference field="4294967294" count="1" selected="0">
            <x v="0"/>
          </reference>
          <reference field="0" count="1" selected="0">
            <x v="35"/>
          </reference>
        </references>
      </pivotArea>
    </chartFormat>
    <chartFormat chart="0" format="60" series="1">
      <pivotArea type="data" outline="0" fieldPosition="0">
        <references count="2">
          <reference field="4294967294" count="1" selected="0">
            <x v="0"/>
          </reference>
          <reference field="0" count="1" selected="0">
            <x v="36"/>
          </reference>
        </references>
      </pivotArea>
    </chartFormat>
    <chartFormat chart="0" format="61" series="1">
      <pivotArea type="data" outline="0" fieldPosition="0">
        <references count="2">
          <reference field="4294967294" count="1" selected="0">
            <x v="0"/>
          </reference>
          <reference field="0" count="1" selected="0">
            <x v="37"/>
          </reference>
        </references>
      </pivotArea>
    </chartFormat>
    <chartFormat chart="0" format="62" series="1">
      <pivotArea type="data" outline="0" fieldPosition="0">
        <references count="2">
          <reference field="4294967294" count="1" selected="0">
            <x v="0"/>
          </reference>
          <reference field="0" count="1" selected="0">
            <x v="38"/>
          </reference>
        </references>
      </pivotArea>
    </chartFormat>
    <chartFormat chart="0" format="64" series="1">
      <pivotArea type="data" outline="0" fieldPosition="0">
        <references count="2">
          <reference field="4294967294" count="1" selected="0">
            <x v="0"/>
          </reference>
          <reference field="0" count="1" selected="0">
            <x v="39"/>
          </reference>
        </references>
      </pivotArea>
    </chartFormat>
    <chartFormat chart="0" format="66" series="1">
      <pivotArea type="data" outline="0" fieldPosition="0">
        <references count="2">
          <reference field="4294967294" count="1" selected="0">
            <x v="0"/>
          </reference>
          <reference field="0" count="1" selected="0">
            <x v="40"/>
          </reference>
        </references>
      </pivotArea>
    </chartFormat>
    <chartFormat chart="0" format="67" series="1">
      <pivotArea type="data" outline="0" fieldPosition="0">
        <references count="2">
          <reference field="4294967294" count="1" selected="0">
            <x v="0"/>
          </reference>
          <reference field="0" count="1" selected="0">
            <x v="41"/>
          </reference>
        </references>
      </pivotArea>
    </chartFormat>
    <chartFormat chart="0" format="68" series="1">
      <pivotArea type="data" outline="0" fieldPosition="0">
        <references count="2">
          <reference field="4294967294" count="1" selected="0">
            <x v="0"/>
          </reference>
          <reference field="0" count="1" selected="0">
            <x v="42"/>
          </reference>
        </references>
      </pivotArea>
    </chartFormat>
    <chartFormat chart="0" format="69" series="1">
      <pivotArea type="data" outline="0" fieldPosition="0">
        <references count="2">
          <reference field="4294967294" count="1" selected="0">
            <x v="0"/>
          </reference>
          <reference field="0" count="1" selected="0">
            <x v="43"/>
          </reference>
        </references>
      </pivotArea>
    </chartFormat>
    <chartFormat chart="0" format="70" series="1">
      <pivotArea type="data" outline="0" fieldPosition="0">
        <references count="2">
          <reference field="4294967294" count="1" selected="0">
            <x v="0"/>
          </reference>
          <reference field="0" count="1" selected="0">
            <x v="44"/>
          </reference>
        </references>
      </pivotArea>
    </chartFormat>
    <chartFormat chart="0" format="71" series="1">
      <pivotArea type="data" outline="0" fieldPosition="0">
        <references count="2">
          <reference field="4294967294" count="1" selected="0">
            <x v="0"/>
          </reference>
          <reference field="0" count="1" selected="0">
            <x v="45"/>
          </reference>
        </references>
      </pivotArea>
    </chartFormat>
    <chartFormat chart="0" format="73" series="1">
      <pivotArea type="data" outline="0" fieldPosition="0">
        <references count="2">
          <reference field="4294967294" count="1" selected="0">
            <x v="0"/>
          </reference>
          <reference field="0" count="1" selected="0">
            <x v="46"/>
          </reference>
        </references>
      </pivotArea>
    </chartFormat>
    <chartFormat chart="0" format="74" series="1">
      <pivotArea type="data" outline="0" fieldPosition="0">
        <references count="2">
          <reference field="4294967294" count="1" selected="0">
            <x v="0"/>
          </reference>
          <reference field="0" count="1" selected="0">
            <x v="47"/>
          </reference>
        </references>
      </pivotArea>
    </chartFormat>
    <chartFormat chart="0" format="75" series="1">
      <pivotArea type="data" outline="0" fieldPosition="0">
        <references count="2">
          <reference field="4294967294" count="1" selected="0">
            <x v="0"/>
          </reference>
          <reference field="0" count="1" selected="0">
            <x v="48"/>
          </reference>
        </references>
      </pivotArea>
    </chartFormat>
    <chartFormat chart="0" format="76" series="1">
      <pivotArea type="data" outline="0" fieldPosition="0">
        <references count="2">
          <reference field="4294967294" count="1" selected="0">
            <x v="0"/>
          </reference>
          <reference field="0" count="1" selected="0">
            <x v="4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wertpapier-forum.de/topic/45971-hamsterrad-aktienbewertungssystem-diskussion/" TargetMode="External"/><Relationship Id="rId1" Type="http://schemas.openxmlformats.org/officeDocument/2006/relationships/hyperlink" Target="http://www.wertpapier-forum.de/topic/45969-hamsterrad-aktienbewertungssystem/"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zoomScale="85" zoomScaleNormal="85" workbookViewId="0">
      <selection activeCell="G24" sqref="G24"/>
    </sheetView>
  </sheetViews>
  <sheetFormatPr baseColWidth="10" defaultRowHeight="15" x14ac:dyDescent="0.25"/>
  <cols>
    <col min="1" max="1" width="7.5703125" customWidth="1"/>
    <col min="2" max="2" width="23.7109375" customWidth="1"/>
    <col min="3" max="3" width="100.7109375" customWidth="1"/>
    <col min="4" max="4" width="7.5703125" customWidth="1"/>
    <col min="5" max="5" width="23.7109375" customWidth="1"/>
    <col min="6" max="6" width="100.7109375" customWidth="1"/>
    <col min="7" max="7" width="28.140625" customWidth="1"/>
    <col min="8" max="13" width="23.85546875" customWidth="1"/>
    <col min="14" max="14" width="23.85546875" bestFit="1" customWidth="1"/>
    <col min="15" max="16" width="23.85546875" customWidth="1"/>
    <col min="17" max="17" width="23.85546875" bestFit="1" customWidth="1"/>
    <col min="18" max="18" width="23.85546875" customWidth="1"/>
    <col min="19" max="21" width="23.85546875" bestFit="1" customWidth="1"/>
    <col min="22" max="22" width="23.85546875" customWidth="1"/>
    <col min="23" max="28" width="23.85546875" bestFit="1" customWidth="1"/>
    <col min="29" max="31" width="23.85546875" customWidth="1"/>
    <col min="32" max="35" width="23.85546875" bestFit="1" customWidth="1"/>
    <col min="36" max="36" width="23.85546875" customWidth="1"/>
    <col min="37" max="37" width="23.85546875" bestFit="1" customWidth="1"/>
    <col min="38" max="38" width="23.85546875" customWidth="1"/>
    <col min="39" max="40" width="23.85546875" bestFit="1" customWidth="1"/>
    <col min="41" max="43" width="23.85546875" customWidth="1"/>
    <col min="44" max="44" width="23.85546875" bestFit="1" customWidth="1"/>
    <col min="45" max="49" width="23.85546875" customWidth="1"/>
    <col min="50" max="52" width="23.85546875" bestFit="1" customWidth="1"/>
    <col min="53" max="54" width="23.85546875" customWidth="1"/>
    <col min="55" max="55" width="23.85546875" bestFit="1" customWidth="1"/>
    <col min="56" max="63" width="23.85546875" customWidth="1"/>
    <col min="64" max="64" width="23.85546875" bestFit="1" customWidth="1"/>
    <col min="65" max="65" width="23.85546875" customWidth="1"/>
    <col min="66" max="68" width="23.85546875" bestFit="1" customWidth="1"/>
    <col min="69" max="69" width="15.7109375" bestFit="1" customWidth="1"/>
  </cols>
  <sheetData>
    <row r="1" spans="1:5" x14ac:dyDescent="0.25">
      <c r="A1" s="111" t="s">
        <v>234</v>
      </c>
      <c r="B1" s="111"/>
      <c r="D1" s="111" t="s">
        <v>251</v>
      </c>
      <c r="E1" s="111"/>
    </row>
    <row r="2" spans="1:5" x14ac:dyDescent="0.25">
      <c r="B2" s="88" t="s">
        <v>232</v>
      </c>
      <c r="E2" s="88" t="s">
        <v>232</v>
      </c>
    </row>
    <row r="3" spans="1:5" x14ac:dyDescent="0.25">
      <c r="A3" s="88" t="s">
        <v>233</v>
      </c>
      <c r="B3" t="s">
        <v>48</v>
      </c>
      <c r="D3" s="88" t="s">
        <v>233</v>
      </c>
      <c r="E3" t="s">
        <v>48</v>
      </c>
    </row>
    <row r="4" spans="1:5" x14ac:dyDescent="0.25">
      <c r="A4" s="89" t="s">
        <v>236</v>
      </c>
      <c r="B4" s="2">
        <v>15.450769230769232</v>
      </c>
      <c r="D4" s="89" t="s">
        <v>250</v>
      </c>
      <c r="E4" s="2"/>
    </row>
    <row r="5" spans="1:5" x14ac:dyDescent="0.25">
      <c r="A5" s="89" t="s">
        <v>237</v>
      </c>
      <c r="B5" s="2">
        <v>16.600000000000001</v>
      </c>
      <c r="D5" s="89" t="s">
        <v>239</v>
      </c>
      <c r="E5" s="2">
        <v>2783</v>
      </c>
    </row>
    <row r="6" spans="1:5" x14ac:dyDescent="0.25">
      <c r="A6" s="89" t="s">
        <v>238</v>
      </c>
      <c r="B6" s="2">
        <v>17.784013605442176</v>
      </c>
      <c r="D6" s="89" t="s">
        <v>240</v>
      </c>
      <c r="E6" s="2">
        <v>2821</v>
      </c>
    </row>
    <row r="7" spans="1:5" x14ac:dyDescent="0.25">
      <c r="A7" s="89" t="s">
        <v>239</v>
      </c>
      <c r="B7" s="2">
        <v>16.061403508771928</v>
      </c>
      <c r="D7" s="89" t="s">
        <v>241</v>
      </c>
      <c r="E7" s="2">
        <v>2778</v>
      </c>
    </row>
    <row r="8" spans="1:5" x14ac:dyDescent="0.25">
      <c r="A8" s="89" t="s">
        <v>240</v>
      </c>
      <c r="B8" s="2">
        <v>12.341549295774648</v>
      </c>
      <c r="D8" s="89" t="s">
        <v>242</v>
      </c>
      <c r="E8" s="2">
        <v>2724</v>
      </c>
    </row>
    <row r="9" spans="1:5" x14ac:dyDescent="0.25">
      <c r="A9" s="89" t="s">
        <v>241</v>
      </c>
      <c r="B9" s="2">
        <v>14.770270270270268</v>
      </c>
      <c r="D9" s="89" t="s">
        <v>243</v>
      </c>
      <c r="E9" s="2">
        <v>2738</v>
      </c>
    </row>
    <row r="10" spans="1:5" x14ac:dyDescent="0.25">
      <c r="A10" s="89" t="s">
        <v>242</v>
      </c>
      <c r="B10" s="2">
        <v>13.867713004484305</v>
      </c>
      <c r="D10" s="89" t="s">
        <v>244</v>
      </c>
      <c r="E10" s="2">
        <v>2754</v>
      </c>
    </row>
    <row r="11" spans="1:5" x14ac:dyDescent="0.25">
      <c r="A11" s="89" t="s">
        <v>243</v>
      </c>
      <c r="B11" s="2">
        <v>13.474895397489538</v>
      </c>
      <c r="D11" s="89" t="s">
        <v>245</v>
      </c>
      <c r="E11" s="2">
        <v>2769</v>
      </c>
    </row>
    <row r="12" spans="1:5" x14ac:dyDescent="0.25">
      <c r="A12" s="89" t="s">
        <v>244</v>
      </c>
      <c r="B12" s="2">
        <v>13.597727272727271</v>
      </c>
      <c r="D12" s="89" t="s">
        <v>246</v>
      </c>
      <c r="E12" s="2">
        <v>2840</v>
      </c>
    </row>
    <row r="13" spans="1:5" x14ac:dyDescent="0.25">
      <c r="A13" s="89" t="s">
        <v>245</v>
      </c>
      <c r="B13" s="2">
        <v>14.595185995623632</v>
      </c>
      <c r="D13" s="89" t="s">
        <v>247</v>
      </c>
      <c r="E13" s="2">
        <v>2893</v>
      </c>
    </row>
    <row r="14" spans="1:5" x14ac:dyDescent="0.25">
      <c r="A14" s="89" t="s">
        <v>246</v>
      </c>
      <c r="B14" s="2">
        <v>18.203856749311296</v>
      </c>
      <c r="D14" s="89" t="s">
        <v>248</v>
      </c>
      <c r="E14" s="2">
        <v>2975</v>
      </c>
    </row>
    <row r="15" spans="1:5" x14ac:dyDescent="0.25">
      <c r="A15" s="89" t="s">
        <v>247</v>
      </c>
      <c r="B15" s="2">
        <v>16.112600536193028</v>
      </c>
    </row>
    <row r="16" spans="1:5" x14ac:dyDescent="0.25">
      <c r="A16" s="89" t="s">
        <v>248</v>
      </c>
      <c r="B16" s="2">
        <v>18.329479768786129</v>
      </c>
    </row>
    <row r="17" spans="1:5" x14ac:dyDescent="0.25">
      <c r="D17" s="111" t="s">
        <v>253</v>
      </c>
      <c r="E17" s="111"/>
    </row>
    <row r="18" spans="1:5" x14ac:dyDescent="0.25">
      <c r="A18" s="111" t="s">
        <v>235</v>
      </c>
      <c r="B18" s="111"/>
      <c r="E18" s="88" t="s">
        <v>232</v>
      </c>
    </row>
    <row r="19" spans="1:5" x14ac:dyDescent="0.25">
      <c r="B19" s="88" t="s">
        <v>232</v>
      </c>
      <c r="D19" s="88" t="s">
        <v>233</v>
      </c>
      <c r="E19" t="s">
        <v>48</v>
      </c>
    </row>
    <row r="20" spans="1:5" x14ac:dyDescent="0.25">
      <c r="A20" s="88" t="s">
        <v>233</v>
      </c>
      <c r="B20" t="s">
        <v>48</v>
      </c>
      <c r="D20" s="89" t="s">
        <v>236</v>
      </c>
      <c r="E20" s="2">
        <v>3.33</v>
      </c>
    </row>
    <row r="21" spans="1:5" x14ac:dyDescent="0.25">
      <c r="A21" s="89" t="s">
        <v>236</v>
      </c>
      <c r="B21" s="2">
        <v>6.5</v>
      </c>
      <c r="D21" s="89" t="s">
        <v>237</v>
      </c>
      <c r="E21" s="2">
        <v>3.08</v>
      </c>
    </row>
    <row r="22" spans="1:5" x14ac:dyDescent="0.25">
      <c r="A22" s="89" t="s">
        <v>237</v>
      </c>
      <c r="B22" s="2">
        <v>6.05</v>
      </c>
      <c r="D22" s="89" t="s">
        <v>238</v>
      </c>
      <c r="E22" s="2">
        <v>2.91</v>
      </c>
    </row>
    <row r="23" spans="1:5" x14ac:dyDescent="0.25">
      <c r="A23" s="89" t="s">
        <v>238</v>
      </c>
      <c r="B23" s="2">
        <v>5.88</v>
      </c>
      <c r="D23" s="89" t="s">
        <v>239</v>
      </c>
      <c r="E23" s="2">
        <v>2.76</v>
      </c>
    </row>
    <row r="24" spans="1:5" x14ac:dyDescent="0.25">
      <c r="A24" s="89" t="s">
        <v>239</v>
      </c>
      <c r="B24" s="2">
        <v>5.7</v>
      </c>
      <c r="D24" s="89" t="s">
        <v>240</v>
      </c>
      <c r="E24" s="2">
        <v>2.59</v>
      </c>
    </row>
    <row r="25" spans="1:5" x14ac:dyDescent="0.25">
      <c r="A25" s="89" t="s">
        <v>240</v>
      </c>
      <c r="B25" s="2">
        <v>5.68</v>
      </c>
      <c r="D25" s="89" t="s">
        <v>241</v>
      </c>
      <c r="E25" s="2">
        <v>2.4</v>
      </c>
    </row>
    <row r="26" spans="1:5" x14ac:dyDescent="0.25">
      <c r="A26" s="89" t="s">
        <v>241</v>
      </c>
      <c r="B26" s="2">
        <v>4.4400000000000004</v>
      </c>
      <c r="D26" s="89" t="s">
        <v>242</v>
      </c>
      <c r="E26" s="2">
        <v>2.25</v>
      </c>
    </row>
    <row r="27" spans="1:5" x14ac:dyDescent="0.25">
      <c r="A27" s="89" t="s">
        <v>242</v>
      </c>
      <c r="B27" s="2">
        <v>4.46</v>
      </c>
      <c r="D27" s="89" t="s">
        <v>243</v>
      </c>
      <c r="E27" s="2">
        <v>2.11</v>
      </c>
    </row>
    <row r="28" spans="1:5" x14ac:dyDescent="0.25">
      <c r="A28" s="89" t="s">
        <v>243</v>
      </c>
      <c r="B28" s="2">
        <v>4.78</v>
      </c>
      <c r="D28" s="89" t="s">
        <v>244</v>
      </c>
      <c r="E28" s="2">
        <v>1.93</v>
      </c>
    </row>
    <row r="29" spans="1:5" x14ac:dyDescent="0.25">
      <c r="A29" s="89" t="s">
        <v>244</v>
      </c>
      <c r="B29" s="2">
        <v>4.4000000000000004</v>
      </c>
      <c r="D29" s="89" t="s">
        <v>245</v>
      </c>
      <c r="E29" s="2">
        <v>1.79</v>
      </c>
    </row>
    <row r="30" spans="1:5" x14ac:dyDescent="0.25">
      <c r="A30" s="89" t="s">
        <v>245</v>
      </c>
      <c r="B30" s="2">
        <v>4.57</v>
      </c>
      <c r="D30" s="89" t="s">
        <v>246</v>
      </c>
      <c r="E30" s="2">
        <v>1.62</v>
      </c>
    </row>
    <row r="31" spans="1:5" x14ac:dyDescent="0.25">
      <c r="A31" s="89" t="s">
        <v>246</v>
      </c>
      <c r="B31" s="2">
        <v>3.63</v>
      </c>
      <c r="D31" s="89" t="s">
        <v>247</v>
      </c>
      <c r="E31" s="2">
        <v>1.46</v>
      </c>
    </row>
    <row r="32" spans="1:5" x14ac:dyDescent="0.25">
      <c r="A32" s="89" t="s">
        <v>247</v>
      </c>
      <c r="B32" s="2">
        <v>3.73</v>
      </c>
      <c r="D32" s="89" t="s">
        <v>248</v>
      </c>
      <c r="E32" s="2">
        <v>1.27</v>
      </c>
    </row>
    <row r="33" spans="1:5" x14ac:dyDescent="0.25">
      <c r="A33" s="89" t="s">
        <v>248</v>
      </c>
      <c r="B33" s="2">
        <v>3.46</v>
      </c>
      <c r="D33" s="89" t="s">
        <v>252</v>
      </c>
      <c r="E33" s="2">
        <v>1.0900000000000001</v>
      </c>
    </row>
    <row r="35" spans="1:5" x14ac:dyDescent="0.25">
      <c r="A35" s="111" t="s">
        <v>249</v>
      </c>
      <c r="B35" s="111"/>
      <c r="D35" s="111" t="s">
        <v>254</v>
      </c>
      <c r="E35" s="111"/>
    </row>
    <row r="36" spans="1:5" x14ac:dyDescent="0.25">
      <c r="B36" s="88" t="s">
        <v>232</v>
      </c>
      <c r="E36" s="88" t="s">
        <v>232</v>
      </c>
    </row>
    <row r="37" spans="1:5" x14ac:dyDescent="0.25">
      <c r="A37" s="88" t="s">
        <v>233</v>
      </c>
      <c r="B37" t="s">
        <v>48</v>
      </c>
      <c r="D37" s="88" t="s">
        <v>233</v>
      </c>
      <c r="E37" t="s">
        <v>48</v>
      </c>
    </row>
    <row r="38" spans="1:5" x14ac:dyDescent="0.25">
      <c r="A38" s="89" t="s">
        <v>236</v>
      </c>
      <c r="B38" s="2">
        <v>34.9</v>
      </c>
      <c r="D38" s="89" t="s">
        <v>236</v>
      </c>
      <c r="E38" s="9">
        <v>0.51230769230769235</v>
      </c>
    </row>
    <row r="39" spans="1:5" x14ac:dyDescent="0.25">
      <c r="A39" s="89" t="s">
        <v>237</v>
      </c>
      <c r="B39" s="2">
        <v>29.8</v>
      </c>
      <c r="D39" s="89" t="s">
        <v>237</v>
      </c>
      <c r="E39" s="9">
        <v>0.50909090909090915</v>
      </c>
    </row>
    <row r="40" spans="1:5" x14ac:dyDescent="0.25">
      <c r="A40" s="89" t="s">
        <v>238</v>
      </c>
      <c r="B40" s="2">
        <v>26.7</v>
      </c>
      <c r="D40" s="89" t="s">
        <v>238</v>
      </c>
      <c r="E40" s="9">
        <v>0.49489795918367352</v>
      </c>
    </row>
    <row r="41" spans="1:5" x14ac:dyDescent="0.25">
      <c r="A41" s="89" t="s">
        <v>239</v>
      </c>
      <c r="B41" s="2">
        <v>25.06</v>
      </c>
      <c r="D41" s="89" t="s">
        <v>239</v>
      </c>
      <c r="E41" s="9">
        <v>0.48421052631578942</v>
      </c>
    </row>
    <row r="42" spans="1:5" x14ac:dyDescent="0.25">
      <c r="A42" s="89" t="s">
        <v>240</v>
      </c>
      <c r="B42" s="2">
        <v>26.25</v>
      </c>
      <c r="D42" s="89" t="s">
        <v>240</v>
      </c>
      <c r="E42" s="9">
        <v>0.45598591549295775</v>
      </c>
    </row>
    <row r="43" spans="1:5" x14ac:dyDescent="0.25">
      <c r="A43" s="89" t="s">
        <v>241</v>
      </c>
      <c r="B43" s="2">
        <v>23.33</v>
      </c>
      <c r="D43" s="89" t="s">
        <v>241</v>
      </c>
      <c r="E43" s="9">
        <v>0.54054054054054046</v>
      </c>
    </row>
    <row r="44" spans="1:5" x14ac:dyDescent="0.25">
      <c r="A44" s="89" t="s">
        <v>242</v>
      </c>
      <c r="B44" s="2">
        <v>20.95</v>
      </c>
      <c r="D44" s="89" t="s">
        <v>242</v>
      </c>
      <c r="E44" s="9">
        <v>0.50448430493273544</v>
      </c>
    </row>
    <row r="45" spans="1:5" x14ac:dyDescent="0.25">
      <c r="A45" s="89" t="s">
        <v>243</v>
      </c>
      <c r="B45" s="2">
        <v>20.66</v>
      </c>
      <c r="D45" s="89" t="s">
        <v>243</v>
      </c>
      <c r="E45" s="9">
        <v>0.44142259414225937</v>
      </c>
    </row>
    <row r="46" spans="1:5" x14ac:dyDescent="0.25">
      <c r="A46" s="89" t="s">
        <v>244</v>
      </c>
      <c r="B46" s="2">
        <v>18.37</v>
      </c>
      <c r="D46" s="89" t="s">
        <v>244</v>
      </c>
      <c r="E46" s="9">
        <v>0.4386363636363636</v>
      </c>
    </row>
    <row r="47" spans="1:5" x14ac:dyDescent="0.25">
      <c r="A47" s="89" t="s">
        <v>245</v>
      </c>
      <c r="B47" s="2">
        <v>15.35</v>
      </c>
      <c r="D47" s="89" t="s">
        <v>245</v>
      </c>
      <c r="E47" s="9">
        <v>0.39168490153172864</v>
      </c>
    </row>
    <row r="48" spans="1:5" x14ac:dyDescent="0.25">
      <c r="A48" s="89" t="s">
        <v>246</v>
      </c>
      <c r="B48" s="2">
        <v>15.25</v>
      </c>
      <c r="D48" s="89" t="s">
        <v>246</v>
      </c>
      <c r="E48" s="9">
        <v>0.44628099173553726</v>
      </c>
    </row>
    <row r="49" spans="1:5" x14ac:dyDescent="0.25">
      <c r="A49" s="89" t="s">
        <v>247</v>
      </c>
      <c r="B49" s="2">
        <v>13.59</v>
      </c>
      <c r="D49" s="89" t="s">
        <v>247</v>
      </c>
      <c r="E49" s="9">
        <v>0.39142091152815012</v>
      </c>
    </row>
    <row r="50" spans="1:5" x14ac:dyDescent="0.25">
      <c r="A50" s="89" t="s">
        <v>248</v>
      </c>
      <c r="B50" s="2">
        <v>12.73</v>
      </c>
      <c r="D50" s="89" t="s">
        <v>248</v>
      </c>
      <c r="E50" s="9">
        <v>0.36705202312138729</v>
      </c>
    </row>
  </sheetData>
  <mergeCells count="6">
    <mergeCell ref="A1:B1"/>
    <mergeCell ref="A18:B18"/>
    <mergeCell ref="A35:B35"/>
    <mergeCell ref="D1:E1"/>
    <mergeCell ref="D17:E17"/>
    <mergeCell ref="D35:E35"/>
  </mergeCells>
  <pageMargins left="0.7" right="0.7" top="0.78740157499999996" bottom="0.78740157499999996" header="0.3" footer="0.3"/>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3"/>
  <sheetViews>
    <sheetView zoomScale="60" zoomScaleNormal="60" workbookViewId="0">
      <pane ySplit="3" topLeftCell="A4" activePane="bottomLeft" state="frozenSplit"/>
      <selection pane="bottomLeft"/>
    </sheetView>
  </sheetViews>
  <sheetFormatPr baseColWidth="10" defaultRowHeight="15" x14ac:dyDescent="0.25"/>
  <cols>
    <col min="1" max="1" width="28" customWidth="1"/>
    <col min="2" max="2" width="20.85546875" customWidth="1"/>
    <col min="3" max="3" width="15.140625" customWidth="1"/>
    <col min="4" max="4" width="14.7109375" bestFit="1" customWidth="1"/>
    <col min="5" max="5" width="15.140625" customWidth="1"/>
    <col min="6" max="6" width="14.42578125" customWidth="1"/>
    <col min="7" max="14" width="14.85546875" customWidth="1"/>
    <col min="15" max="15" width="15.85546875" customWidth="1"/>
    <col min="16" max="16" width="18" customWidth="1"/>
    <col min="17" max="17" width="16.5703125" customWidth="1"/>
    <col min="18" max="18" width="33.42578125" customWidth="1"/>
  </cols>
  <sheetData>
    <row r="1" spans="1:18" x14ac:dyDescent="0.25">
      <c r="A1" s="1"/>
      <c r="B1" s="1"/>
      <c r="C1" s="116" t="s">
        <v>201</v>
      </c>
      <c r="D1" s="115"/>
      <c r="E1" s="115"/>
      <c r="F1" s="115"/>
      <c r="G1" s="115"/>
      <c r="H1" s="115"/>
      <c r="I1" s="115"/>
      <c r="J1" s="115"/>
      <c r="K1" s="115"/>
      <c r="L1" s="115"/>
      <c r="M1" s="115"/>
      <c r="N1" s="115"/>
      <c r="O1" s="117"/>
      <c r="P1" s="1"/>
      <c r="Q1" s="1"/>
      <c r="R1" s="1"/>
    </row>
    <row r="2" spans="1:18" x14ac:dyDescent="0.25">
      <c r="A2" s="1"/>
      <c r="B2" s="1"/>
      <c r="C2" s="57">
        <v>2017</v>
      </c>
      <c r="D2" s="37">
        <v>2016</v>
      </c>
      <c r="E2" s="37">
        <v>2015</v>
      </c>
      <c r="F2" s="37">
        <v>2014</v>
      </c>
      <c r="G2" s="37">
        <v>2013</v>
      </c>
      <c r="H2" s="37">
        <v>2012</v>
      </c>
      <c r="I2" s="37">
        <v>2011</v>
      </c>
      <c r="J2" s="37">
        <v>2010</v>
      </c>
      <c r="K2" s="37">
        <v>2009</v>
      </c>
      <c r="L2" s="37">
        <v>2008</v>
      </c>
      <c r="M2" s="37">
        <v>2007</v>
      </c>
      <c r="N2" s="37">
        <v>2006</v>
      </c>
      <c r="O2" s="58">
        <v>2005</v>
      </c>
      <c r="P2" s="1"/>
      <c r="Q2" s="1"/>
      <c r="R2" s="1"/>
    </row>
    <row r="3" spans="1:18" x14ac:dyDescent="0.25">
      <c r="A3" s="1" t="s">
        <v>0</v>
      </c>
      <c r="B3" s="1" t="s">
        <v>1</v>
      </c>
      <c r="C3" s="57" t="s">
        <v>168</v>
      </c>
      <c r="D3" s="37" t="s">
        <v>111</v>
      </c>
      <c r="E3" s="37" t="s">
        <v>112</v>
      </c>
      <c r="F3" s="37" t="s">
        <v>101</v>
      </c>
      <c r="G3" s="37" t="s">
        <v>102</v>
      </c>
      <c r="H3" s="37" t="s">
        <v>103</v>
      </c>
      <c r="I3" s="37" t="s">
        <v>104</v>
      </c>
      <c r="J3" s="37" t="s">
        <v>105</v>
      </c>
      <c r="K3" s="37" t="s">
        <v>106</v>
      </c>
      <c r="L3" s="37" t="s">
        <v>107</v>
      </c>
      <c r="M3" s="37" t="s">
        <v>108</v>
      </c>
      <c r="N3" s="37" t="s">
        <v>109</v>
      </c>
      <c r="O3" s="58" t="s">
        <v>110</v>
      </c>
      <c r="P3" s="1" t="s">
        <v>120</v>
      </c>
      <c r="Q3" s="1" t="s">
        <v>126</v>
      </c>
      <c r="R3" s="1" t="s">
        <v>121</v>
      </c>
    </row>
    <row r="4" spans="1:18" x14ac:dyDescent="0.25">
      <c r="A4" t="s">
        <v>80</v>
      </c>
      <c r="B4" t="s">
        <v>164</v>
      </c>
      <c r="C4" s="81">
        <f>IF(VLOOKUP(A4,Schlußkurse!A$5:AU$105,35,FALSE)&gt;0,IF(VLOOKUP(A4,Dividende_je_Aktie!A$3:AM$103,7,FALSE)&lt;&gt;"",VLOOKUP(A4,Dividende_je_Aktie!A$3:AM$103,7,FALSE)/VLOOKUP(A4,Schlußkurse!A$5:AU$105,35,FALSE),""),"")</f>
        <v>3.7574106538068988E-2</v>
      </c>
      <c r="D4" s="82">
        <f>IF(VLOOKUP(A4,Schlußkurse!A$5:AU$105,36,FALSE)&gt;0,IF(VLOOKUP(A4,Dividende_je_Aktie!A$3:AM$103,8,FALSE)&lt;&gt;"",VLOOKUP(A4,Dividende_je_Aktie!A$3:AM$103,8,FALSE)/VLOOKUP(A4,Schlußkurse!A$5:AU$105,36,FALSE),""),"")</f>
        <v>3.5486656174842937E-2</v>
      </c>
      <c r="E4" s="82">
        <f>IF(VLOOKUP(A4,Schlußkurse!A$5:AU$105,37,FALSE)&gt;0,IF(VLOOKUP(A4,Dividende_je_Aktie!A$3:AM$103,9,FALSE)&lt;&gt;"",VLOOKUP(A4,Dividende_je_Aktie!A$3:AM$103,9,FALSE)/VLOOKUP(A4,Schlußkurse!A$5:AU$105,37,FALSE),""),"")</f>
        <v>3.4535877559133371E-2</v>
      </c>
      <c r="F4" s="82">
        <f>IF(VLOOKUP(A4,Schlußkurse!A$5:AU$105,38,FALSE)&gt;0,IF(VLOOKUP(A4,Dividende_je_Aktie!A$3:AM$103,10,FALSE)&lt;&gt;"",VLOOKUP(A4,Dividende_je_Aktie!A$3:AM$103,10,FALSE)/VLOOKUP(A4,Schlußkurse!A$5:AU$105,38,FALSE),""),"")</f>
        <v>2.8203292339534551E-2</v>
      </c>
      <c r="G4" s="82">
        <f>IF(VLOOKUP(A4,Schlußkurse!A$5:AU$105,39,FALSE)&gt;0,IF(VLOOKUP(A4,Dividende_je_Aktie!A$3:AM$103,11,FALSE)&lt;&gt;"",VLOOKUP(A4,Dividende_je_Aktie!A$3:AM$103,11,FALSE)/VLOOKUP(A4,Schlußkurse!A$5:AU$105,39,FALSE),""),"")</f>
        <v>2.5924042256488578E-2</v>
      </c>
      <c r="H4" s="82">
        <f>IF(VLOOKUP(A4,Schlußkurse!A$5:AU$105,40,FALSE)&gt;0,IF(VLOOKUP(A4,Dividende_je_Aktie!A$3:AM$103,12,FALSE)&lt;&gt;"",VLOOKUP(A4,Dividende_je_Aktie!A$3:AM$103,12,FALSE)/VLOOKUP(A4,Schlußkurse!A$5:AU$105,40,FALSE),""),"")</f>
        <v>3.0112409419516737E-2</v>
      </c>
      <c r="I4" s="82">
        <f>IF(VLOOKUP(A4,Schlußkurse!A$5:AU$105,41,FALSE)&gt;0,IF(VLOOKUP(A4,Dividende_je_Aktie!A$3:AM$103,13,FALSE)&lt;&gt;"",VLOOKUP(A4,Dividende_je_Aktie!A$3:AM$103,13,FALSE)/VLOOKUP(A4,Schlußkurse!A$5:AU$105,41,FALSE),""),"")</f>
        <v>2.6099398740225748E-2</v>
      </c>
      <c r="J4" s="82">
        <f>IF(VLOOKUP(A4,Schlußkurse!A$5:AU$105,42,FALSE)&gt;0,IF(VLOOKUP(A4,Dividende_je_Aktie!A$3:AM$103,14,FALSE)&lt;&gt;"",VLOOKUP(A4,Dividende_je_Aktie!A$3:AM$103,14,FALSE)/VLOOKUP(A4,Schlußkurse!A$5:AU$105,42,FALSE),""),"")</f>
        <v>1.9994038141354219E-2</v>
      </c>
      <c r="K4" s="82">
        <f>IF(VLOOKUP(A4,Schlußkurse!A$5:AU$105,43,FALSE)&gt;0,IF(VLOOKUP(A4,Dividende_je_Aktie!A$3:AM$103,15,FALSE)&lt;&gt;"",VLOOKUP(A4,Dividende_je_Aktie!A$3:AM$103,15,FALSE)/VLOOKUP(A4,Schlußkurse!A$5:AU$105,43,FALSE),""),"")</f>
        <v>2.8173778861817822E-2</v>
      </c>
      <c r="L4" s="82">
        <f>IF(VLOOKUP(A4,Schlußkurse!A$5:AU$105,44,FALSE)&gt;0,IF(VLOOKUP(A4,Dividende_je_Aktie!A$3:AM$103,16,FALSE)&lt;&gt;"",VLOOKUP(A4,Dividende_je_Aktie!A$3:AM$103,16,FALSE)/VLOOKUP(A4,Schlußkurse!A$5:AU$105,44,FALSE),""),"")</f>
        <v>1.8700139917118309E-2</v>
      </c>
      <c r="M4" s="82">
        <f>IF(VLOOKUP(A4,Schlußkurse!A$5:AU$105,45,FALSE)&gt;0,IF(VLOOKUP(A4,Dividende_je_Aktie!A$3:AM$103,17,FALSE)&lt;&gt;"",VLOOKUP(A4,Dividende_je_Aktie!A$3:AM$103,17,FALSE)/VLOOKUP(A4,Schlußkurse!A$5:AU$105,45,FALSE),""),"")</f>
        <v>1.4189528783486014E-2</v>
      </c>
      <c r="N4" s="82">
        <f>IF(VLOOKUP(A4,Schlußkurse!A$5:AU$105,46,FALSE)&gt;0,IF(VLOOKUP(A4,Dividende_je_Aktie!A$3:AM$103,18,FALSE)&lt;&gt;"",VLOOKUP(A4,Dividende_je_Aktie!A$3:AM$103,18,FALSE)/VLOOKUP(A4,Schlußkurse!A$5:AU$105,46,FALSE),""),"")</f>
        <v>2.6522320944194624E-2</v>
      </c>
      <c r="O4" s="83">
        <f>IF(VLOOKUP(A4,Schlußkurse!A$5:AU$105,47,FALSE)&gt;0,IF(VLOOKUP(A4,Dividende_je_Aktie!A$3:AM$103,19,FALSE)&lt;&gt;"",VLOOKUP(A4,Dividende_je_Aktie!A$3:AM$103,19,FALSE)/VLOOKUP(A4,Schlußkurse!A$5:AU$105,47,FALSE),""),"")</f>
        <v>2.5485739312979986E-2</v>
      </c>
      <c r="P4" s="5">
        <f t="shared" ref="P4:P35" si="0">AVERAGE(C4:O4)</f>
        <v>2.7000102229904763E-2</v>
      </c>
      <c r="Q4" s="5">
        <f ca="1">VLOOKUP(A4,Dividende_je_Aktie!A$3:AM$103,24,FALSE)/VLOOKUP(A4,Schlußkurse!A$5:AU$105,35,FALSE)</f>
        <v>3.6194069909047312E-2</v>
      </c>
      <c r="R4" s="5">
        <f t="shared" ref="R4:R35" ca="1" si="1">(Q4/P4)-1</f>
        <v>0.34051603215633364</v>
      </c>
    </row>
    <row r="5" spans="1:18" x14ac:dyDescent="0.25">
      <c r="A5" t="s">
        <v>2</v>
      </c>
      <c r="B5" t="s">
        <v>3</v>
      </c>
      <c r="C5" s="81">
        <f>IF(VLOOKUP(A5,Schlußkurse!A$5:AU$105,35,FALSE)&gt;0,IF(VLOOKUP(A5,Dividende_je_Aktie!A$3:AM$103,7,FALSE)&lt;&gt;"",VLOOKUP(A5,Dividende_je_Aktie!A$3:AM$103,7,FALSE)/VLOOKUP(A5,Schlußkurse!A$5:AU$105,35,FALSE),""),"")</f>
        <v>2.8683862366660758E-2</v>
      </c>
      <c r="D5" s="82">
        <f>IF(VLOOKUP(A5,Schlußkurse!A$5:AU$105,36,FALSE)&gt;0,IF(VLOOKUP(A5,Dividende_je_Aktie!A$3:AM$103,8,FALSE)&lt;&gt;"",VLOOKUP(A5,Dividende_je_Aktie!A$3:AM$103,8,FALSE)/VLOOKUP(A5,Schlußkurse!A$5:AU$105,36,FALSE),""),"")</f>
        <v>2.6933660595135692E-2</v>
      </c>
      <c r="E5" s="82">
        <f>IF(VLOOKUP(A5,Schlußkurse!A$5:AU$105,37,FALSE)&gt;0,IF(VLOOKUP(A5,Dividende_je_Aktie!A$3:AM$103,9,FALSE)&lt;&gt;"",VLOOKUP(A5,Dividende_je_Aktie!A$3:AM$103,9,FALSE)/VLOOKUP(A5,Schlußkurse!A$5:AU$105,37,FALSE),""),"")</f>
        <v>2.8303134534483926E-2</v>
      </c>
      <c r="F5" s="82">
        <f>IF(VLOOKUP(A5,Schlußkurse!A$5:AU$105,38,FALSE)&gt;0,IF(VLOOKUP(A5,Dividende_je_Aktie!A$3:AM$103,10,FALSE)&lt;&gt;"",VLOOKUP(A5,Dividende_je_Aktie!A$3:AM$103,10,FALSE)/VLOOKUP(A5,Schlußkurse!A$5:AU$105,38,FALSE),""),"")</f>
        <v>3.46433609813201E-2</v>
      </c>
      <c r="G5" s="82">
        <f>IF(VLOOKUP(A5,Schlußkurse!A$5:AU$105,39,FALSE)&gt;0,IF(VLOOKUP(A5,Dividende_je_Aktie!A$3:AM$103,11,FALSE)&lt;&gt;"",VLOOKUP(A5,Dividende_je_Aktie!A$3:AM$103,11,FALSE)/VLOOKUP(A5,Schlußkurse!A$5:AU$105,39,FALSE),""),"")</f>
        <v>3.9364500774460694E-2</v>
      </c>
      <c r="H5" s="82">
        <f>IF(VLOOKUP(A5,Schlußkurse!A$5:AU$105,40,FALSE)&gt;0,IF(VLOOKUP(A5,Dividende_je_Aktie!A$3:AM$103,12,FALSE)&lt;&gt;"",VLOOKUP(A5,Dividende_je_Aktie!A$3:AM$103,12,FALSE)/VLOOKUP(A5,Schlußkurse!A$5:AU$105,40,FALSE),""),"")</f>
        <v>4.2310747261996365E-2</v>
      </c>
      <c r="I5" s="82">
        <f>IF(VLOOKUP(A5,Schlußkurse!A$5:AU$105,41,FALSE)&gt;0,IF(VLOOKUP(A5,Dividende_je_Aktie!A$3:AM$103,13,FALSE)&lt;&gt;"",VLOOKUP(A5,Dividende_je_Aktie!A$3:AM$103,13,FALSE)/VLOOKUP(A5,Schlußkurse!A$5:AU$105,41,FALSE),""),"")</f>
        <v>3.9787132042354248E-2</v>
      </c>
      <c r="J5" s="82">
        <f>IF(VLOOKUP(A5,Schlußkurse!A$5:AU$105,42,FALSE)&gt;0,IF(VLOOKUP(A5,Dividende_je_Aktie!A$3:AM$103,14,FALSE)&lt;&gt;"",VLOOKUP(A5,Dividende_je_Aktie!A$3:AM$103,14,FALSE)/VLOOKUP(A5,Schlußkurse!A$5:AU$105,42,FALSE),""),"")</f>
        <v>3.7041247813282774E-2</v>
      </c>
      <c r="K5" s="82">
        <f>IF(VLOOKUP(A5,Schlußkurse!A$5:AU$105,43,FALSE)&gt;0,IF(VLOOKUP(A5,Dividende_je_Aktie!A$3:AM$103,15,FALSE)&lt;&gt;"",VLOOKUP(A5,Dividende_je_Aktie!A$3:AM$103,15,FALSE)/VLOOKUP(A5,Schlußkurse!A$5:AU$105,43,FALSE),""),"")</f>
        <v>3.8422302988116726E-2</v>
      </c>
      <c r="L5" s="82">
        <f>IF(VLOOKUP(A5,Schlußkurse!A$5:AU$105,44,FALSE)&gt;0,IF(VLOOKUP(A5,Dividende_je_Aktie!A$3:AM$103,16,FALSE)&lt;&gt;"",VLOOKUP(A5,Dividende_je_Aktie!A$3:AM$103,16,FALSE)/VLOOKUP(A5,Schlußkurse!A$5:AU$105,44,FALSE),""),"")</f>
        <v>2.5916745557605168E-2</v>
      </c>
      <c r="M5" s="82">
        <f>IF(VLOOKUP(A5,Schlußkurse!A$5:AU$105,45,FALSE)&gt;0,IF(VLOOKUP(A5,Dividende_je_Aktie!A$3:AM$103,17,FALSE)&lt;&gt;"",VLOOKUP(A5,Dividende_je_Aktie!A$3:AM$103,17,FALSE)/VLOOKUP(A5,Schlußkurse!A$5:AU$105,45,FALSE),""),"")</f>
        <v>1.9252725409738325E-2</v>
      </c>
      <c r="N5" s="82">
        <f>IF(VLOOKUP(A5,Schlußkurse!A$5:AU$105,46,FALSE)&gt;0,IF(VLOOKUP(A5,Dividende_je_Aktie!A$3:AM$103,18,FALSE)&lt;&gt;"",VLOOKUP(A5,Dividende_je_Aktie!A$3:AM$103,18,FALSE)/VLOOKUP(A5,Schlußkurse!A$5:AU$105,46,FALSE),""),"")</f>
        <v>1.6746896352887557E-2</v>
      </c>
      <c r="O5" s="83">
        <f>IF(VLOOKUP(A5,Schlußkurse!A$5:AU$105,47,FALSE)&gt;0,IF(VLOOKUP(A5,Dividende_je_Aktie!A$3:AM$103,19,FALSE)&lt;&gt;"",VLOOKUP(A5,Dividende_je_Aktie!A$3:AM$103,19,FALSE)/VLOOKUP(A5,Schlußkurse!A$5:AU$105,47,FALSE),""),"")</f>
        <v>1.8307692613841017E-2</v>
      </c>
      <c r="P5" s="5">
        <f t="shared" si="0"/>
        <v>3.0439539176298717E-2</v>
      </c>
      <c r="Q5" s="5">
        <f ca="1">VLOOKUP(A5,Dividende_je_Aktie!A$3:AM$103,24,FALSE)/VLOOKUP(A5,Schlußkurse!A$5:AU$105,35,FALSE)</f>
        <v>2.7526784528819185E-2</v>
      </c>
      <c r="R5" s="5">
        <f t="shared" ca="1" si="1"/>
        <v>-9.5689840460774889E-2</v>
      </c>
    </row>
    <row r="6" spans="1:18" x14ac:dyDescent="0.25">
      <c r="A6" t="s">
        <v>4</v>
      </c>
      <c r="B6" t="s">
        <v>5</v>
      </c>
      <c r="C6" s="81">
        <f>IF(VLOOKUP(A6,Schlußkurse!A$5:AU$105,35,FALSE)&gt;0,IF(VLOOKUP(A6,Dividende_je_Aktie!A$3:AM$103,7,FALSE)&lt;&gt;"",VLOOKUP(A6,Dividende_je_Aktie!A$3:AM$103,7,FALSE)/VLOOKUP(A6,Schlußkurse!A$5:AU$105,35,FALSE),""),"")</f>
        <v>3.3233979135618485E-2</v>
      </c>
      <c r="D6" s="82">
        <f>IF(VLOOKUP(A6,Schlußkurse!A$5:AU$105,36,FALSE)&gt;0,IF(VLOOKUP(A6,Dividende_je_Aktie!A$3:AM$103,8,FALSE)&lt;&gt;"",VLOOKUP(A6,Dividende_je_Aktie!A$3:AM$103,8,FALSE)/VLOOKUP(A6,Schlußkurse!A$5:AU$105,36,FALSE),""),"")</f>
        <v>3.1259314456035775E-2</v>
      </c>
      <c r="E6" s="82">
        <f>IF(VLOOKUP(A6,Schlußkurse!A$5:AU$105,37,FALSE)&gt;0,IF(VLOOKUP(A6,Dividende_je_Aktie!A$3:AM$103,9,FALSE)&lt;&gt;"",VLOOKUP(A6,Dividende_je_Aktie!A$3:AM$103,9,FALSE)/VLOOKUP(A6,Schlußkurse!A$5:AU$105,37,FALSE),""),"")</f>
        <v>2.9640607632456469E-2</v>
      </c>
      <c r="F6" s="82">
        <f>IF(VLOOKUP(A6,Schlußkurse!A$5:AU$105,38,FALSE)&gt;0,IF(VLOOKUP(A6,Dividende_je_Aktie!A$3:AM$103,10,FALSE)&lt;&gt;"",VLOOKUP(A6,Dividende_je_Aktie!A$3:AM$103,10,FALSE)/VLOOKUP(A6,Schlußkurse!A$5:AU$105,38,FALSE),""),"")</f>
        <v>3.1300160513643663E-2</v>
      </c>
      <c r="G6" s="82">
        <f>IF(VLOOKUP(A6,Schlußkurse!A$5:AU$105,39,FALSE)&gt;0,IF(VLOOKUP(A6,Dividende_je_Aktie!A$3:AM$103,11,FALSE)&lt;&gt;"",VLOOKUP(A6,Dividende_je_Aktie!A$3:AM$103,11,FALSE)/VLOOKUP(A6,Schlußkurse!A$5:AU$105,39,FALSE),""),"")</f>
        <v>3.9945652173913042E-2</v>
      </c>
      <c r="H6" s="82">
        <f>IF(VLOOKUP(A6,Schlußkurse!A$5:AU$105,40,FALSE)&gt;0,IF(VLOOKUP(A6,Dividende_je_Aktie!A$3:AM$103,12,FALSE)&lt;&gt;"",VLOOKUP(A6,Dividende_je_Aktie!A$3:AM$103,12,FALSE)/VLOOKUP(A6,Schlußkurse!A$5:AU$105,40,FALSE),""),"")</f>
        <v>4.2713567839195984E-2</v>
      </c>
      <c r="I6" s="82">
        <f>IF(VLOOKUP(A6,Schlußkurse!A$5:AU$105,41,FALSE)&gt;0,IF(VLOOKUP(A6,Dividende_je_Aktie!A$3:AM$103,13,FALSE)&lt;&gt;"",VLOOKUP(A6,Dividende_je_Aktie!A$3:AM$103,13,FALSE)/VLOOKUP(A6,Schlußkurse!A$5:AU$105,41,FALSE),""),"")</f>
        <v>4.8175182481751823E-2</v>
      </c>
      <c r="J6" s="82">
        <f>IF(VLOOKUP(A6,Schlußkurse!A$5:AU$105,42,FALSE)&gt;0,IF(VLOOKUP(A6,Dividende_je_Aktie!A$3:AM$103,14,FALSE)&lt;&gt;"",VLOOKUP(A6,Dividende_je_Aktie!A$3:AM$103,14,FALSE)/VLOOKUP(A6,Schlußkurse!A$5:AU$105,42,FALSE),""),"")</f>
        <v>3.4129692832764506E-2</v>
      </c>
      <c r="K6" s="82">
        <f>IF(VLOOKUP(A6,Schlußkurse!A$5:AU$105,43,FALSE)&gt;0,IF(VLOOKUP(A6,Dividende_je_Aktie!A$3:AM$103,15,FALSE)&lt;&gt;"",VLOOKUP(A6,Dividende_je_Aktie!A$3:AM$103,15,FALSE)/VLOOKUP(A6,Schlußkurse!A$5:AU$105,43,FALSE),""),"")</f>
        <v>3.0769230769230771E-2</v>
      </c>
      <c r="L6" s="82">
        <f>IF(VLOOKUP(A6,Schlußkurse!A$5:AU$105,44,FALSE)&gt;0,IF(VLOOKUP(A6,Dividende_je_Aktie!A$3:AM$103,16,FALSE)&lt;&gt;"",VLOOKUP(A6,Dividende_je_Aktie!A$3:AM$103,16,FALSE)/VLOOKUP(A6,Schlußkurse!A$5:AU$105,44,FALSE),""),"")</f>
        <v>2.3517382413087932E-2</v>
      </c>
      <c r="M6" s="82">
        <f>IF(VLOOKUP(A6,Schlußkurse!A$5:AU$105,45,FALSE)&gt;0,IF(VLOOKUP(A6,Dividende_je_Aktie!A$3:AM$103,17,FALSE)&lt;&gt;"",VLOOKUP(A6,Dividende_je_Aktie!A$3:AM$103,17,FALSE)/VLOOKUP(A6,Schlußkurse!A$5:AU$105,45,FALSE),""),"")</f>
        <v>1.5560640732265445E-2</v>
      </c>
      <c r="N6" s="82">
        <f>IF(VLOOKUP(A6,Schlußkurse!A$5:AU$105,46,FALSE)&gt;0,IF(VLOOKUP(A6,Dividende_je_Aktie!A$3:AM$103,18,FALSE)&lt;&gt;"",VLOOKUP(A6,Dividende_je_Aktie!A$3:AM$103,18,FALSE)/VLOOKUP(A6,Schlußkurse!A$5:AU$105,46,FALSE),""),"")</f>
        <v>1.2671059300557525E-2</v>
      </c>
      <c r="O6" s="83">
        <f>IF(VLOOKUP(A6,Schlußkurse!A$5:AU$105,47,FALSE)&gt;0,IF(VLOOKUP(A6,Dividende_je_Aktie!A$3:AM$103,19,FALSE)&lt;&gt;"",VLOOKUP(A6,Dividende_je_Aktie!A$3:AM$103,19,FALSE)/VLOOKUP(A6,Schlußkurse!A$5:AU$105,47,FALSE),""),"")</f>
        <v>1.5278838808250572E-2</v>
      </c>
      <c r="P6" s="5">
        <f t="shared" si="0"/>
        <v>2.9861177622213235E-2</v>
      </c>
      <c r="Q6" s="5">
        <f ca="1">VLOOKUP(A6,Dividende_je_Aktie!A$3:AM$103,24,FALSE)/VLOOKUP(A6,Schlußkurse!A$5:AU$105,35,FALSE)</f>
        <v>3.1928506375227692E-2</v>
      </c>
      <c r="R6" s="5">
        <f t="shared" ca="1" si="1"/>
        <v>6.9231320317273859E-2</v>
      </c>
    </row>
    <row r="7" spans="1:18" x14ac:dyDescent="0.25">
      <c r="A7" t="s">
        <v>6</v>
      </c>
      <c r="B7" t="s">
        <v>7</v>
      </c>
      <c r="C7" s="81">
        <f>IF(VLOOKUP(A7,Schlußkurse!A$5:AU$105,35,FALSE)&gt;0,IF(VLOOKUP(A7,Dividende_je_Aktie!A$3:AM$103,7,FALSE)&lt;&gt;"",VLOOKUP(A7,Dividende_je_Aktie!A$3:AM$103,7,FALSE)/VLOOKUP(A7,Schlußkurse!A$5:AU$105,35,FALSE),""),"")</f>
        <v>3.2377049180327869E-2</v>
      </c>
      <c r="D7" s="82">
        <f>IF(VLOOKUP(A7,Schlußkurse!A$5:AU$105,36,FALSE)&gt;0,IF(VLOOKUP(A7,Dividende_je_Aktie!A$3:AM$103,8,FALSE)&lt;&gt;"",VLOOKUP(A7,Dividende_je_Aktie!A$3:AM$103,8,FALSE)/VLOOKUP(A7,Schlußkurse!A$5:AU$105,36,FALSE),""),"")</f>
        <v>3.0874316939890706E-2</v>
      </c>
      <c r="E7" s="82">
        <f>IF(VLOOKUP(A7,Schlußkurse!A$5:AU$105,37,FALSE)&gt;0,IF(VLOOKUP(A7,Dividende_je_Aktie!A$3:AM$103,9,FALSE)&lt;&gt;"",VLOOKUP(A7,Dividende_je_Aktie!A$3:AM$103,9,FALSE)/VLOOKUP(A7,Schlußkurse!A$5:AU$105,37,FALSE),""),"")</f>
        <v>3.015764222069911E-2</v>
      </c>
      <c r="F7" s="82">
        <f>IF(VLOOKUP(A7,Schlußkurse!A$5:AU$105,38,FALSE)&gt;0,IF(VLOOKUP(A7,Dividende_je_Aktie!A$3:AM$103,10,FALSE)&lt;&gt;"",VLOOKUP(A7,Dividende_je_Aktie!A$3:AM$103,10,FALSE)/VLOOKUP(A7,Schlußkurse!A$5:AU$105,38,FALSE),""),"")</f>
        <v>3.2924961715160794E-2</v>
      </c>
      <c r="G7" s="82">
        <f>IF(VLOOKUP(A7,Schlußkurse!A$5:AU$105,39,FALSE)&gt;0,IF(VLOOKUP(A7,Dividende_je_Aktie!A$3:AM$103,11,FALSE)&lt;&gt;"",VLOOKUP(A7,Dividende_je_Aktie!A$3:AM$103,11,FALSE)/VLOOKUP(A7,Schlußkurse!A$5:AU$105,39,FALSE),""),"")</f>
        <v>3.4395973154362415E-2</v>
      </c>
      <c r="H7" s="82">
        <f>IF(VLOOKUP(A7,Schlußkurse!A$5:AU$105,40,FALSE)&gt;0,IF(VLOOKUP(A7,Dividende_je_Aktie!A$3:AM$103,12,FALSE)&lt;&gt;"",VLOOKUP(A7,Dividende_je_Aktie!A$3:AM$103,12,FALSE)/VLOOKUP(A7,Schlußkurse!A$5:AU$105,40,FALSE),""),"")</f>
        <v>3.6111111111111108E-2</v>
      </c>
      <c r="I7" s="82">
        <f>IF(VLOOKUP(A7,Schlußkurse!A$5:AU$105,41,FALSE)&gt;0,IF(VLOOKUP(A7,Dividende_je_Aktie!A$3:AM$103,13,FALSE)&lt;&gt;"",VLOOKUP(A7,Dividende_je_Aktie!A$3:AM$103,13,FALSE)/VLOOKUP(A7,Schlußkurse!A$5:AU$105,41,FALSE),""),"")</f>
        <v>3.3789954337899546E-2</v>
      </c>
      <c r="J7" s="82">
        <f>IF(VLOOKUP(A7,Schlußkurse!A$5:AU$105,42,FALSE)&gt;0,IF(VLOOKUP(A7,Dividende_je_Aktie!A$3:AM$103,14,FALSE)&lt;&gt;"",VLOOKUP(A7,Dividende_je_Aktie!A$3:AM$103,14,FALSE)/VLOOKUP(A7,Schlußkurse!A$5:AU$105,42,FALSE),""),"")</f>
        <v>3.1872509960159362E-2</v>
      </c>
      <c r="K7" s="82">
        <f>IF(VLOOKUP(A7,Schlußkurse!A$5:AU$105,43,FALSE)&gt;0,IF(VLOOKUP(A7,Dividende_je_Aktie!A$3:AM$103,15,FALSE)&lt;&gt;"",VLOOKUP(A7,Dividende_je_Aktie!A$3:AM$103,15,FALSE)/VLOOKUP(A7,Schlußkurse!A$5:AU$105,43,FALSE),""),"")</f>
        <v>3.3653846153846152E-2</v>
      </c>
      <c r="L7" s="82">
        <f>IF(VLOOKUP(A7,Schlußkurse!A$5:AU$105,44,FALSE)&gt;0,IF(VLOOKUP(A7,Dividende_je_Aktie!A$3:AM$103,16,FALSE)&lt;&gt;"",VLOOKUP(A7,Dividende_je_Aktie!A$3:AM$103,16,FALSE)/VLOOKUP(A7,Schlußkurse!A$5:AU$105,44,FALSE),""),"")</f>
        <v>2.3461538461538461E-2</v>
      </c>
      <c r="M7" s="82">
        <f>IF(VLOOKUP(A7,Schlußkurse!A$5:AU$105,45,FALSE)&gt;0,IF(VLOOKUP(A7,Dividende_je_Aktie!A$3:AM$103,17,FALSE)&lt;&gt;"",VLOOKUP(A7,Dividende_je_Aktie!A$3:AM$103,17,FALSE)/VLOOKUP(A7,Schlußkurse!A$5:AU$105,45,FALSE),""),"")</f>
        <v>2.4018475750577369E-2</v>
      </c>
      <c r="N7" s="82">
        <f>IF(VLOOKUP(A7,Schlußkurse!A$5:AU$105,46,FALSE)&gt;0,IF(VLOOKUP(A7,Dividende_je_Aktie!A$3:AM$103,18,FALSE)&lt;&gt;"",VLOOKUP(A7,Dividende_je_Aktie!A$3:AM$103,18,FALSE)/VLOOKUP(A7,Schlußkurse!A$5:AU$105,46,FALSE),""),"")</f>
        <v>2.2900763358778629E-2</v>
      </c>
      <c r="O7" s="83">
        <f>IF(VLOOKUP(A7,Schlußkurse!A$5:AU$105,47,FALSE)&gt;0,IF(VLOOKUP(A7,Dividende_je_Aktie!A$3:AM$103,19,FALSE)&lt;&gt;"",VLOOKUP(A7,Dividende_je_Aktie!A$3:AM$103,19,FALSE)/VLOOKUP(A7,Schlußkurse!A$5:AU$105,47,FALSE),""),"")</f>
        <v>2.689075630252101E-2</v>
      </c>
      <c r="P7" s="5">
        <f t="shared" si="0"/>
        <v>3.0263761434374814E-2</v>
      </c>
      <c r="Q7" s="5">
        <f ca="1">VLOOKUP(A7,Dividende_je_Aktie!A$3:AM$103,24,FALSE)/VLOOKUP(A7,Schlußkurse!A$5:AU$105,35,FALSE)</f>
        <v>3.1383576199149964E-2</v>
      </c>
      <c r="R7" s="5">
        <f t="shared" ca="1" si="1"/>
        <v>3.7001836906605412E-2</v>
      </c>
    </row>
    <row r="8" spans="1:18" x14ac:dyDescent="0.25">
      <c r="A8" t="s">
        <v>8</v>
      </c>
      <c r="B8" t="s">
        <v>9</v>
      </c>
      <c r="C8" s="81">
        <f>IF(VLOOKUP(A8,Schlußkurse!A$5:AU$105,35,FALSE)&gt;0,IF(VLOOKUP(A8,Dividende_je_Aktie!A$3:AM$103,7,FALSE)&lt;&gt;"",VLOOKUP(A8,Dividende_je_Aktie!A$3:AM$103,7,FALSE)/VLOOKUP(A8,Schlußkurse!A$5:AU$105,35,FALSE),""),"")</f>
        <v>1.0038610038610039E-2</v>
      </c>
      <c r="D8" s="82">
        <f>IF(VLOOKUP(A8,Schlußkurse!A$5:AU$105,36,FALSE)&gt;0,IF(VLOOKUP(A8,Dividende_je_Aktie!A$3:AM$103,8,FALSE)&lt;&gt;"",VLOOKUP(A8,Dividende_je_Aktie!A$3:AM$103,8,FALSE)/VLOOKUP(A8,Schlußkurse!A$5:AU$105,36,FALSE),""),"")</f>
        <v>9.6525096525096523E-3</v>
      </c>
      <c r="E8" s="82">
        <f>IF(VLOOKUP(A8,Schlußkurse!A$5:AU$105,37,FALSE)&gt;0,IF(VLOOKUP(A8,Dividende_je_Aktie!A$3:AM$103,9,FALSE)&lt;&gt;"",VLOOKUP(A8,Dividende_je_Aktie!A$3:AM$103,9,FALSE)/VLOOKUP(A8,Schlußkurse!A$5:AU$105,37,FALSE),""),"")</f>
        <v>1.0382675763868287E-2</v>
      </c>
      <c r="F8" s="82">
        <f>IF(VLOOKUP(A8,Schlußkurse!A$5:AU$105,38,FALSE)&gt;0,IF(VLOOKUP(A8,Dividende_je_Aktie!A$3:AM$103,10,FALSE)&lt;&gt;"",VLOOKUP(A8,Dividende_je_Aktie!A$3:AM$103,10,FALSE)/VLOOKUP(A8,Schlußkurse!A$5:AU$105,38,FALSE),""),"")</f>
        <v>9.5057034220532317E-3</v>
      </c>
      <c r="G8" s="82">
        <f>IF(VLOOKUP(A8,Schlußkurse!A$5:AU$105,39,FALSE)&gt;0,IF(VLOOKUP(A8,Dividende_je_Aktie!A$3:AM$103,11,FALSE)&lt;&gt;"",VLOOKUP(A8,Dividende_je_Aktie!A$3:AM$103,11,FALSE)/VLOOKUP(A8,Schlußkurse!A$5:AU$105,39,FALSE),""),"")</f>
        <v>1.1312217194570134E-2</v>
      </c>
      <c r="H8" s="82">
        <f>IF(VLOOKUP(A8,Schlußkurse!A$5:AU$105,40,FALSE)&gt;0,IF(VLOOKUP(A8,Dividende_je_Aktie!A$3:AM$103,12,FALSE)&lt;&gt;"",VLOOKUP(A8,Dividende_je_Aktie!A$3:AM$103,12,FALSE)/VLOOKUP(A8,Schlußkurse!A$5:AU$105,40,FALSE),""),"")</f>
        <v>1.5974440894568689E-2</v>
      </c>
      <c r="I8" s="82">
        <f>IF(VLOOKUP(A8,Schlußkurse!A$5:AU$105,41,FALSE)&gt;0,IF(VLOOKUP(A8,Dividende_je_Aktie!A$3:AM$103,13,FALSE)&lt;&gt;"",VLOOKUP(A8,Dividende_je_Aktie!A$3:AM$103,13,FALSE)/VLOOKUP(A8,Schlußkurse!A$5:AU$105,41,FALSE),""),"")</f>
        <v>1.6857314870559904E-2</v>
      </c>
      <c r="J8" s="82">
        <f>IF(VLOOKUP(A8,Schlußkurse!A$5:AU$105,42,FALSE)&gt;0,IF(VLOOKUP(A8,Dividende_je_Aktie!A$3:AM$103,14,FALSE)&lt;&gt;"",VLOOKUP(A8,Dividende_je_Aktie!A$3:AM$103,14,FALSE)/VLOOKUP(A8,Schlußkurse!A$5:AU$105,42,FALSE),""),"")</f>
        <v>1.5240583496625298E-2</v>
      </c>
      <c r="K8" s="82">
        <f>IF(VLOOKUP(A8,Schlußkurse!A$5:AU$105,43,FALSE)&gt;0,IF(VLOOKUP(A8,Dividende_je_Aktie!A$3:AM$103,15,FALSE)&lt;&gt;"",VLOOKUP(A8,Dividende_je_Aktie!A$3:AM$103,15,FALSE)/VLOOKUP(A8,Schlußkurse!A$5:AU$105,43,FALSE),""),"")</f>
        <v>2.1428571428571429E-2</v>
      </c>
      <c r="L8" s="82">
        <f>IF(VLOOKUP(A8,Schlußkurse!A$5:AU$105,44,FALSE)&gt;0,IF(VLOOKUP(A8,Dividende_je_Aktie!A$3:AM$103,16,FALSE)&lt;&gt;"",VLOOKUP(A8,Dividende_je_Aktie!A$3:AM$103,16,FALSE)/VLOOKUP(A8,Schlußkurse!A$5:AU$105,44,FALSE),""),"")</f>
        <v>1.320754716981132E-2</v>
      </c>
      <c r="M8" s="82">
        <f>IF(VLOOKUP(A8,Schlußkurse!A$5:AU$105,45,FALSE)&gt;0,IF(VLOOKUP(A8,Dividende_je_Aktie!A$3:AM$103,17,FALSE)&lt;&gt;"",VLOOKUP(A8,Dividende_je_Aktie!A$3:AM$103,17,FALSE)/VLOOKUP(A8,Schlußkurse!A$5:AU$105,45,FALSE),""),"")</f>
        <v>1.2214983713355049E-2</v>
      </c>
      <c r="N8" s="82">
        <f>IF(VLOOKUP(A8,Schlußkurse!A$5:AU$105,46,FALSE)&gt;0,IF(VLOOKUP(A8,Dividende_je_Aktie!A$3:AM$103,18,FALSE)&lt;&gt;"",VLOOKUP(A8,Dividende_je_Aktie!A$3:AM$103,18,FALSE)/VLOOKUP(A8,Schlußkurse!A$5:AU$105,46,FALSE),""),"")</f>
        <v>1.6442291882411652E-2</v>
      </c>
      <c r="O8" s="83">
        <f>IF(VLOOKUP(A8,Schlußkurse!A$5:AU$105,47,FALSE)&gt;0,IF(VLOOKUP(A8,Dividende_je_Aktie!A$3:AM$103,19,FALSE)&lt;&gt;"",VLOOKUP(A8,Dividende_je_Aktie!A$3:AM$103,19,FALSE)/VLOOKUP(A8,Schlußkurse!A$5:AU$105,47,FALSE),""),"")</f>
        <v>1.8574788054658942E-2</v>
      </c>
      <c r="P8" s="5">
        <f t="shared" si="0"/>
        <v>1.3910172121705663E-2</v>
      </c>
      <c r="Q8" s="5">
        <f ca="1">VLOOKUP(A8,Dividende_je_Aktie!A$3:AM$103,24,FALSE)/VLOOKUP(A8,Schlußkurse!A$5:AU$105,35,FALSE)</f>
        <v>9.7833547833547831E-3</v>
      </c>
      <c r="R8" s="5">
        <f t="shared" ca="1" si="1"/>
        <v>-0.2966762238629187</v>
      </c>
    </row>
    <row r="9" spans="1:18" x14ac:dyDescent="0.25">
      <c r="A9" t="s">
        <v>10</v>
      </c>
      <c r="B9" t="s">
        <v>11</v>
      </c>
      <c r="C9" s="81">
        <f>IF(VLOOKUP(A9,Schlußkurse!A$5:AU$105,35,FALSE)&gt;0,IF(VLOOKUP(A9,Dividende_je_Aktie!A$3:AM$103,7,FALSE)&lt;&gt;"",VLOOKUP(A9,Dividende_je_Aktie!A$3:AM$103,7,FALSE)/VLOOKUP(A9,Schlußkurse!A$5:AU$105,35,FALSE),""),"")</f>
        <v>3.462461432979088E-2</v>
      </c>
      <c r="D9" s="82">
        <f>IF(VLOOKUP(A9,Schlußkurse!A$5:AU$105,36,FALSE)&gt;0,IF(VLOOKUP(A9,Dividende_je_Aktie!A$3:AM$103,8,FALSE)&lt;&gt;"",VLOOKUP(A9,Dividende_je_Aktie!A$3:AM$103,8,FALSE)/VLOOKUP(A9,Schlußkurse!A$5:AU$105,36,FALSE),""),"")</f>
        <v>3.1196434693177923E-2</v>
      </c>
      <c r="E9" s="82">
        <f>IF(VLOOKUP(A9,Schlußkurse!A$5:AU$105,37,FALSE)&gt;0,IF(VLOOKUP(A9,Dividende_je_Aktie!A$3:AM$103,9,FALSE)&lt;&gt;"",VLOOKUP(A9,Dividende_je_Aktie!A$3:AM$103,9,FALSE)/VLOOKUP(A9,Schlußkurse!A$5:AU$105,37,FALSE),""),"")</f>
        <v>3.142909964873359E-2</v>
      </c>
      <c r="F9" s="82">
        <f>IF(VLOOKUP(A9,Schlußkurse!A$5:AU$105,38,FALSE)&gt;0,IF(VLOOKUP(A9,Dividende_je_Aktie!A$3:AM$103,10,FALSE)&lt;&gt;"",VLOOKUP(A9,Dividende_je_Aktie!A$3:AM$103,10,FALSE)/VLOOKUP(A9,Schlußkurse!A$5:AU$105,38,FALSE),""),"")</f>
        <v>3.0188679245283019E-2</v>
      </c>
      <c r="G9" s="82">
        <f>IF(VLOOKUP(A9,Schlußkurse!A$5:AU$105,39,FALSE)&gt;0,IF(VLOOKUP(A9,Dividende_je_Aktie!A$3:AM$103,11,FALSE)&lt;&gt;"",VLOOKUP(A9,Dividende_je_Aktie!A$3:AM$103,11,FALSE)/VLOOKUP(A9,Schlußkurse!A$5:AU$105,39,FALSE),""),"")</f>
        <v>4.2168674698795178E-2</v>
      </c>
      <c r="H9" s="82">
        <f>IF(VLOOKUP(A9,Schlußkurse!A$5:AU$105,40,FALSE)&gt;0,IF(VLOOKUP(A9,Dividende_je_Aktie!A$3:AM$103,12,FALSE)&lt;&gt;"",VLOOKUP(A9,Dividende_je_Aktie!A$3:AM$103,12,FALSE)/VLOOKUP(A9,Schlußkurse!A$5:AU$105,40,FALSE),""),"")</f>
        <v>5.8922558922558918E-2</v>
      </c>
      <c r="I9" s="82">
        <f>IF(VLOOKUP(A9,Schlußkurse!A$5:AU$105,41,FALSE)&gt;0,IF(VLOOKUP(A9,Dividende_je_Aktie!A$3:AM$103,13,FALSE)&lt;&gt;"",VLOOKUP(A9,Dividende_je_Aktie!A$3:AM$103,13,FALSE)/VLOOKUP(A9,Schlußkurse!A$5:AU$105,41,FALSE),""),"")</f>
        <v>5.1181102362204731E-2</v>
      </c>
      <c r="J9" s="82">
        <f>IF(VLOOKUP(A9,Schlußkurse!A$5:AU$105,42,FALSE)&gt;0,IF(VLOOKUP(A9,Dividende_je_Aktie!A$3:AM$103,14,FALSE)&lt;&gt;"",VLOOKUP(A9,Dividende_je_Aktie!A$3:AM$103,14,FALSE)/VLOOKUP(A9,Schlußkurse!A$5:AU$105,42,FALSE),""),"")</f>
        <v>4.449388209121246E-2</v>
      </c>
      <c r="K9" s="82">
        <f>IF(VLOOKUP(A9,Schlußkurse!A$5:AU$105,43,FALSE)&gt;0,IF(VLOOKUP(A9,Dividende_je_Aktie!A$3:AM$103,15,FALSE)&lt;&gt;"",VLOOKUP(A9,Dividende_je_Aktie!A$3:AM$103,15,FALSE)/VLOOKUP(A9,Schlußkurse!A$5:AU$105,43,FALSE),""),"")</f>
        <v>5.037783375314861E-2</v>
      </c>
      <c r="L9" s="82">
        <f>IF(VLOOKUP(A9,Schlußkurse!A$5:AU$105,44,FALSE)&gt;0,IF(VLOOKUP(A9,Dividende_je_Aktie!A$3:AM$103,16,FALSE)&lt;&gt;"",VLOOKUP(A9,Dividende_je_Aktie!A$3:AM$103,16,FALSE)/VLOOKUP(A9,Schlußkurse!A$5:AU$105,44,FALSE),""),"")</f>
        <v>3.8281582305401955E-2</v>
      </c>
      <c r="M9" s="82">
        <f>IF(VLOOKUP(A9,Schlußkurse!A$5:AU$105,45,FALSE)&gt;0,IF(VLOOKUP(A9,Dividende_je_Aktie!A$3:AM$103,17,FALSE)&lt;&gt;"",VLOOKUP(A9,Dividende_je_Aktie!A$3:AM$103,17,FALSE)/VLOOKUP(A9,Schlußkurse!A$5:AU$105,45,FALSE),""),"")</f>
        <v>3.2837127845884412E-2</v>
      </c>
      <c r="N9" s="82">
        <f>IF(VLOOKUP(A9,Schlußkurse!A$5:AU$105,46,FALSE)&gt;0,IF(VLOOKUP(A9,Dividende_je_Aktie!A$3:AM$103,18,FALSE)&lt;&gt;"",VLOOKUP(A9,Dividende_je_Aktie!A$3:AM$103,18,FALSE)/VLOOKUP(A9,Schlußkurse!A$5:AU$105,46,FALSE),""),"")</f>
        <v>3.41796875E-2</v>
      </c>
      <c r="O9" s="83">
        <f>IF(VLOOKUP(A9,Schlußkurse!A$5:AU$105,47,FALSE)&gt;0,IF(VLOOKUP(A9,Dividende_je_Aktie!A$3:AM$103,19,FALSE)&lt;&gt;"",VLOOKUP(A9,Dividende_je_Aktie!A$3:AM$103,19,FALSE)/VLOOKUP(A9,Schlußkurse!A$5:AU$105,47,FALSE),""),"")</f>
        <v>2.9585798816568049E-2</v>
      </c>
      <c r="P9" s="5">
        <f t="shared" si="0"/>
        <v>3.9189775093289213E-2</v>
      </c>
      <c r="Q9" s="5">
        <f ca="1">VLOOKUP(A9,Dividende_je_Aktie!A$3:AM$103,24,FALSE)/VLOOKUP(A9,Schlußkurse!A$5:AU$105,35,FALSE)</f>
        <v>3.2358206681141199E-2</v>
      </c>
      <c r="R9" s="5">
        <f t="shared" ca="1" si="1"/>
        <v>-0.17432017397103761</v>
      </c>
    </row>
    <row r="10" spans="1:18" x14ac:dyDescent="0.25">
      <c r="A10" t="s">
        <v>12</v>
      </c>
      <c r="B10" t="s">
        <v>13</v>
      </c>
      <c r="C10" s="81">
        <f>IF(VLOOKUP(A10,Schlußkurse!A$5:AU$105,35,FALSE)&gt;0,IF(VLOOKUP(A10,Dividende_je_Aktie!A$3:AM$103,7,FALSE)&lt;&gt;"",VLOOKUP(A10,Dividende_je_Aktie!A$3:AM$103,7,FALSE)/VLOOKUP(A10,Schlußkurse!A$5:AU$105,35,FALSE),""),"")</f>
        <v>3.5757575757575759E-2</v>
      </c>
      <c r="D10" s="82">
        <f>IF(VLOOKUP(A10,Schlußkurse!A$5:AU$105,36,FALSE)&gt;0,IF(VLOOKUP(A10,Dividende_je_Aktie!A$3:AM$103,8,FALSE)&lt;&gt;"",VLOOKUP(A10,Dividende_je_Aktie!A$3:AM$103,8,FALSE)/VLOOKUP(A10,Schlußkurse!A$5:AU$105,36,FALSE),""),"")</f>
        <v>3.272727272727273E-2</v>
      </c>
      <c r="E10" s="82">
        <f>IF(VLOOKUP(A10,Schlußkurse!A$5:AU$105,37,FALSE)&gt;0,IF(VLOOKUP(A10,Dividende_je_Aktie!A$3:AM$103,9,FALSE)&lt;&gt;"",VLOOKUP(A10,Dividende_je_Aktie!A$3:AM$103,9,FALSE)/VLOOKUP(A10,Schlußkurse!A$5:AU$105,37,FALSE),""),"")</f>
        <v>3.7735849056603772E-2</v>
      </c>
      <c r="F10" s="82">
        <f>IF(VLOOKUP(A10,Schlußkurse!A$5:AU$105,38,FALSE)&gt;0,IF(VLOOKUP(A10,Dividende_je_Aktie!A$3:AM$103,10,FALSE)&lt;&gt;"",VLOOKUP(A10,Dividende_je_Aktie!A$3:AM$103,10,FALSE)/VLOOKUP(A10,Schlußkurse!A$5:AU$105,38,FALSE),""),"")</f>
        <v>4.0225261464199517E-2</v>
      </c>
      <c r="G10" s="82">
        <f>IF(VLOOKUP(A10,Schlußkurse!A$5:AU$105,39,FALSE)&gt;0,IF(VLOOKUP(A10,Dividende_je_Aktie!A$3:AM$103,11,FALSE)&lt;&gt;"",VLOOKUP(A10,Dividende_je_Aktie!A$3:AM$103,11,FALSE)/VLOOKUP(A10,Schlußkurse!A$5:AU$105,39,FALSE),""),"")</f>
        <v>8.144269924374635E-2</v>
      </c>
      <c r="H10" s="82">
        <f>IF(VLOOKUP(A10,Schlußkurse!A$5:AU$105,40,FALSE)&gt;0,IF(VLOOKUP(A10,Dividende_je_Aktie!A$3:AM$103,12,FALSE)&lt;&gt;"",VLOOKUP(A10,Dividende_je_Aktie!A$3:AM$103,12,FALSE)/VLOOKUP(A10,Schlußkurse!A$5:AU$105,40,FALSE),""),"")</f>
        <v>7.8962210941906363E-2</v>
      </c>
      <c r="I10" s="82">
        <f>IF(VLOOKUP(A10,Schlußkurse!A$5:AU$105,41,FALSE)&gt;0,IF(VLOOKUP(A10,Dividende_je_Aktie!A$3:AM$103,13,FALSE)&lt;&gt;"",VLOOKUP(A10,Dividende_je_Aktie!A$3:AM$103,13,FALSE)/VLOOKUP(A10,Schlußkurse!A$5:AU$105,41,FALSE),""),"")</f>
        <v>7.2501294665976185E-2</v>
      </c>
      <c r="J10" s="82">
        <f>IF(VLOOKUP(A10,Schlußkurse!A$5:AU$105,42,FALSE)&gt;0,IF(VLOOKUP(A10,Dividende_je_Aktie!A$3:AM$103,14,FALSE)&lt;&gt;"",VLOOKUP(A10,Dividende_je_Aktie!A$3:AM$103,14,FALSE)/VLOOKUP(A10,Schlußkurse!A$5:AU$105,42,FALSE),""),"")</f>
        <v>7.5801749271137031E-2</v>
      </c>
      <c r="K10" s="82">
        <f>IF(VLOOKUP(A10,Schlußkurse!A$5:AU$105,43,FALSE)&gt;0,IF(VLOOKUP(A10,Dividende_je_Aktie!A$3:AM$103,15,FALSE)&lt;&gt;"",VLOOKUP(A10,Dividende_je_Aktie!A$3:AM$103,15,FALSE)/VLOOKUP(A10,Schlußkurse!A$5:AU$105,43,FALSE),""),"")</f>
        <v>7.2558139534883728E-2</v>
      </c>
      <c r="L10" s="82">
        <f>IF(VLOOKUP(A10,Schlußkurse!A$5:AU$105,44,FALSE)&gt;0,IF(VLOOKUP(A10,Dividende_je_Aktie!A$3:AM$103,16,FALSE)&lt;&gt;"",VLOOKUP(A10,Dividende_je_Aktie!A$3:AM$103,16,FALSE)/VLOOKUP(A10,Schlußkurse!A$5:AU$105,44,FALSE),""),"")</f>
        <v>5.1930758988015982E-2</v>
      </c>
      <c r="M10" s="82">
        <f>IF(VLOOKUP(A10,Schlußkurse!A$5:AU$105,45,FALSE)&gt;0,IF(VLOOKUP(A10,Dividende_je_Aktie!A$3:AM$103,17,FALSE)&lt;&gt;"",VLOOKUP(A10,Dividende_je_Aktie!A$3:AM$103,17,FALSE)/VLOOKUP(A10,Schlußkurse!A$5:AU$105,45,FALSE),""),"")</f>
        <v>5.2023121387283239E-2</v>
      </c>
      <c r="N10" s="82">
        <f>IF(VLOOKUP(A10,Schlußkurse!A$5:AU$105,46,FALSE)&gt;0,IF(VLOOKUP(A10,Dividende_je_Aktie!A$3:AM$103,18,FALSE)&lt;&gt;"",VLOOKUP(A10,Dividende_je_Aktie!A$3:AM$103,18,FALSE)/VLOOKUP(A10,Schlußkurse!A$5:AU$105,46,FALSE),""),"")</f>
        <v>5.1136363636363633E-2</v>
      </c>
      <c r="O10" s="83">
        <f>IF(VLOOKUP(A10,Schlußkurse!A$5:AU$105,47,FALSE)&gt;0,IF(VLOOKUP(A10,Dividende_je_Aktie!A$3:AM$103,19,FALSE)&lt;&gt;"",VLOOKUP(A10,Dividende_je_Aktie!A$3:AM$103,19,FALSE)/VLOOKUP(A10,Schlußkurse!A$5:AU$105,47,FALSE),""),"")</f>
        <v>3.7237237237237243E-2</v>
      </c>
      <c r="P10" s="5">
        <f t="shared" si="0"/>
        <v>5.5387656454784745E-2</v>
      </c>
      <c r="Q10" s="5">
        <f ca="1">VLOOKUP(A10,Dividende_je_Aktie!A$3:AM$103,24,FALSE)/VLOOKUP(A10,Schlußkurse!A$5:AU$105,35,FALSE)</f>
        <v>3.3754208754208759E-2</v>
      </c>
      <c r="R10" s="5">
        <f t="shared" ca="1" si="1"/>
        <v>-0.39058247063109219</v>
      </c>
    </row>
    <row r="11" spans="1:18" x14ac:dyDescent="0.25">
      <c r="A11" t="s">
        <v>14</v>
      </c>
      <c r="B11" t="s">
        <v>15</v>
      </c>
      <c r="C11" s="81">
        <f>IF(VLOOKUP(A11,Schlußkurse!A$5:AU$105,35,FALSE)&gt;0,IF(VLOOKUP(A11,Dividende_je_Aktie!A$3:AM$103,7,FALSE)&lt;&gt;"",VLOOKUP(A11,Dividende_je_Aktie!A$3:AM$103,7,FALSE)/VLOOKUP(A11,Schlußkurse!A$5:AU$105,35,FALSE),""),"")</f>
        <v>1.7779073156514134E-2</v>
      </c>
      <c r="D11" s="82">
        <f>IF(VLOOKUP(A11,Schlußkurse!A$5:AU$105,36,FALSE)&gt;0,IF(VLOOKUP(A11,Dividende_je_Aktie!A$3:AM$103,8,FALSE)&lt;&gt;"",VLOOKUP(A11,Dividende_je_Aktie!A$3:AM$103,8,FALSE)/VLOOKUP(A11,Schlußkurse!A$5:AU$105,36,FALSE),""),"")</f>
        <v>1.6613232293791896E-2</v>
      </c>
      <c r="E11" s="82">
        <f>IF(VLOOKUP(A11,Schlußkurse!A$5:AU$105,37,FALSE)&gt;0,IF(VLOOKUP(A11,Dividende_je_Aktie!A$3:AM$103,9,FALSE)&lt;&gt;"",VLOOKUP(A11,Dividende_je_Aktie!A$3:AM$103,9,FALSE)/VLOOKUP(A11,Schlußkurse!A$5:AU$105,37,FALSE),""),"")</f>
        <v>1.8880878819086854E-2</v>
      </c>
      <c r="F11" s="82">
        <f>IF(VLOOKUP(A11,Schlußkurse!A$5:AU$105,38,FALSE)&gt;0,IF(VLOOKUP(A11,Dividende_je_Aktie!A$3:AM$103,10,FALSE)&lt;&gt;"",VLOOKUP(A11,Dividende_je_Aktie!A$3:AM$103,10,FALSE)/VLOOKUP(A11,Schlußkurse!A$5:AU$105,38,FALSE),""),"")</f>
        <v>1.6048788316482106E-2</v>
      </c>
      <c r="G11" s="82">
        <f>IF(VLOOKUP(A11,Schlußkurse!A$5:AU$105,39,FALSE)&gt;0,IF(VLOOKUP(A11,Dividende_je_Aktie!A$3:AM$103,11,FALSE)&lt;&gt;"",VLOOKUP(A11,Dividende_je_Aktie!A$3:AM$103,11,FALSE)/VLOOKUP(A11,Schlußkurse!A$5:AU$105,39,FALSE),""),"")</f>
        <v>1.4005602240896359E-2</v>
      </c>
      <c r="H11" s="82">
        <f>IF(VLOOKUP(A11,Schlußkurse!A$5:AU$105,40,FALSE)&gt;0,IF(VLOOKUP(A11,Dividende_je_Aktie!A$3:AM$103,12,FALSE)&lt;&gt;"",VLOOKUP(A11,Dividende_je_Aktie!A$3:AM$103,12,FALSE)/VLOOKUP(A11,Schlußkurse!A$5:AU$105,40,FALSE),""),"")</f>
        <v>2.6927784577723379E-2</v>
      </c>
      <c r="I11" s="82">
        <f>IF(VLOOKUP(A11,Schlußkurse!A$5:AU$105,41,FALSE)&gt;0,IF(VLOOKUP(A11,Dividende_je_Aktie!A$3:AM$103,13,FALSE)&lt;&gt;"",VLOOKUP(A11,Dividende_je_Aktie!A$3:AM$103,13,FALSE)/VLOOKUP(A11,Schlußkurse!A$5:AU$105,41,FALSE),""),"")</f>
        <v>1.5748031496062992E-2</v>
      </c>
      <c r="J11" s="82">
        <f>IF(VLOOKUP(A11,Schlußkurse!A$5:AU$105,42,FALSE)&gt;0,IF(VLOOKUP(A11,Dividende_je_Aktie!A$3:AM$103,14,FALSE)&lt;&gt;"",VLOOKUP(A11,Dividende_je_Aktie!A$3:AM$103,14,FALSE)/VLOOKUP(A11,Schlußkurse!A$5:AU$105,42,FALSE),""),"")</f>
        <v>1.5151515151515152E-2</v>
      </c>
      <c r="K11" s="82">
        <f>IF(VLOOKUP(A11,Schlußkurse!A$5:AU$105,43,FALSE)&gt;0,IF(VLOOKUP(A11,Dividende_je_Aktie!A$3:AM$103,15,FALSE)&lt;&gt;"",VLOOKUP(A11,Dividende_je_Aktie!A$3:AM$103,15,FALSE)/VLOOKUP(A11,Schlußkurse!A$5:AU$105,43,FALSE),""),"")</f>
        <v>1.9809825673534075E-2</v>
      </c>
      <c r="L11" s="82">
        <f>IF(VLOOKUP(A11,Schlußkurse!A$5:AU$105,44,FALSE)&gt;0,IF(VLOOKUP(A11,Dividende_je_Aktie!A$3:AM$103,16,FALSE)&lt;&gt;"",VLOOKUP(A11,Dividende_je_Aktie!A$3:AM$103,16,FALSE)/VLOOKUP(A11,Schlußkurse!A$5:AU$105,44,FALSE),""),"")</f>
        <v>1.4072614691809739E-2</v>
      </c>
      <c r="M11" s="82">
        <f>IF(VLOOKUP(A11,Schlußkurse!A$5:AU$105,45,FALSE)&gt;0,IF(VLOOKUP(A11,Dividende_je_Aktie!A$3:AM$103,17,FALSE)&lt;&gt;"",VLOOKUP(A11,Dividende_je_Aktie!A$3:AM$103,17,FALSE)/VLOOKUP(A11,Schlußkurse!A$5:AU$105,45,FALSE),""),"")</f>
        <v>1.1425732737208148E-2</v>
      </c>
      <c r="N11" s="82">
        <f>IF(VLOOKUP(A11,Schlußkurse!A$5:AU$105,46,FALSE)&gt;0,IF(VLOOKUP(A11,Dividende_je_Aktie!A$3:AM$103,18,FALSE)&lt;&gt;"",VLOOKUP(A11,Dividende_je_Aktie!A$3:AM$103,18,FALSE)/VLOOKUP(A11,Schlußkurse!A$5:AU$105,46,FALSE),""),"")</f>
        <v>9.4019326194828938E-3</v>
      </c>
      <c r="O11" s="83">
        <f>IF(VLOOKUP(A11,Schlußkurse!A$5:AU$105,47,FALSE)&gt;0,IF(VLOOKUP(A11,Dividende_je_Aktie!A$3:AM$103,19,FALSE)&lt;&gt;"",VLOOKUP(A11,Dividende_je_Aktie!A$3:AM$103,19,FALSE)/VLOOKUP(A11,Schlußkurse!A$5:AU$105,47,FALSE),""),"")</f>
        <v>8.5235920852359207E-3</v>
      </c>
      <c r="P11" s="5">
        <f t="shared" si="0"/>
        <v>1.5722200296872588E-2</v>
      </c>
      <c r="Q11" s="5">
        <f ca="1">VLOOKUP(A11,Dividende_je_Aktie!A$3:AM$103,24,FALSE)/VLOOKUP(A11,Schlußkurse!A$5:AU$105,35,FALSE)</f>
        <v>1.7008322808381098E-2</v>
      </c>
      <c r="R11" s="5">
        <f t="shared" ca="1" si="1"/>
        <v>8.1802959332883063E-2</v>
      </c>
    </row>
    <row r="12" spans="1:18" x14ac:dyDescent="0.25">
      <c r="A12" t="s">
        <v>16</v>
      </c>
      <c r="B12" t="s">
        <v>17</v>
      </c>
      <c r="C12" s="81">
        <f>IF(VLOOKUP(A12,Schlußkurse!A$5:AU$105,35,FALSE)&gt;0,IF(VLOOKUP(A12,Dividende_je_Aktie!A$3:AM$103,7,FALSE)&lt;&gt;"",VLOOKUP(A12,Dividende_je_Aktie!A$3:AM$103,7,FALSE)/VLOOKUP(A12,Schlußkurse!A$5:AU$105,35,FALSE),""),"")</f>
        <v>3.7644886655041544E-2</v>
      </c>
      <c r="D12" s="82">
        <f>IF(VLOOKUP(A12,Schlußkurse!A$5:AU$105,36,FALSE)&gt;0,IF(VLOOKUP(A12,Dividende_je_Aktie!A$3:AM$103,8,FALSE)&lt;&gt;"",VLOOKUP(A12,Dividende_je_Aktie!A$3:AM$103,8,FALSE)/VLOOKUP(A12,Schlußkurse!A$5:AU$105,36,FALSE),""),"")</f>
        <v>3.6106267309467636E-2</v>
      </c>
      <c r="E12" s="82">
        <f>IF(VLOOKUP(A12,Schlußkurse!A$5:AU$105,37,FALSE)&gt;0,IF(VLOOKUP(A12,Dividende_je_Aktie!A$3:AM$103,9,FALSE)&lt;&gt;"",VLOOKUP(A12,Dividende_je_Aktie!A$3:AM$103,9,FALSE)/VLOOKUP(A12,Schlußkurse!A$5:AU$105,37,FALSE),""),"")</f>
        <v>3.496874006569884E-2</v>
      </c>
      <c r="F12" s="82">
        <f>IF(VLOOKUP(A12,Schlußkurse!A$5:AU$105,38,FALSE)&gt;0,IF(VLOOKUP(A12,Dividende_je_Aktie!A$3:AM$103,10,FALSE)&lt;&gt;"",VLOOKUP(A12,Dividende_je_Aktie!A$3:AM$103,10,FALSE)/VLOOKUP(A12,Schlußkurse!A$5:AU$105,38,FALSE),""),"")</f>
        <v>3.368515607455648E-2</v>
      </c>
      <c r="G12" s="82">
        <f>IF(VLOOKUP(A12,Schlußkurse!A$5:AU$105,39,FALSE)&gt;0,IF(VLOOKUP(A12,Dividende_je_Aktie!A$3:AM$103,11,FALSE)&lt;&gt;"",VLOOKUP(A12,Dividende_je_Aktie!A$3:AM$103,11,FALSE)/VLOOKUP(A12,Schlußkurse!A$5:AU$105,39,FALSE),""),"")</f>
        <v>3.8654812524159261E-2</v>
      </c>
      <c r="H12" s="82">
        <f>IF(VLOOKUP(A12,Schlußkurse!A$5:AU$105,40,FALSE)&gt;0,IF(VLOOKUP(A12,Dividende_je_Aktie!A$3:AM$103,12,FALSE)&lt;&gt;"",VLOOKUP(A12,Dividende_je_Aktie!A$3:AM$103,12,FALSE)/VLOOKUP(A12,Schlußkurse!A$5:AU$105,40,FALSE),""),"")</f>
        <v>4.4039929536112736E-2</v>
      </c>
      <c r="I12" s="82">
        <f>IF(VLOOKUP(A12,Schlußkurse!A$5:AU$105,41,FALSE)&gt;0,IF(VLOOKUP(A12,Dividende_je_Aktie!A$3:AM$103,13,FALSE)&lt;&gt;"",VLOOKUP(A12,Dividende_je_Aktie!A$3:AM$103,13,FALSE)/VLOOKUP(A12,Schlußkurse!A$5:AU$105,41,FALSE),""),"")</f>
        <v>3.487020534676482E-2</v>
      </c>
      <c r="J12" s="82">
        <f>IF(VLOOKUP(A12,Schlußkurse!A$5:AU$105,42,FALSE)&gt;0,IF(VLOOKUP(A12,Dividende_je_Aktie!A$3:AM$103,14,FALSE)&lt;&gt;"",VLOOKUP(A12,Dividende_je_Aktie!A$3:AM$103,14,FALSE)/VLOOKUP(A12,Schlußkurse!A$5:AU$105,42,FALSE),""),"")</f>
        <v>2.5284450063211127E-2</v>
      </c>
      <c r="K12" s="82">
        <f>IF(VLOOKUP(A12,Schlußkurse!A$5:AU$105,43,FALSE)&gt;0,IF(VLOOKUP(A12,Dividende_je_Aktie!A$3:AM$103,15,FALSE)&lt;&gt;"",VLOOKUP(A12,Dividende_je_Aktie!A$3:AM$103,15,FALSE)/VLOOKUP(A12,Schlußkurse!A$5:AU$105,43,FALSE),""),"")</f>
        <v>2.4334600760456276E-2</v>
      </c>
      <c r="L12" s="82">
        <f>IF(VLOOKUP(A12,Schlußkurse!A$5:AU$105,44,FALSE)&gt;0,IF(VLOOKUP(A12,Dividende_je_Aktie!A$3:AM$103,16,FALSE)&lt;&gt;"",VLOOKUP(A12,Dividende_je_Aktie!A$3:AM$103,16,FALSE)/VLOOKUP(A12,Schlußkurse!A$5:AU$105,44,FALSE),""),"")</f>
        <v>1.6594067620825555E-2</v>
      </c>
      <c r="M12" s="82">
        <f>IF(VLOOKUP(A12,Schlußkurse!A$5:AU$105,45,FALSE)&gt;0,IF(VLOOKUP(A12,Dividende_je_Aktie!A$3:AM$103,17,FALSE)&lt;&gt;"",VLOOKUP(A12,Dividende_je_Aktie!A$3:AM$103,17,FALSE)/VLOOKUP(A12,Schlußkurse!A$5:AU$105,45,FALSE),""),"")</f>
        <v>2.1075581395348836E-2</v>
      </c>
      <c r="N12" s="82">
        <f>IF(VLOOKUP(A12,Schlußkurse!A$5:AU$105,46,FALSE)&gt;0,IF(VLOOKUP(A12,Dividende_je_Aktie!A$3:AM$103,18,FALSE)&lt;&gt;"",VLOOKUP(A12,Dividende_je_Aktie!A$3:AM$103,18,FALSE)/VLOOKUP(A12,Schlußkurse!A$5:AU$105,46,FALSE),""),"")</f>
        <v>2.1060842433697352E-2</v>
      </c>
      <c r="O12" s="83">
        <f>IF(VLOOKUP(A12,Schlußkurse!A$5:AU$105,47,FALSE)&gt;0,IF(VLOOKUP(A12,Dividende_je_Aktie!A$3:AM$103,19,FALSE)&lt;&gt;"",VLOOKUP(A12,Dividende_je_Aktie!A$3:AM$103,19,FALSE)/VLOOKUP(A12,Schlußkurse!A$5:AU$105,47,FALSE),""),"")</f>
        <v>2.1111298767100151E-2</v>
      </c>
      <c r="P12" s="5">
        <f t="shared" si="0"/>
        <v>2.9956218350187743E-2</v>
      </c>
      <c r="Q12" s="5">
        <f ca="1">VLOOKUP(A12,Dividende_je_Aktie!A$3:AM$103,24,FALSE)/VLOOKUP(A12,Schlußkurse!A$5:AU$105,35,FALSE)</f>
        <v>3.7016617088932197E-2</v>
      </c>
      <c r="R12" s="5">
        <f t="shared" ca="1" si="1"/>
        <v>0.23569058871879278</v>
      </c>
    </row>
    <row r="13" spans="1:18" x14ac:dyDescent="0.25">
      <c r="A13" t="s">
        <v>18</v>
      </c>
      <c r="B13" t="s">
        <v>19</v>
      </c>
      <c r="C13" s="81">
        <f>IF(VLOOKUP(A13,Schlußkurse!A$5:AU$105,35,FALSE)&gt;0,IF(VLOOKUP(A13,Dividende_je_Aktie!A$3:AM$103,7,FALSE)&lt;&gt;"",VLOOKUP(A13,Dividende_je_Aktie!A$3:AM$103,7,FALSE)/VLOOKUP(A13,Schlußkurse!A$5:AU$105,35,FALSE),""),"")</f>
        <v>4.6497862545215388E-2</v>
      </c>
      <c r="D13" s="82">
        <f>IF(VLOOKUP(A13,Schlußkurse!A$5:AU$105,36,FALSE)&gt;0,IF(VLOOKUP(A13,Dividende_je_Aktie!A$3:AM$103,8,FALSE)&lt;&gt;"",VLOOKUP(A13,Dividende_je_Aktie!A$3:AM$103,8,FALSE)/VLOOKUP(A13,Schlußkurse!A$5:AU$105,36,FALSE),""),"")</f>
        <v>4.6300559026635969E-2</v>
      </c>
      <c r="E13" s="82">
        <f>IF(VLOOKUP(A13,Schlußkurse!A$5:AU$105,37,FALSE)&gt;0,IF(VLOOKUP(A13,Dividende_je_Aktie!A$3:AM$103,9,FALSE)&lt;&gt;"",VLOOKUP(A13,Dividende_je_Aktie!A$3:AM$103,9,FALSE)/VLOOKUP(A13,Schlußkurse!A$5:AU$105,37,FALSE),""),"")</f>
        <v>4.9872588278121584E-2</v>
      </c>
      <c r="F13" s="82">
        <f>IF(VLOOKUP(A13,Schlußkurse!A$5:AU$105,38,FALSE)&gt;0,IF(VLOOKUP(A13,Dividende_je_Aktie!A$3:AM$103,10,FALSE)&lt;&gt;"",VLOOKUP(A13,Dividende_je_Aktie!A$3:AM$103,10,FALSE)/VLOOKUP(A13,Schlußkurse!A$5:AU$105,38,FALSE),""),"")</f>
        <v>4.0659762178749524E-2</v>
      </c>
      <c r="G13" s="82">
        <f>IF(VLOOKUP(A13,Schlußkurse!A$5:AU$105,39,FALSE)&gt;0,IF(VLOOKUP(A13,Dividende_je_Aktie!A$3:AM$103,11,FALSE)&lt;&gt;"",VLOOKUP(A13,Dividende_je_Aktie!A$3:AM$103,11,FALSE)/VLOOKUP(A13,Schlußkurse!A$5:AU$105,39,FALSE),""),"")</f>
        <v>4.2938931297709926E-2</v>
      </c>
      <c r="H13" s="82">
        <f>IF(VLOOKUP(A13,Schlußkurse!A$5:AU$105,40,FALSE)&gt;0,IF(VLOOKUP(A13,Dividende_je_Aktie!A$3:AM$103,12,FALSE)&lt;&gt;"",VLOOKUP(A13,Dividende_je_Aktie!A$3:AM$103,12,FALSE)/VLOOKUP(A13,Schlußkurse!A$5:AU$105,40,FALSE),""),"")</f>
        <v>6.0884859964822083E-2</v>
      </c>
      <c r="I13" s="82">
        <f>IF(VLOOKUP(A13,Schlußkurse!A$5:AU$105,41,FALSE)&gt;0,IF(VLOOKUP(A13,Dividende_je_Aktie!A$3:AM$103,13,FALSE)&lt;&gt;"",VLOOKUP(A13,Dividende_je_Aktie!A$3:AM$103,13,FALSE)/VLOOKUP(A13,Schlußkurse!A$5:AU$105,41,FALSE),""),"")</f>
        <v>5.0601596761497801E-2</v>
      </c>
      <c r="J13" s="82">
        <f>IF(VLOOKUP(A13,Schlußkurse!A$5:AU$105,42,FALSE)&gt;0,IF(VLOOKUP(A13,Dividende_je_Aktie!A$3:AM$103,14,FALSE)&lt;&gt;"",VLOOKUP(A13,Dividende_je_Aktie!A$3:AM$103,14,FALSE)/VLOOKUP(A13,Schlußkurse!A$5:AU$105,42,FALSE),""),"")</f>
        <v>4.7045324153757881E-2</v>
      </c>
      <c r="K13" s="82">
        <f>IF(VLOOKUP(A13,Schlußkurse!A$5:AU$105,43,FALSE)&gt;0,IF(VLOOKUP(A13,Dividende_je_Aktie!A$3:AM$103,15,FALSE)&lt;&gt;"",VLOOKUP(A13,Dividende_je_Aktie!A$3:AM$103,15,FALSE)/VLOOKUP(A13,Schlußkurse!A$5:AU$105,43,FALSE),""),"")</f>
        <v>4.6666666666666669E-2</v>
      </c>
      <c r="L13" s="82">
        <f>IF(VLOOKUP(A13,Schlußkurse!A$5:AU$105,44,FALSE)&gt;0,IF(VLOOKUP(A13,Dividende_je_Aktie!A$3:AM$103,16,FALSE)&lt;&gt;"",VLOOKUP(A13,Dividende_je_Aktie!A$3:AM$103,16,FALSE)/VLOOKUP(A13,Schlußkurse!A$5:AU$105,44,FALSE),""),"")</f>
        <v>3.717472118959108E-2</v>
      </c>
      <c r="M13" s="82">
        <f>IF(VLOOKUP(A13,Schlußkurse!A$5:AU$105,45,FALSE)&gt;0,IF(VLOOKUP(A13,Dividende_je_Aktie!A$3:AM$103,17,FALSE)&lt;&gt;"",VLOOKUP(A13,Dividende_je_Aktie!A$3:AM$103,17,FALSE)/VLOOKUP(A13,Schlußkurse!A$5:AU$105,45,FALSE),""),"")</f>
        <v>2.4554148358749032E-2</v>
      </c>
      <c r="N13" s="82">
        <f>IF(VLOOKUP(A13,Schlußkurse!A$5:AU$105,46,FALSE)&gt;0,IF(VLOOKUP(A13,Dividende_je_Aktie!A$3:AM$103,18,FALSE)&lt;&gt;"",VLOOKUP(A13,Dividende_je_Aktie!A$3:AM$103,18,FALSE)/VLOOKUP(A13,Schlußkurse!A$5:AU$105,46,FALSE),""),"")</f>
        <v>1.5632327653587619E-2</v>
      </c>
      <c r="O13" s="83">
        <f>IF(VLOOKUP(A13,Schlußkurse!A$5:AU$105,47,FALSE)&gt;0,IF(VLOOKUP(A13,Dividende_je_Aktie!A$3:AM$103,19,FALSE)&lt;&gt;"",VLOOKUP(A13,Dividende_je_Aktie!A$3:AM$103,19,FALSE)/VLOOKUP(A13,Schlußkurse!A$5:AU$105,47,FALSE),""),"")</f>
        <v>1.7930327868852462E-2</v>
      </c>
      <c r="P13" s="5">
        <f t="shared" si="0"/>
        <v>4.0519975072612083E-2</v>
      </c>
      <c r="Q13" s="5">
        <f ca="1">VLOOKUP(A13,Dividende_je_Aktie!A$3:AM$103,24,FALSE)/VLOOKUP(A13,Schlußkurse!A$5:AU$105,35,FALSE)</f>
        <v>4.6367422996821214E-2</v>
      </c>
      <c r="R13" s="5">
        <f t="shared" ca="1" si="1"/>
        <v>0.14431025472573622</v>
      </c>
    </row>
    <row r="14" spans="1:18" x14ac:dyDescent="0.25">
      <c r="A14" t="s">
        <v>20</v>
      </c>
      <c r="B14" t="s">
        <v>21</v>
      </c>
      <c r="C14" s="81">
        <f>IF(VLOOKUP(A14,Schlußkurse!A$5:AU$105,35,FALSE)&gt;0,IF(VLOOKUP(A14,Dividende_je_Aktie!A$3:AM$103,7,FALSE)&lt;&gt;"",VLOOKUP(A14,Dividende_je_Aktie!A$3:AM$103,7,FALSE)/VLOOKUP(A14,Schlußkurse!A$5:AU$105,35,FALSE),""),"")</f>
        <v>4.6609686609686611E-2</v>
      </c>
      <c r="D14" s="82">
        <f>IF(VLOOKUP(A14,Schlußkurse!A$5:AU$105,36,FALSE)&gt;0,IF(VLOOKUP(A14,Dividende_je_Aktie!A$3:AM$103,8,FALSE)&lt;&gt;"",VLOOKUP(A14,Dividende_je_Aktie!A$3:AM$103,8,FALSE)/VLOOKUP(A14,Schlußkurse!A$5:AU$105,36,FALSE),""),"")</f>
        <v>4.5071225071225074E-2</v>
      </c>
      <c r="E14" s="82">
        <f>IF(VLOOKUP(A14,Schlußkurse!A$5:AU$105,37,FALSE)&gt;0,IF(VLOOKUP(A14,Dividende_je_Aktie!A$3:AM$103,9,FALSE)&lt;&gt;"",VLOOKUP(A14,Dividende_je_Aktie!A$3:AM$103,9,FALSE)/VLOOKUP(A14,Schlußkurse!A$5:AU$105,37,FALSE),""),"")</f>
        <v>4.6757164404223228E-2</v>
      </c>
      <c r="F14" s="82">
        <f>IF(VLOOKUP(A14,Schlußkurse!A$5:AU$105,38,FALSE)&gt;0,IF(VLOOKUP(A14,Dividende_je_Aktie!A$3:AM$103,10,FALSE)&lt;&gt;"",VLOOKUP(A14,Dividende_je_Aktie!A$3:AM$103,10,FALSE)/VLOOKUP(A14,Schlußkurse!A$5:AU$105,38,FALSE),""),"")</f>
        <v>4.5270059319388073E-2</v>
      </c>
      <c r="G14" s="82">
        <f>IF(VLOOKUP(A14,Schlußkurse!A$5:AU$105,39,FALSE)&gt;0,IF(VLOOKUP(A14,Dividende_je_Aktie!A$3:AM$103,11,FALSE)&lt;&gt;"",VLOOKUP(A14,Dividende_je_Aktie!A$3:AM$103,11,FALSE)/VLOOKUP(A14,Schlußkurse!A$5:AU$105,39,FALSE),""),"")</f>
        <v>5.1470588235294115E-2</v>
      </c>
      <c r="H14" s="82">
        <f>IF(VLOOKUP(A14,Schlußkurse!A$5:AU$105,40,FALSE)&gt;0,IF(VLOOKUP(A14,Dividende_je_Aktie!A$3:AM$103,12,FALSE)&lt;&gt;"",VLOOKUP(A14,Dividende_je_Aktie!A$3:AM$103,12,FALSE)/VLOOKUP(A14,Schlußkurse!A$5:AU$105,40,FALSE),""),"")</f>
        <v>6.5942181894914534E-2</v>
      </c>
      <c r="I14" s="82">
        <f>IF(VLOOKUP(A14,Schlußkurse!A$5:AU$105,41,FALSE)&gt;0,IF(VLOOKUP(A14,Dividende_je_Aktie!A$3:AM$103,13,FALSE)&lt;&gt;"",VLOOKUP(A14,Dividende_je_Aktie!A$3:AM$103,13,FALSE)/VLOOKUP(A14,Schlußkurse!A$5:AU$105,41,FALSE),""),"")</f>
        <v>5.509034817100044E-2</v>
      </c>
      <c r="J14" s="82">
        <f>IF(VLOOKUP(A14,Schlußkurse!A$5:AU$105,42,FALSE)&gt;0,IF(VLOOKUP(A14,Dividende_je_Aktie!A$3:AM$103,14,FALSE)&lt;&gt;"",VLOOKUP(A14,Dividende_je_Aktie!A$3:AM$103,14,FALSE)/VLOOKUP(A14,Schlußkurse!A$5:AU$105,42,FALSE),""),"")</f>
        <v>5.2912487347013898E-2</v>
      </c>
      <c r="K14" s="82">
        <f>IF(VLOOKUP(A14,Schlußkurse!A$5:AU$105,43,FALSE)&gt;0,IF(VLOOKUP(A14,Dividende_je_Aktie!A$3:AM$103,15,FALSE)&lt;&gt;"",VLOOKUP(A14,Dividende_je_Aktie!A$3:AM$103,15,FALSE)/VLOOKUP(A14,Schlußkurse!A$5:AU$105,43,FALSE),""),"")</f>
        <v>4.954954954954955E-2</v>
      </c>
      <c r="L14" s="82">
        <f>IF(VLOOKUP(A14,Schlußkurse!A$5:AU$105,44,FALSE)&gt;0,IF(VLOOKUP(A14,Dividende_je_Aktie!A$3:AM$103,16,FALSE)&lt;&gt;"",VLOOKUP(A14,Dividende_je_Aktie!A$3:AM$103,16,FALSE)/VLOOKUP(A14,Schlußkurse!A$5:AU$105,44,FALSE),""),"")</f>
        <v>4.137204754024372E-2</v>
      </c>
      <c r="M14" s="82">
        <f>IF(VLOOKUP(A14,Schlußkurse!A$5:AU$105,45,FALSE)&gt;0,IF(VLOOKUP(A14,Dividende_je_Aktie!A$3:AM$103,17,FALSE)&lt;&gt;"",VLOOKUP(A14,Dividende_je_Aktie!A$3:AM$103,17,FALSE)/VLOOKUP(A14,Schlußkurse!A$5:AU$105,45,FALSE),""),"")</f>
        <v>3.4503910443183565E-2</v>
      </c>
      <c r="N14" s="82">
        <f>IF(VLOOKUP(A14,Schlußkurse!A$5:AU$105,46,FALSE)&gt;0,IF(VLOOKUP(A14,Dividende_je_Aktie!A$3:AM$103,18,FALSE)&lt;&gt;"",VLOOKUP(A14,Dividende_je_Aktie!A$3:AM$103,18,FALSE)/VLOOKUP(A14,Schlußkurse!A$5:AU$105,46,FALSE),""),"")</f>
        <v>2.710264032173457E-2</v>
      </c>
      <c r="O14" s="83">
        <f>IF(VLOOKUP(A14,Schlußkurse!A$5:AU$105,47,FALSE)&gt;0,IF(VLOOKUP(A14,Dividende_je_Aktie!A$3:AM$103,19,FALSE)&lt;&gt;"",VLOOKUP(A14,Dividende_je_Aktie!A$3:AM$103,19,FALSE)/VLOOKUP(A14,Schlußkurse!A$5:AU$105,47,FALSE),""),"")</f>
        <v>2.2111663902708679E-2</v>
      </c>
      <c r="P14" s="5">
        <f t="shared" si="0"/>
        <v>4.4904888677705083E-2</v>
      </c>
      <c r="Q14" s="5">
        <f ca="1">VLOOKUP(A14,Dividende_je_Aktie!A$3:AM$103,24,FALSE)/VLOOKUP(A14,Schlußkurse!A$5:AU$105,35,FALSE)</f>
        <v>4.5592592592592594E-2</v>
      </c>
      <c r="R14" s="5">
        <f t="shared" ca="1" si="1"/>
        <v>1.5314678092698486E-2</v>
      </c>
    </row>
    <row r="15" spans="1:18" x14ac:dyDescent="0.25">
      <c r="A15" t="s">
        <v>22</v>
      </c>
      <c r="B15" t="s">
        <v>23</v>
      </c>
      <c r="C15" s="81">
        <f>IF(VLOOKUP(A15,Schlußkurse!A$5:AU$105,35,FALSE)&gt;0,IF(VLOOKUP(A15,Dividende_je_Aktie!A$3:AM$103,7,FALSE)&lt;&gt;"",VLOOKUP(A15,Dividende_je_Aktie!A$3:AM$103,7,FALSE)/VLOOKUP(A15,Schlußkurse!A$5:AU$105,35,FALSE),""),"")</f>
        <v>3.41304591894016E-2</v>
      </c>
      <c r="D15" s="82">
        <f>IF(VLOOKUP(A15,Schlußkurse!A$5:AU$105,36,FALSE)&gt;0,IF(VLOOKUP(A15,Dividende_je_Aktie!A$3:AM$103,8,FALSE)&lt;&gt;"",VLOOKUP(A15,Dividende_je_Aktie!A$3:AM$103,8,FALSE)/VLOOKUP(A15,Schlußkurse!A$5:AU$105,36,FALSE),""),"")</f>
        <v>3.2558661726731788E-2</v>
      </c>
      <c r="E15" s="82">
        <f>IF(VLOOKUP(A15,Schlußkurse!A$5:AU$105,37,FALSE)&gt;0,IF(VLOOKUP(A15,Dividende_je_Aktie!A$3:AM$103,9,FALSE)&lt;&gt;"",VLOOKUP(A15,Dividende_je_Aktie!A$3:AM$103,9,FALSE)/VLOOKUP(A15,Schlußkurse!A$5:AU$105,37,FALSE),""),"")</f>
        <v>4.0068689181453919E-2</v>
      </c>
      <c r="F15" s="82">
        <f>IF(VLOOKUP(A15,Schlußkurse!A$5:AU$105,38,FALSE)&gt;0,IF(VLOOKUP(A15,Dividende_je_Aktie!A$3:AM$103,10,FALSE)&lt;&gt;"",VLOOKUP(A15,Dividende_je_Aktie!A$3:AM$103,10,FALSE)/VLOOKUP(A15,Schlußkurse!A$5:AU$105,38,FALSE),""),"")</f>
        <v>3.4843205574912897E-2</v>
      </c>
      <c r="G15" s="82">
        <f>IF(VLOOKUP(A15,Schlußkurse!A$5:AU$105,39,FALSE)&gt;0,IF(VLOOKUP(A15,Dividende_je_Aktie!A$3:AM$103,11,FALSE)&lt;&gt;"",VLOOKUP(A15,Dividende_je_Aktie!A$3:AM$103,11,FALSE)/VLOOKUP(A15,Schlußkurse!A$5:AU$105,39,FALSE),""),"")</f>
        <v>3.6542515811665496E-2</v>
      </c>
      <c r="H15" s="82">
        <f>IF(VLOOKUP(A15,Schlußkurse!A$5:AU$105,40,FALSE)&gt;0,IF(VLOOKUP(A15,Dividende_je_Aktie!A$3:AM$103,12,FALSE)&lt;&gt;"",VLOOKUP(A15,Dividende_je_Aktie!A$3:AM$103,12,FALSE)/VLOOKUP(A15,Schlußkurse!A$5:AU$105,40,FALSE),""),"")</f>
        <v>4.6390796066060495E-2</v>
      </c>
      <c r="I15" s="82">
        <f>IF(VLOOKUP(A15,Schlußkurse!A$5:AU$105,41,FALSE)&gt;0,IF(VLOOKUP(A15,Dividende_je_Aktie!A$3:AM$103,13,FALSE)&lt;&gt;"",VLOOKUP(A15,Dividende_je_Aktie!A$3:AM$103,13,FALSE)/VLOOKUP(A15,Schlußkurse!A$5:AU$105,41,FALSE),""),"")</f>
        <v>3.6850921273031828E-2</v>
      </c>
      <c r="J15" s="82">
        <f>IF(VLOOKUP(A15,Schlußkurse!A$5:AU$105,42,FALSE)&gt;0,IF(VLOOKUP(A15,Dividende_je_Aktie!A$3:AM$103,14,FALSE)&lt;&gt;"",VLOOKUP(A15,Dividende_je_Aktie!A$3:AM$103,14,FALSE)/VLOOKUP(A15,Schlußkurse!A$5:AU$105,42,FALSE),""),"")</f>
        <v>3.9116428900138056E-2</v>
      </c>
      <c r="K15" s="82">
        <f>IF(VLOOKUP(A15,Schlußkurse!A$5:AU$105,43,FALSE)&gt;0,IF(VLOOKUP(A15,Dividende_je_Aktie!A$3:AM$103,15,FALSE)&lt;&gt;"",VLOOKUP(A15,Dividende_je_Aktie!A$3:AM$103,15,FALSE)/VLOOKUP(A15,Schlußkurse!A$5:AU$105,43,FALSE),""),"")</f>
        <v>7.0320952037504506E-2</v>
      </c>
      <c r="L15" s="82">
        <f>IF(VLOOKUP(A15,Schlußkurse!A$5:AU$105,44,FALSE)&gt;0,IF(VLOOKUP(A15,Dividende_je_Aktie!A$3:AM$103,16,FALSE)&lt;&gt;"",VLOOKUP(A15,Dividende_je_Aktie!A$3:AM$103,16,FALSE)/VLOOKUP(A15,Schlußkurse!A$5:AU$105,44,FALSE),""),"")</f>
        <v>3.8457745784439404E-2</v>
      </c>
      <c r="M15" s="82">
        <f>IF(VLOOKUP(A15,Schlußkurse!A$5:AU$105,45,FALSE)&gt;0,IF(VLOOKUP(A15,Dividende_je_Aktie!A$3:AM$103,17,FALSE)&lt;&gt;"",VLOOKUP(A15,Dividende_je_Aktie!A$3:AM$103,17,FALSE)/VLOOKUP(A15,Schlußkurse!A$5:AU$105,45,FALSE),""),"")</f>
        <v>4.0622884224779963E-2</v>
      </c>
      <c r="N15" s="82">
        <f>IF(VLOOKUP(A15,Schlußkurse!A$5:AU$105,46,FALSE)&gt;0,IF(VLOOKUP(A15,Dividende_je_Aktie!A$3:AM$103,18,FALSE)&lt;&gt;"",VLOOKUP(A15,Dividende_je_Aktie!A$3:AM$103,18,FALSE)/VLOOKUP(A15,Schlußkurse!A$5:AU$105,46,FALSE),""),"")</f>
        <v>3.0907124092103232E-2</v>
      </c>
      <c r="O15" s="83">
        <f>IF(VLOOKUP(A15,Schlußkurse!A$5:AU$105,47,FALSE)&gt;0,IF(VLOOKUP(A15,Dividende_je_Aktie!A$3:AM$103,19,FALSE)&lt;&gt;"",VLOOKUP(A15,Dividende_je_Aktie!A$3:AM$103,19,FALSE)/VLOOKUP(A15,Schlußkurse!A$5:AU$105,47,FALSE),""),"")</f>
        <v>3.2075471698113207E-2</v>
      </c>
      <c r="P15" s="5">
        <f t="shared" si="0"/>
        <v>3.9452758120025876E-2</v>
      </c>
      <c r="Q15" s="5">
        <f ca="1">VLOOKUP(A15,Dividende_je_Aktie!A$3:AM$103,24,FALSE)/VLOOKUP(A15,Schlußkurse!A$5:AU$105,35,FALSE)</f>
        <v>3.3091326422414337E-2</v>
      </c>
      <c r="R15" s="5">
        <f t="shared" ca="1" si="1"/>
        <v>-0.16124174837810723</v>
      </c>
    </row>
    <row r="16" spans="1:18" x14ac:dyDescent="0.25">
      <c r="A16" t="s">
        <v>24</v>
      </c>
      <c r="B16" t="s">
        <v>25</v>
      </c>
      <c r="C16" s="81">
        <f>IF(VLOOKUP(A16,Schlußkurse!A$5:AU$105,35,FALSE)&gt;0,IF(VLOOKUP(A16,Dividende_je_Aktie!A$3:AM$103,7,FALSE)&lt;&gt;"",VLOOKUP(A16,Dividende_je_Aktie!A$3:AM$103,7,FALSE)/VLOOKUP(A16,Schlußkurse!A$5:AU$105,35,FALSE),""),"")</f>
        <v>2.1627906976744188E-2</v>
      </c>
      <c r="D16" s="82">
        <f>IF(VLOOKUP(A16,Schlußkurse!A$5:AU$105,36,FALSE)&gt;0,IF(VLOOKUP(A16,Dividende_je_Aktie!A$3:AM$103,8,FALSE)&lt;&gt;"",VLOOKUP(A16,Dividende_je_Aktie!A$3:AM$103,8,FALSE)/VLOOKUP(A16,Schlußkurse!A$5:AU$105,36,FALSE),""),"")</f>
        <v>1.937984496124031E-2</v>
      </c>
      <c r="E16" s="82">
        <f>IF(VLOOKUP(A16,Schlußkurse!A$5:AU$105,37,FALSE)&gt;0,IF(VLOOKUP(A16,Dividende_je_Aktie!A$3:AM$103,9,FALSE)&lt;&gt;"",VLOOKUP(A16,Dividende_je_Aktie!A$3:AM$103,9,FALSE)/VLOOKUP(A16,Schlußkurse!A$5:AU$105,37,FALSE),""),"")</f>
        <v>1.9911504424778761E-2</v>
      </c>
      <c r="F16" s="82">
        <f>IF(VLOOKUP(A16,Schlußkurse!A$5:AU$105,38,FALSE)&gt;0,IF(VLOOKUP(A16,Dividende_je_Aktie!A$3:AM$103,10,FALSE)&lt;&gt;"",VLOOKUP(A16,Dividende_je_Aktie!A$3:AM$103,10,FALSE)/VLOOKUP(A16,Schlußkurse!A$5:AU$105,38,FALSE),""),"")</f>
        <v>2.0598332515939188E-2</v>
      </c>
      <c r="G16" s="82">
        <f>IF(VLOOKUP(A16,Schlußkurse!A$5:AU$105,39,FALSE)&gt;0,IF(VLOOKUP(A16,Dividende_je_Aktie!A$3:AM$103,11,FALSE)&lt;&gt;"",VLOOKUP(A16,Dividende_je_Aktie!A$3:AM$103,11,FALSE)/VLOOKUP(A16,Schlußkurse!A$5:AU$105,39,FALSE),""),"")</f>
        <v>2.6429266935596048E-2</v>
      </c>
      <c r="H16" s="82">
        <f>IF(VLOOKUP(A16,Schlußkurse!A$5:AU$105,40,FALSE)&gt;0,IF(VLOOKUP(A16,Dividende_je_Aktie!A$3:AM$103,12,FALSE)&lt;&gt;"",VLOOKUP(A16,Dividende_je_Aktie!A$3:AM$103,12,FALSE)/VLOOKUP(A16,Schlußkurse!A$5:AU$105,40,FALSE),""),"")</f>
        <v>3.3400809716599186E-2</v>
      </c>
      <c r="I16" s="82">
        <f>IF(VLOOKUP(A16,Schlußkurse!A$5:AU$105,41,FALSE)&gt;0,IF(VLOOKUP(A16,Dividende_je_Aktie!A$3:AM$103,13,FALSE)&lt;&gt;"",VLOOKUP(A16,Dividende_je_Aktie!A$3:AM$103,13,FALSE)/VLOOKUP(A16,Schlußkurse!A$5:AU$105,41,FALSE),""),"")</f>
        <v>2.7124773960217001E-2</v>
      </c>
      <c r="J16" s="82">
        <f>IF(VLOOKUP(A16,Schlußkurse!A$5:AU$105,42,FALSE)&gt;0,IF(VLOOKUP(A16,Dividende_je_Aktie!A$3:AM$103,14,FALSE)&lt;&gt;"",VLOOKUP(A16,Dividende_je_Aktie!A$3:AM$103,14,FALSE)/VLOOKUP(A16,Schlußkurse!A$5:AU$105,42,FALSE),""),"")</f>
        <v>2.5017869907076482E-2</v>
      </c>
      <c r="K16" s="82">
        <f>IF(VLOOKUP(A16,Schlußkurse!A$5:AU$105,43,FALSE)&gt;0,IF(VLOOKUP(A16,Dividende_je_Aktie!A$3:AM$103,15,FALSE)&lt;&gt;"",VLOOKUP(A16,Dividende_je_Aktie!A$3:AM$103,15,FALSE)/VLOOKUP(A16,Schlußkurse!A$5:AU$105,43,FALSE),""),"")</f>
        <v>3.3694344163658241E-2</v>
      </c>
      <c r="L16" s="82">
        <f>IF(VLOOKUP(A16,Schlußkurse!A$5:AU$105,44,FALSE)&gt;0,IF(VLOOKUP(A16,Dividende_je_Aktie!A$3:AM$103,16,FALSE)&lt;&gt;"",VLOOKUP(A16,Dividende_je_Aktie!A$3:AM$103,16,FALSE)/VLOOKUP(A16,Schlußkurse!A$5:AU$105,44,FALSE),""),"")</f>
        <v>2.1589636974252358E-2</v>
      </c>
      <c r="M16" s="82">
        <f>IF(VLOOKUP(A16,Schlußkurse!A$5:AU$105,45,FALSE)&gt;0,IF(VLOOKUP(A16,Dividende_je_Aktie!A$3:AM$103,17,FALSE)&lt;&gt;"",VLOOKUP(A16,Dividende_je_Aktie!A$3:AM$103,17,FALSE)/VLOOKUP(A16,Schlußkurse!A$5:AU$105,45,FALSE),""),"")</f>
        <v>2.4594195769798328E-2</v>
      </c>
      <c r="N16" s="82">
        <f>IF(VLOOKUP(A16,Schlußkurse!A$5:AU$105,46,FALSE)&gt;0,IF(VLOOKUP(A16,Dividende_je_Aktie!A$3:AM$103,18,FALSE)&lt;&gt;"",VLOOKUP(A16,Dividende_je_Aktie!A$3:AM$103,18,FALSE)/VLOOKUP(A16,Schlußkurse!A$5:AU$105,46,FALSE),""),"")</f>
        <v>2.6919807310852931E-2</v>
      </c>
      <c r="O16" s="83">
        <f>IF(VLOOKUP(A16,Schlußkurse!A$5:AU$105,47,FALSE)&gt;0,IF(VLOOKUP(A16,Dividende_je_Aktie!A$3:AM$103,19,FALSE)&lt;&gt;"",VLOOKUP(A16,Dividende_je_Aktie!A$3:AM$103,19,FALSE)/VLOOKUP(A16,Schlußkurse!A$5:AU$105,47,FALSE),""),"")</f>
        <v>2.2052927024859663E-2</v>
      </c>
      <c r="P16" s="5">
        <f t="shared" si="0"/>
        <v>2.4795478510893285E-2</v>
      </c>
      <c r="Q16" s="5">
        <f ca="1">VLOOKUP(A16,Dividende_je_Aktie!A$3:AM$103,24,FALSE)/VLOOKUP(A16,Schlußkurse!A$5:AU$105,35,FALSE)</f>
        <v>2.0141688199827736E-2</v>
      </c>
      <c r="R16" s="5">
        <f t="shared" ca="1" si="1"/>
        <v>-0.18768705387238327</v>
      </c>
    </row>
    <row r="17" spans="1:18" x14ac:dyDescent="0.25">
      <c r="A17" t="s">
        <v>26</v>
      </c>
      <c r="B17" t="s">
        <v>27</v>
      </c>
      <c r="C17" s="81">
        <f>IF(VLOOKUP(A17,Schlußkurse!A$5:AU$105,35,FALSE)&gt;0,IF(VLOOKUP(A17,Dividende_je_Aktie!A$3:AM$103,7,FALSE)&lt;&gt;"",VLOOKUP(A17,Dividende_je_Aktie!A$3:AM$103,7,FALSE)/VLOOKUP(A17,Schlußkurse!A$5:AU$105,35,FALSE),""),"")</f>
        <v>5.1076249543962053E-2</v>
      </c>
      <c r="D17" s="82">
        <f>IF(VLOOKUP(A17,Schlußkurse!A$5:AU$105,36,FALSE)&gt;0,IF(VLOOKUP(A17,Dividende_je_Aktie!A$3:AM$103,8,FALSE)&lt;&gt;"",VLOOKUP(A17,Dividende_je_Aktie!A$3:AM$103,8,FALSE)/VLOOKUP(A17,Schlußkurse!A$5:AU$105,36,FALSE),""),"")</f>
        <v>5.1076249543962053E-2</v>
      </c>
      <c r="E17" s="82">
        <f>IF(VLOOKUP(A17,Schlußkurse!A$5:AU$105,37,FALSE)&gt;0,IF(VLOOKUP(A17,Dividende_je_Aktie!A$3:AM$103,9,FALSE)&lt;&gt;"",VLOOKUP(A17,Dividende_je_Aktie!A$3:AM$103,9,FALSE)/VLOOKUP(A17,Schlußkurse!A$5:AU$105,37,FALSE),""),"")</f>
        <v>3.3557046979865772E-2</v>
      </c>
      <c r="F17" s="82">
        <f>IF(VLOOKUP(A17,Schlußkurse!A$5:AU$105,38,FALSE)&gt;0,IF(VLOOKUP(A17,Dividende_je_Aktie!A$3:AM$103,10,FALSE)&lt;&gt;"",VLOOKUP(A17,Dividende_je_Aktie!A$3:AM$103,10,FALSE)/VLOOKUP(A17,Schlußkurse!A$5:AU$105,38,FALSE),""),"")</f>
        <v>6.3371356147021538E-2</v>
      </c>
      <c r="G17" s="82">
        <f>IF(VLOOKUP(A17,Schlußkurse!A$5:AU$105,39,FALSE)&gt;0,IF(VLOOKUP(A17,Dividende_je_Aktie!A$3:AM$103,11,FALSE)&lt;&gt;"",VLOOKUP(A17,Dividende_je_Aktie!A$3:AM$103,11,FALSE)/VLOOKUP(A17,Schlußkurse!A$5:AU$105,39,FALSE),""),"")</f>
        <v>8.0471050049067711E-2</v>
      </c>
      <c r="H17" s="82">
        <f>IF(VLOOKUP(A17,Schlußkurse!A$5:AU$105,40,FALSE)&gt;0,IF(VLOOKUP(A17,Dividende_je_Aktie!A$3:AM$103,12,FALSE)&lt;&gt;"",VLOOKUP(A17,Dividende_je_Aktie!A$3:AM$103,12,FALSE)/VLOOKUP(A17,Schlußkurse!A$5:AU$105,40,FALSE),""),"")</f>
        <v>0.1135599551737019</v>
      </c>
      <c r="I17" s="82">
        <f>IF(VLOOKUP(A17,Schlußkurse!A$5:AU$105,41,FALSE)&gt;0,IF(VLOOKUP(A17,Dividende_je_Aktie!A$3:AM$103,13,FALSE)&lt;&gt;"",VLOOKUP(A17,Dividende_je_Aktie!A$3:AM$103,13,FALSE)/VLOOKUP(A17,Schlußkurse!A$5:AU$105,41,FALSE),""),"")</f>
        <v>7.6628352490421464E-2</v>
      </c>
      <c r="J17" s="82">
        <f>IF(VLOOKUP(A17,Schlußkurse!A$5:AU$105,42,FALSE)&gt;0,IF(VLOOKUP(A17,Dividende_je_Aktie!A$3:AM$103,14,FALSE)&lt;&gt;"",VLOOKUP(A17,Dividende_je_Aktie!A$3:AM$103,14,FALSE)/VLOOKUP(A17,Schlußkurse!A$5:AU$105,42,FALSE),""),"")</f>
        <v>5.1229508196721313E-2</v>
      </c>
      <c r="K17" s="82">
        <f>IF(VLOOKUP(A17,Schlußkurse!A$5:AU$105,43,FALSE)&gt;0,IF(VLOOKUP(A17,Dividende_je_Aktie!A$3:AM$103,15,FALSE)&lt;&gt;"",VLOOKUP(A17,Dividende_je_Aktie!A$3:AM$103,15,FALSE)/VLOOKUP(A17,Schlußkurse!A$5:AU$105,43,FALSE),""),"")</f>
        <v>5.6782334384858045E-2</v>
      </c>
      <c r="L17" s="82">
        <f>IF(VLOOKUP(A17,Schlußkurse!A$5:AU$105,44,FALSE)&gt;0,IF(VLOOKUP(A17,Dividende_je_Aktie!A$3:AM$103,16,FALSE)&lt;&gt;"",VLOOKUP(A17,Dividende_je_Aktie!A$3:AM$103,16,FALSE)/VLOOKUP(A17,Schlußkurse!A$5:AU$105,44,FALSE),""),"")</f>
        <v>2.9252925292529257E-2</v>
      </c>
      <c r="M17" s="82">
        <f>IF(VLOOKUP(A17,Schlußkurse!A$5:AU$105,45,FALSE)&gt;0,IF(VLOOKUP(A17,Dividende_je_Aktie!A$3:AM$103,17,FALSE)&lt;&gt;"",VLOOKUP(A17,Dividende_je_Aktie!A$3:AM$103,17,FALSE)/VLOOKUP(A17,Schlußkurse!A$5:AU$105,45,FALSE),""),"")</f>
        <v>3.4119106699751864E-2</v>
      </c>
      <c r="N17" s="82">
        <f>IF(VLOOKUP(A17,Schlußkurse!A$5:AU$105,46,FALSE)&gt;0,IF(VLOOKUP(A17,Dividende_je_Aktie!A$3:AM$103,18,FALSE)&lt;&gt;"",VLOOKUP(A17,Dividende_je_Aktie!A$3:AM$103,18,FALSE)/VLOOKUP(A17,Schlußkurse!A$5:AU$105,46,FALSE),""),"")</f>
        <v>3.9339103068450038E-2</v>
      </c>
      <c r="O17" s="83">
        <f>IF(VLOOKUP(A17,Schlußkurse!A$5:AU$105,47,FALSE)&gt;0,IF(VLOOKUP(A17,Dividende_je_Aktie!A$3:AM$103,19,FALSE)&lt;&gt;"",VLOOKUP(A17,Dividende_je_Aktie!A$3:AM$103,19,FALSE)/VLOOKUP(A17,Schlußkurse!A$5:AU$105,47,FALSE),""),"")</f>
        <v>2.8860028860028863E-2</v>
      </c>
      <c r="P17" s="5">
        <f t="shared" si="0"/>
        <v>5.456332818694936E-2</v>
      </c>
      <c r="Q17" s="5">
        <f ca="1">VLOOKUP(A17,Dividende_je_Aktie!A$3:AM$103,24,FALSE)/VLOOKUP(A17,Schlußkurse!A$5:AU$105,35,FALSE)</f>
        <v>5.1076249543962053E-2</v>
      </c>
      <c r="R17" s="5">
        <f t="shared" ca="1" si="1"/>
        <v>-6.3908833255911235E-2</v>
      </c>
    </row>
    <row r="18" spans="1:18" x14ac:dyDescent="0.25">
      <c r="A18" t="s">
        <v>28</v>
      </c>
      <c r="B18" t="s">
        <v>29</v>
      </c>
      <c r="C18" s="81">
        <f>IF(VLOOKUP(A18,Schlußkurse!A$5:AU$105,35,FALSE)&gt;0,IF(VLOOKUP(A18,Dividende_je_Aktie!A$3:AM$103,7,FALSE)&lt;&gt;"",VLOOKUP(A18,Dividende_je_Aktie!A$3:AM$103,7,FALSE)/VLOOKUP(A18,Schlußkurse!A$5:AU$105,35,FALSE),""),"")</f>
        <v>2.6405716060888478E-2</v>
      </c>
      <c r="D18" s="82">
        <f>IF(VLOOKUP(A18,Schlußkurse!A$5:AU$105,36,FALSE)&gt;0,IF(VLOOKUP(A18,Dividende_je_Aktie!A$3:AM$103,8,FALSE)&lt;&gt;"",VLOOKUP(A18,Dividende_je_Aktie!A$3:AM$103,8,FALSE)/VLOOKUP(A18,Schlußkurse!A$5:AU$105,36,FALSE),""),"")</f>
        <v>2.4541783162472821E-2</v>
      </c>
      <c r="E18" s="82">
        <f>IF(VLOOKUP(A18,Schlußkurse!A$5:AU$105,37,FALSE)&gt;0,IF(VLOOKUP(A18,Dividende_je_Aktie!A$3:AM$103,9,FALSE)&lt;&gt;"",VLOOKUP(A18,Dividende_je_Aktie!A$3:AM$103,9,FALSE)/VLOOKUP(A18,Schlußkurse!A$5:AU$105,37,FALSE),""),"")</f>
        <v>2.7548209366391182E-2</v>
      </c>
      <c r="F18" s="82">
        <f>IF(VLOOKUP(A18,Schlußkurse!A$5:AU$105,38,FALSE)&gt;0,IF(VLOOKUP(A18,Dividende_je_Aktie!A$3:AM$103,10,FALSE)&lt;&gt;"",VLOOKUP(A18,Dividende_je_Aktie!A$3:AM$103,10,FALSE)/VLOOKUP(A18,Schlußkurse!A$5:AU$105,38,FALSE),""),"")</f>
        <v>2.7714067278287461E-2</v>
      </c>
      <c r="G18" s="82">
        <f>IF(VLOOKUP(A18,Schlußkurse!A$5:AU$105,39,FALSE)&gt;0,IF(VLOOKUP(A18,Dividende_je_Aktie!A$3:AM$103,11,FALSE)&lt;&gt;"",VLOOKUP(A18,Dividende_je_Aktie!A$3:AM$103,11,FALSE)/VLOOKUP(A18,Schlußkurse!A$5:AU$105,39,FALSE),""),"")</f>
        <v>2.905520488928965E-2</v>
      </c>
      <c r="H18" s="82">
        <f>IF(VLOOKUP(A18,Schlußkurse!A$5:AU$105,40,FALSE)&gt;0,IF(VLOOKUP(A18,Dividende_je_Aktie!A$3:AM$103,12,FALSE)&lt;&gt;"",VLOOKUP(A18,Dividende_je_Aktie!A$3:AM$103,12,FALSE)/VLOOKUP(A18,Schlußkurse!A$5:AU$105,40,FALSE),""),"")</f>
        <v>2.8618488779081734E-2</v>
      </c>
      <c r="I18" s="82">
        <f>IF(VLOOKUP(A18,Schlußkurse!A$5:AU$105,41,FALSE)&gt;0,IF(VLOOKUP(A18,Dividende_je_Aktie!A$3:AM$103,13,FALSE)&lt;&gt;"",VLOOKUP(A18,Dividende_je_Aktie!A$3:AM$103,13,FALSE)/VLOOKUP(A18,Schlußkurse!A$5:AU$105,41,FALSE),""),"")</f>
        <v>2.76478094427903E-2</v>
      </c>
      <c r="J18" s="82">
        <f>IF(VLOOKUP(A18,Schlußkurse!A$5:AU$105,42,FALSE)&gt;0,IF(VLOOKUP(A18,Dividende_je_Aktie!A$3:AM$103,14,FALSE)&lt;&gt;"",VLOOKUP(A18,Dividende_je_Aktie!A$3:AM$103,14,FALSE)/VLOOKUP(A18,Schlußkurse!A$5:AU$105,42,FALSE),""),"")</f>
        <v>2.8017744571561989E-2</v>
      </c>
      <c r="K18" s="82">
        <f>IF(VLOOKUP(A18,Schlußkurse!A$5:AU$105,43,FALSE)&gt;0,IF(VLOOKUP(A18,Dividende_je_Aktie!A$3:AM$103,15,FALSE)&lt;&gt;"",VLOOKUP(A18,Dividende_je_Aktie!A$3:AM$103,15,FALSE)/VLOOKUP(A18,Schlußkurse!A$5:AU$105,43,FALSE),""),"")</f>
        <v>2.779064381658175E-2</v>
      </c>
      <c r="L18" s="82">
        <f>IF(VLOOKUP(A18,Schlußkurse!A$5:AU$105,44,FALSE)&gt;0,IF(VLOOKUP(A18,Dividende_je_Aktie!A$3:AM$103,16,FALSE)&lt;&gt;"",VLOOKUP(A18,Dividende_je_Aktie!A$3:AM$103,16,FALSE)/VLOOKUP(A18,Schlußkurse!A$5:AU$105,44,FALSE),""),"")</f>
        <v>1.7915309446254073E-2</v>
      </c>
      <c r="M18" s="82">
        <f>IF(VLOOKUP(A18,Schlußkurse!A$5:AU$105,45,FALSE)&gt;0,IF(VLOOKUP(A18,Dividende_je_Aktie!A$3:AM$103,17,FALSE)&lt;&gt;"",VLOOKUP(A18,Dividende_je_Aktie!A$3:AM$103,17,FALSE)/VLOOKUP(A18,Schlußkurse!A$5:AU$105,45,FALSE),""),"")</f>
        <v>1.7421602787456445E-2</v>
      </c>
      <c r="N18" s="82">
        <f>IF(VLOOKUP(A18,Schlußkurse!A$5:AU$105,46,FALSE)&gt;0,IF(VLOOKUP(A18,Dividende_je_Aktie!A$3:AM$103,18,FALSE)&lt;&gt;"",VLOOKUP(A18,Dividende_je_Aktie!A$3:AM$103,18,FALSE)/VLOOKUP(A18,Schlußkurse!A$5:AU$105,46,FALSE),""),"")</f>
        <v>1.9263456090651557E-2</v>
      </c>
      <c r="O18" s="83">
        <f>IF(VLOOKUP(A18,Schlußkurse!A$5:AU$105,47,FALSE)&gt;0,IF(VLOOKUP(A18,Dividende_je_Aktie!A$3:AM$103,19,FALSE)&lt;&gt;"",VLOOKUP(A18,Dividende_je_Aktie!A$3:AM$103,19,FALSE)/VLOOKUP(A18,Schlußkurse!A$5:AU$105,47,FALSE),""),"")</f>
        <v>2.0014716703458425E-2</v>
      </c>
      <c r="P18" s="5">
        <f t="shared" si="0"/>
        <v>2.4765750184243533E-2</v>
      </c>
      <c r="Q18" s="5">
        <f ca="1">VLOOKUP(A18,Dividende_je_Aktie!A$3:AM$103,24,FALSE)/VLOOKUP(A18,Schlußkurse!A$5:AU$105,35,FALSE)</f>
        <v>2.5173449311380349E-2</v>
      </c>
      <c r="R18" s="5">
        <f t="shared" ca="1" si="1"/>
        <v>1.6462215927389945E-2</v>
      </c>
    </row>
    <row r="19" spans="1:18" x14ac:dyDescent="0.25">
      <c r="A19" t="s">
        <v>30</v>
      </c>
      <c r="B19" t="s">
        <v>31</v>
      </c>
      <c r="C19" s="81">
        <f>IF(VLOOKUP(A19,Schlußkurse!A$5:AU$105,35,FALSE)&gt;0,IF(VLOOKUP(A19,Dividende_je_Aktie!A$3:AM$103,7,FALSE)&lt;&gt;"",VLOOKUP(A19,Dividende_je_Aktie!A$3:AM$103,7,FALSE)/VLOOKUP(A19,Schlußkurse!A$5:AU$105,35,FALSE),""),"")</f>
        <v>4.4586874738748783E-2</v>
      </c>
      <c r="D19" s="82">
        <f>IF(VLOOKUP(A19,Schlußkurse!A$5:AU$105,36,FALSE)&gt;0,IF(VLOOKUP(A19,Dividende_je_Aktie!A$3:AM$103,8,FALSE)&lt;&gt;"",VLOOKUP(A19,Dividende_je_Aktie!A$3:AM$103,8,FALSE)/VLOOKUP(A19,Schlußkurse!A$5:AU$105,36,FALSE),""),"")</f>
        <v>4.2636198968928528E-2</v>
      </c>
      <c r="E19" s="82">
        <f>IF(VLOOKUP(A19,Schlußkurse!A$5:AU$105,37,FALSE)&gt;0,IF(VLOOKUP(A19,Dividende_je_Aktie!A$3:AM$103,9,FALSE)&lt;&gt;"",VLOOKUP(A19,Dividende_je_Aktie!A$3:AM$103,9,FALSE)/VLOOKUP(A19,Schlußkurse!A$5:AU$105,37,FALSE),""),"")</f>
        <v>4.2285714285714288E-2</v>
      </c>
      <c r="F19" s="82">
        <f>IF(VLOOKUP(A19,Schlußkurse!A$5:AU$105,38,FALSE)&gt;0,IF(VLOOKUP(A19,Dividende_je_Aktie!A$3:AM$103,10,FALSE)&lt;&gt;"",VLOOKUP(A19,Dividende_je_Aktie!A$3:AM$103,10,FALSE)/VLOOKUP(A19,Schlußkurse!A$5:AU$105,38,FALSE),""),"")</f>
        <v>4.3854231006794309E-2</v>
      </c>
      <c r="G19" s="82">
        <f>IF(VLOOKUP(A19,Schlußkurse!A$5:AU$105,39,FALSE)&gt;0,IF(VLOOKUP(A19,Dividende_je_Aktie!A$3:AM$103,11,FALSE)&lt;&gt;"",VLOOKUP(A19,Dividende_je_Aktie!A$3:AM$103,11,FALSE)/VLOOKUP(A19,Schlußkurse!A$5:AU$105,39,FALSE),""),"")</f>
        <v>4.3255366869593082E-2</v>
      </c>
      <c r="H19" s="82">
        <f>IF(VLOOKUP(A19,Schlußkurse!A$5:AU$105,40,FALSE)&gt;0,IF(VLOOKUP(A19,Dividende_je_Aktie!A$3:AM$103,12,FALSE)&lt;&gt;"",VLOOKUP(A19,Dividende_je_Aktie!A$3:AM$103,12,FALSE)/VLOOKUP(A19,Schlußkurse!A$5:AU$105,40,FALSE),""),"")</f>
        <v>4.1564392079855995E-2</v>
      </c>
      <c r="I19" s="82">
        <f>IF(VLOOKUP(A19,Schlußkurse!A$5:AU$105,41,FALSE)&gt;0,IF(VLOOKUP(A19,Dividende_je_Aktie!A$3:AM$103,13,FALSE)&lt;&gt;"",VLOOKUP(A19,Dividende_je_Aktie!A$3:AM$103,13,FALSE)/VLOOKUP(A19,Schlußkurse!A$5:AU$105,41,FALSE),""),"")</f>
        <v>4.6275624112035715E-2</v>
      </c>
      <c r="J19" s="82">
        <f>IF(VLOOKUP(A19,Schlußkurse!A$5:AU$105,42,FALSE)&gt;0,IF(VLOOKUP(A19,Dividende_je_Aktie!A$3:AM$103,14,FALSE)&lt;&gt;"",VLOOKUP(A19,Dividende_je_Aktie!A$3:AM$103,14,FALSE)/VLOOKUP(A19,Schlußkurse!A$5:AU$105,42,FALSE),""),"")</f>
        <v>4.9590875278948676E-2</v>
      </c>
      <c r="K19" s="82">
        <f>IF(VLOOKUP(A19,Schlußkurse!A$5:AU$105,43,FALSE)&gt;0,IF(VLOOKUP(A19,Dividende_je_Aktie!A$3:AM$103,15,FALSE)&lt;&gt;"",VLOOKUP(A19,Dividende_je_Aktie!A$3:AM$103,15,FALSE)/VLOOKUP(A19,Schlußkurse!A$5:AU$105,43,FALSE),""),"")</f>
        <v>4.6666666666666662E-2</v>
      </c>
      <c r="L19" s="82">
        <f>IF(VLOOKUP(A19,Schlußkurse!A$5:AU$105,44,FALSE)&gt;0,IF(VLOOKUP(A19,Dividende_je_Aktie!A$3:AM$103,16,FALSE)&lt;&gt;"",VLOOKUP(A19,Dividende_je_Aktie!A$3:AM$103,16,FALSE)/VLOOKUP(A19,Schlußkurse!A$5:AU$105,44,FALSE),""),"")</f>
        <v>3.3587786259541987E-2</v>
      </c>
      <c r="M19" s="82" t="str">
        <f>IF(VLOOKUP(A19,Schlußkurse!A$5:AU$105,45,FALSE)&gt;0,IF(VLOOKUP(A19,Dividende_je_Aktie!A$3:AM$103,17,FALSE)&lt;&gt;"",VLOOKUP(A19,Dividende_je_Aktie!A$3:AM$103,17,FALSE)/VLOOKUP(A19,Schlußkurse!A$5:AU$105,45,FALSE),""),"")</f>
        <v/>
      </c>
      <c r="N19" s="82" t="str">
        <f>IF(VLOOKUP(A19,Schlußkurse!A$5:AU$105,46,FALSE)&gt;0,IF(VLOOKUP(A19,Dividende_je_Aktie!A$3:AM$103,18,FALSE)&lt;&gt;"",VLOOKUP(A19,Dividende_je_Aktie!A$3:AM$103,18,FALSE)/VLOOKUP(A19,Schlußkurse!A$5:AU$105,46,FALSE),""),"")</f>
        <v/>
      </c>
      <c r="O19" s="83" t="str">
        <f>IF(VLOOKUP(A19,Schlußkurse!A$5:AU$105,47,FALSE)&gt;0,IF(VLOOKUP(A19,Dividende_je_Aktie!A$3:AM$103,19,FALSE)&lt;&gt;"",VLOOKUP(A19,Dividende_je_Aktie!A$3:AM$103,19,FALSE)/VLOOKUP(A19,Schlußkurse!A$5:AU$105,47,FALSE),""),"")</f>
        <v/>
      </c>
      <c r="P19" s="5">
        <f t="shared" si="0"/>
        <v>4.3430373026682803E-2</v>
      </c>
      <c r="Q19" s="5">
        <f ca="1">VLOOKUP(A19,Dividende_je_Aktie!A$3:AM$103,24,FALSE)/VLOOKUP(A19,Schlußkurse!A$5:AU$105,35,FALSE)</f>
        <v>4.3297261313145395E-2</v>
      </c>
      <c r="R19" s="5">
        <f t="shared" ca="1" si="1"/>
        <v>-3.0649452044915204E-3</v>
      </c>
    </row>
    <row r="20" spans="1:18" x14ac:dyDescent="0.25">
      <c r="A20" t="s">
        <v>32</v>
      </c>
      <c r="B20" t="s">
        <v>33</v>
      </c>
      <c r="C20" s="81">
        <f>IF(VLOOKUP(A20,Schlußkurse!A$5:AU$105,35,FALSE)&gt;0,IF(VLOOKUP(A20,Dividende_je_Aktie!A$3:AM$103,7,FALSE)&lt;&gt;"",VLOOKUP(A20,Dividende_je_Aktie!A$3:AM$103,7,FALSE)/VLOOKUP(A20,Schlußkurse!A$5:AU$105,35,FALSE),""),"")</f>
        <v>4.8234552332912989E-2</v>
      </c>
      <c r="D20" s="82">
        <f>IF(VLOOKUP(A20,Schlußkurse!A$5:AU$105,36,FALSE)&gt;0,IF(VLOOKUP(A20,Dividende_je_Aktie!A$3:AM$103,8,FALSE)&lt;&gt;"",VLOOKUP(A20,Dividende_je_Aktie!A$3:AM$103,8,FALSE)/VLOOKUP(A20,Schlußkurse!A$5:AU$105,36,FALSE),""),"")</f>
        <v>4.4136191677175286E-2</v>
      </c>
      <c r="E20" s="82">
        <f>IF(VLOOKUP(A20,Schlußkurse!A$5:AU$105,37,FALSE)&gt;0,IF(VLOOKUP(A20,Dividende_je_Aktie!A$3:AM$103,9,FALSE)&lt;&gt;"",VLOOKUP(A20,Dividende_je_Aktie!A$3:AM$103,9,FALSE)/VLOOKUP(A20,Schlußkurse!A$5:AU$105,37,FALSE),""),"")</f>
        <v>4.8048048048048048E-2</v>
      </c>
      <c r="F20" s="82">
        <f>IF(VLOOKUP(A20,Schlußkurse!A$5:AU$105,38,FALSE)&gt;0,IF(VLOOKUP(A20,Dividende_je_Aktie!A$3:AM$103,10,FALSE)&lt;&gt;"",VLOOKUP(A20,Dividende_je_Aktie!A$3:AM$103,10,FALSE)/VLOOKUP(A20,Schlußkurse!A$5:AU$105,38,FALSE),""),"")</f>
        <v>5.0721469173589849E-2</v>
      </c>
      <c r="G20" s="82">
        <f>IF(VLOOKUP(A20,Schlußkurse!A$5:AU$105,39,FALSE)&gt;0,IF(VLOOKUP(A20,Dividende_je_Aktie!A$3:AM$103,11,FALSE)&lt;&gt;"",VLOOKUP(A20,Dividende_je_Aktie!A$3:AM$103,11,FALSE)/VLOOKUP(A20,Schlußkurse!A$5:AU$105,39,FALSE),""),"")</f>
        <v>4.6247818499127395E-2</v>
      </c>
      <c r="H20" s="82">
        <f>IF(VLOOKUP(A20,Schlußkurse!A$5:AU$105,40,FALSE)&gt;0,IF(VLOOKUP(A20,Dividende_je_Aktie!A$3:AM$103,12,FALSE)&lt;&gt;"",VLOOKUP(A20,Dividende_je_Aktie!A$3:AM$103,12,FALSE)/VLOOKUP(A20,Schlußkurse!A$5:AU$105,40,FALSE),""),"")</f>
        <v>4.3698252069917204E-2</v>
      </c>
      <c r="I20" s="82">
        <f>IF(VLOOKUP(A20,Schlußkurse!A$5:AU$105,41,FALSE)&gt;0,IF(VLOOKUP(A20,Dividende_je_Aktie!A$3:AM$103,13,FALSE)&lt;&gt;"",VLOOKUP(A20,Dividende_je_Aktie!A$3:AM$103,13,FALSE)/VLOOKUP(A20,Schlußkurse!A$5:AU$105,41,FALSE),""),"")</f>
        <v>4.4280442804428048E-2</v>
      </c>
      <c r="J20" s="82">
        <f>IF(VLOOKUP(A20,Schlußkurse!A$5:AU$105,42,FALSE)&gt;0,IF(VLOOKUP(A20,Dividende_je_Aktie!A$3:AM$103,14,FALSE)&lt;&gt;"",VLOOKUP(A20,Dividende_je_Aktie!A$3:AM$103,14,FALSE)/VLOOKUP(A20,Schlußkurse!A$5:AU$105,42,FALSE),""),"")</f>
        <v>4.0376106194690266E-2</v>
      </c>
      <c r="K20" s="82">
        <f>IF(VLOOKUP(A20,Schlußkurse!A$5:AU$105,43,FALSE)&gt;0,IF(VLOOKUP(A20,Dividende_je_Aktie!A$3:AM$103,15,FALSE)&lt;&gt;"",VLOOKUP(A20,Dividende_je_Aktie!A$3:AM$103,15,FALSE)/VLOOKUP(A20,Schlußkurse!A$5:AU$105,43,FALSE),""),"")</f>
        <v>3.5058430717863111E-2</v>
      </c>
      <c r="L20" s="82">
        <f>IF(VLOOKUP(A20,Schlußkurse!A$5:AU$105,44,FALSE)&gt;0,IF(VLOOKUP(A20,Dividende_je_Aktie!A$3:AM$103,16,FALSE)&lt;&gt;"",VLOOKUP(A20,Dividende_je_Aktie!A$3:AM$103,16,FALSE)/VLOOKUP(A20,Schlußkurse!A$5:AU$105,44,FALSE),""),"")</f>
        <v>2.677376171352075E-2</v>
      </c>
      <c r="M20" s="82" t="str">
        <f>IF(VLOOKUP(A20,Schlußkurse!A$5:AU$105,45,FALSE)&gt;0,IF(VLOOKUP(A20,Dividende_je_Aktie!A$3:AM$103,17,FALSE)&lt;&gt;"",VLOOKUP(A20,Dividende_je_Aktie!A$3:AM$103,17,FALSE)/VLOOKUP(A20,Schlußkurse!A$5:AU$105,45,FALSE),""),"")</f>
        <v/>
      </c>
      <c r="N20" s="82" t="str">
        <f>IF(VLOOKUP(A20,Schlußkurse!A$5:AU$105,46,FALSE)&gt;0,IF(VLOOKUP(A20,Dividende_je_Aktie!A$3:AM$103,18,FALSE)&lt;&gt;"",VLOOKUP(A20,Dividende_je_Aktie!A$3:AM$103,18,FALSE)/VLOOKUP(A20,Schlußkurse!A$5:AU$105,46,FALSE),""),"")</f>
        <v/>
      </c>
      <c r="O20" s="83" t="str">
        <f>IF(VLOOKUP(A20,Schlußkurse!A$5:AU$105,47,FALSE)&gt;0,IF(VLOOKUP(A20,Dividende_je_Aktie!A$3:AM$103,19,FALSE)&lt;&gt;"",VLOOKUP(A20,Dividende_je_Aktie!A$3:AM$103,19,FALSE)/VLOOKUP(A20,Schlußkurse!A$5:AU$105,47,FALSE),""),"")</f>
        <v/>
      </c>
      <c r="P20" s="5">
        <f t="shared" si="0"/>
        <v>4.2757507323127303E-2</v>
      </c>
      <c r="Q20" s="5">
        <f ca="1">VLOOKUP(A20,Dividende_je_Aktie!A$3:AM$103,24,FALSE)/VLOOKUP(A20,Schlußkurse!A$5:AU$105,35,FALSE)</f>
        <v>4.6561055065153435E-2</v>
      </c>
      <c r="R20" s="5">
        <f t="shared" ca="1" si="1"/>
        <v>8.8956255407546037E-2</v>
      </c>
    </row>
    <row r="21" spans="1:18" x14ac:dyDescent="0.25">
      <c r="A21" t="s">
        <v>34</v>
      </c>
      <c r="B21" t="s">
        <v>35</v>
      </c>
      <c r="C21" s="81">
        <f>IF(VLOOKUP(A21,Schlußkurse!A$5:AU$105,35,FALSE)&gt;0,IF(VLOOKUP(A21,Dividende_je_Aktie!A$3:AM$103,7,FALSE)&lt;&gt;"",VLOOKUP(A21,Dividende_je_Aktie!A$3:AM$103,7,FALSE)/VLOOKUP(A21,Schlußkurse!A$5:AU$105,35,FALSE),""),"")</f>
        <v>4.9913194444444441E-2</v>
      </c>
      <c r="D21" s="82">
        <f>IF(VLOOKUP(A21,Schlußkurse!A$5:AU$105,36,FALSE)&gt;0,IF(VLOOKUP(A21,Dividende_je_Aktie!A$3:AM$103,8,FALSE)&lt;&gt;"",VLOOKUP(A21,Dividende_je_Aktie!A$3:AM$103,8,FALSE)/VLOOKUP(A21,Schlußkurse!A$5:AU$105,36,FALSE),""),"")</f>
        <v>5.1258788841007034E-2</v>
      </c>
      <c r="E21" s="82">
        <f>IF(VLOOKUP(A21,Schlußkurse!A$5:AU$105,37,FALSE)&gt;0,IF(VLOOKUP(A21,Dividende_je_Aktie!A$3:AM$103,9,FALSE)&lt;&gt;"",VLOOKUP(A21,Dividende_je_Aktie!A$3:AM$103,9,FALSE)/VLOOKUP(A21,Schlußkurse!A$5:AU$105,37,FALSE),""),"")</f>
        <v>4.9931911030413077E-2</v>
      </c>
      <c r="F21" s="82">
        <f>IF(VLOOKUP(A21,Schlußkurse!A$5:AU$105,38,FALSE)&gt;0,IF(VLOOKUP(A21,Dividende_je_Aktie!A$3:AM$103,10,FALSE)&lt;&gt;"",VLOOKUP(A21,Dividende_je_Aktie!A$3:AM$103,10,FALSE)/VLOOKUP(A21,Schlußkurse!A$5:AU$105,38,FALSE),""),"")</f>
        <v>5.3590568060021437E-2</v>
      </c>
      <c r="G21" s="82">
        <f>IF(VLOOKUP(A21,Schlußkurse!A$5:AU$105,39,FALSE)&gt;0,IF(VLOOKUP(A21,Dividende_je_Aktie!A$3:AM$103,11,FALSE)&lt;&gt;"",VLOOKUP(A21,Dividende_je_Aktie!A$3:AM$103,11,FALSE)/VLOOKUP(A21,Schlußkurse!A$5:AU$105,39,FALSE),""),"")</f>
        <v>5.5168408826945417E-2</v>
      </c>
      <c r="H21" s="82">
        <f>IF(VLOOKUP(A21,Schlußkurse!A$5:AU$105,40,FALSE)&gt;0,IF(VLOOKUP(A21,Dividende_je_Aktie!A$3:AM$103,12,FALSE)&lt;&gt;"",VLOOKUP(A21,Dividende_je_Aktie!A$3:AM$103,12,FALSE)/VLOOKUP(A21,Schlußkurse!A$5:AU$105,40,FALSE),""),"")</f>
        <v>5.0424929178470253E-2</v>
      </c>
      <c r="I21" s="82">
        <f>IF(VLOOKUP(A21,Schlußkurse!A$5:AU$105,41,FALSE)&gt;0,IF(VLOOKUP(A21,Dividende_je_Aktie!A$3:AM$103,13,FALSE)&lt;&gt;"",VLOOKUP(A21,Dividende_je_Aktie!A$3:AM$103,13,FALSE)/VLOOKUP(A21,Schlußkurse!A$5:AU$105,41,FALSE),""),"")</f>
        <v>5.460526315789474E-2</v>
      </c>
      <c r="J21" s="82">
        <f>IF(VLOOKUP(A21,Schlußkurse!A$5:AU$105,42,FALSE)&gt;0,IF(VLOOKUP(A21,Dividende_je_Aktie!A$3:AM$103,14,FALSE)&lt;&gt;"",VLOOKUP(A21,Dividende_je_Aktie!A$3:AM$103,14,FALSE)/VLOOKUP(A21,Schlußkurse!A$5:AU$105,42,FALSE),""),"")</f>
        <v>4.5621181262729127E-2</v>
      </c>
      <c r="K21" s="82">
        <f>IF(VLOOKUP(A21,Schlußkurse!A$5:AU$105,43,FALSE)&gt;0,IF(VLOOKUP(A21,Dividende_je_Aktie!A$3:AM$103,15,FALSE)&lt;&gt;"",VLOOKUP(A21,Dividende_je_Aktie!A$3:AM$103,15,FALSE)/VLOOKUP(A21,Schlußkurse!A$5:AU$105,43,FALSE),""),"")</f>
        <v>4.9701789264413522E-2</v>
      </c>
      <c r="L21" s="82">
        <f>IF(VLOOKUP(A21,Schlußkurse!A$5:AU$105,44,FALSE)&gt;0,IF(VLOOKUP(A21,Dividende_je_Aktie!A$3:AM$103,16,FALSE)&lt;&gt;"",VLOOKUP(A21,Dividende_je_Aktie!A$3:AM$103,16,FALSE)/VLOOKUP(A21,Schlußkurse!A$5:AU$105,44,FALSE),""),"")</f>
        <v>5.0184501845018457E-2</v>
      </c>
      <c r="M21" s="82">
        <f>IF(VLOOKUP(A21,Schlußkurse!A$5:AU$105,45,FALSE)&gt;0,IF(VLOOKUP(A21,Dividende_je_Aktie!A$3:AM$103,17,FALSE)&lt;&gt;"",VLOOKUP(A21,Dividende_je_Aktie!A$3:AM$103,17,FALSE)/VLOOKUP(A21,Schlußkurse!A$5:AU$105,45,FALSE),""),"")</f>
        <v>5.0622406639004143E-2</v>
      </c>
      <c r="N21" s="82">
        <f>IF(VLOOKUP(A21,Schlußkurse!A$5:AU$105,46,FALSE)&gt;0,IF(VLOOKUP(A21,Dividende_je_Aktie!A$3:AM$103,18,FALSE)&lt;&gt;"",VLOOKUP(A21,Dividende_je_Aktie!A$3:AM$103,18,FALSE)/VLOOKUP(A21,Schlußkurse!A$5:AU$105,46,FALSE),""),"")</f>
        <v>2.8469750889679714E-2</v>
      </c>
      <c r="O21" s="83">
        <f>IF(VLOOKUP(A21,Schlußkurse!A$5:AU$105,47,FALSE)&gt;0,IF(VLOOKUP(A21,Dividende_je_Aktie!A$3:AM$103,19,FALSE)&lt;&gt;"",VLOOKUP(A21,Dividende_je_Aktie!A$3:AM$103,19,FALSE)/VLOOKUP(A21,Schlußkurse!A$5:AU$105,47,FALSE),""),"")</f>
        <v>1.5533980582524271E-2</v>
      </c>
      <c r="P21" s="5">
        <f t="shared" si="0"/>
        <v>4.6540513386351207E-2</v>
      </c>
      <c r="Q21" s="5">
        <f ca="1">VLOOKUP(A21,Dividende_je_Aktie!A$3:AM$103,24,FALSE)/VLOOKUP(A21,Schlußkurse!A$5:AU$105,35,FALSE)</f>
        <v>4.9951774691358024E-2</v>
      </c>
      <c r="R21" s="5">
        <f t="shared" ca="1" si="1"/>
        <v>7.3296598099135357E-2</v>
      </c>
    </row>
    <row r="22" spans="1:18" x14ac:dyDescent="0.25">
      <c r="A22" t="s">
        <v>36</v>
      </c>
      <c r="B22" t="s">
        <v>37</v>
      </c>
      <c r="C22" s="81">
        <f>IF(VLOOKUP(A22,Schlußkurse!A$5:AU$105,35,FALSE)&gt;0,IF(VLOOKUP(A22,Dividende_je_Aktie!A$3:AM$103,7,FALSE)&lt;&gt;"",VLOOKUP(A22,Dividende_je_Aktie!A$3:AM$103,7,FALSE)/VLOOKUP(A22,Schlußkurse!A$5:AU$105,35,FALSE),""),"")</f>
        <v>3.2460063897763576E-2</v>
      </c>
      <c r="D22" s="82">
        <f>IF(VLOOKUP(A22,Schlußkurse!A$5:AU$105,36,FALSE)&gt;0,IF(VLOOKUP(A22,Dividende_je_Aktie!A$3:AM$103,8,FALSE)&lt;&gt;"",VLOOKUP(A22,Dividende_je_Aktie!A$3:AM$103,8,FALSE)/VLOOKUP(A22,Schlußkurse!A$5:AU$105,36,FALSE),""),"")</f>
        <v>3.0415335463258784E-2</v>
      </c>
      <c r="E22" s="82">
        <f>IF(VLOOKUP(A22,Schlußkurse!A$5:AU$105,37,FALSE)&gt;0,IF(VLOOKUP(A22,Dividende_je_Aktie!A$3:AM$103,9,FALSE)&lt;&gt;"",VLOOKUP(A22,Dividende_je_Aktie!A$3:AM$103,9,FALSE)/VLOOKUP(A22,Schlußkurse!A$5:AU$105,37,FALSE),""),"")</f>
        <v>3.4313725490196081E-2</v>
      </c>
      <c r="F22" s="82">
        <f>IF(VLOOKUP(A22,Schlußkurse!A$5:AU$105,38,FALSE)&gt;0,IF(VLOOKUP(A22,Dividende_je_Aktie!A$3:AM$103,10,FALSE)&lt;&gt;"",VLOOKUP(A22,Dividende_je_Aktie!A$3:AM$103,10,FALSE)/VLOOKUP(A22,Schlußkurse!A$5:AU$105,38,FALSE),""),"")</f>
        <v>3.5866780529462003E-2</v>
      </c>
      <c r="G22" s="82">
        <f>IF(VLOOKUP(A22,Schlußkurse!A$5:AU$105,39,FALSE)&gt;0,IF(VLOOKUP(A22,Dividende_je_Aktie!A$3:AM$103,11,FALSE)&lt;&gt;"",VLOOKUP(A22,Dividende_je_Aktie!A$3:AM$103,11,FALSE)/VLOOKUP(A22,Schlußkurse!A$5:AU$105,39,FALSE),""),"")</f>
        <v>3.3639674007282815E-2</v>
      </c>
      <c r="H22" s="82">
        <f>IF(VLOOKUP(A22,Schlußkurse!A$5:AU$105,40,FALSE)&gt;0,IF(VLOOKUP(A22,Dividende_je_Aktie!A$3:AM$103,12,FALSE)&lt;&gt;"",VLOOKUP(A22,Dividende_je_Aktie!A$3:AM$103,12,FALSE)/VLOOKUP(A22,Schlußkurse!A$5:AU$105,40,FALSE),""),"")</f>
        <v>3.3872788859616108E-2</v>
      </c>
      <c r="I22" s="82">
        <f>IF(VLOOKUP(A22,Schlußkurse!A$5:AU$105,41,FALSE)&gt;0,IF(VLOOKUP(A22,Dividende_je_Aktie!A$3:AM$103,13,FALSE)&lt;&gt;"",VLOOKUP(A22,Dividende_je_Aktie!A$3:AM$103,13,FALSE)/VLOOKUP(A22,Schlußkurse!A$5:AU$105,41,FALSE),""),"")</f>
        <v>3.5622317596566519E-2</v>
      </c>
      <c r="J22" s="82">
        <f>IF(VLOOKUP(A22,Schlußkurse!A$5:AU$105,42,FALSE)&gt;0,IF(VLOOKUP(A22,Dividende_je_Aktie!A$3:AM$103,14,FALSE)&lt;&gt;"",VLOOKUP(A22,Dividende_je_Aktie!A$3:AM$103,14,FALSE)/VLOOKUP(A22,Schlußkurse!A$5:AU$105,42,FALSE),""),"")</f>
        <v>3.5164835164835165E-2</v>
      </c>
      <c r="K22" s="82">
        <f>IF(VLOOKUP(A22,Schlußkurse!A$5:AU$105,43,FALSE)&gt;0,IF(VLOOKUP(A22,Dividende_je_Aktie!A$3:AM$103,15,FALSE)&lt;&gt;"",VLOOKUP(A22,Dividende_je_Aktie!A$3:AM$103,15,FALSE)/VLOOKUP(A22,Schlußkurse!A$5:AU$105,43,FALSE),""),"")</f>
        <v>4.4405997693194928E-2</v>
      </c>
      <c r="L22" s="82">
        <f>IF(VLOOKUP(A22,Schlußkurse!A$5:AU$105,44,FALSE)&gt;0,IF(VLOOKUP(A22,Dividende_je_Aktie!A$3:AM$103,16,FALSE)&lt;&gt;"",VLOOKUP(A22,Dividende_je_Aktie!A$3:AM$103,16,FALSE)/VLOOKUP(A22,Schlußkurse!A$5:AU$105,44,FALSE),""),"")</f>
        <v>2.9821073558648114E-2</v>
      </c>
      <c r="M22" s="82">
        <f>IF(VLOOKUP(A22,Schlußkurse!A$5:AU$105,45,FALSE)&gt;0,IF(VLOOKUP(A22,Dividende_je_Aktie!A$3:AM$103,17,FALSE)&lt;&gt;"",VLOOKUP(A22,Dividende_je_Aktie!A$3:AM$103,17,FALSE)/VLOOKUP(A22,Schlußkurse!A$5:AU$105,45,FALSE),""),"")</f>
        <v>3.4057971014492754E-2</v>
      </c>
      <c r="N22" s="82">
        <f>IF(VLOOKUP(A22,Schlußkurse!A$5:AU$105,46,FALSE)&gt;0,IF(VLOOKUP(A22,Dividende_je_Aktie!A$3:AM$103,18,FALSE)&lt;&gt;"",VLOOKUP(A22,Dividende_je_Aktie!A$3:AM$103,18,FALSE)/VLOOKUP(A22,Schlußkurse!A$5:AU$105,46,FALSE),""),"")</f>
        <v>3.4227039361095266E-2</v>
      </c>
      <c r="O22" s="83">
        <f>IF(VLOOKUP(A22,Schlußkurse!A$5:AU$105,47,FALSE)&gt;0,IF(VLOOKUP(A22,Dividende_je_Aktie!A$3:AM$103,19,FALSE)&lt;&gt;"",VLOOKUP(A22,Dividende_je_Aktie!A$3:AM$103,19,FALSE)/VLOOKUP(A22,Schlußkurse!A$5:AU$105,47,FALSE),""),"")</f>
        <v>3.8314176245210725E-2</v>
      </c>
      <c r="P22" s="5">
        <f t="shared" si="0"/>
        <v>3.4783213760124838E-2</v>
      </c>
      <c r="Q22" s="5">
        <f ca="1">VLOOKUP(A22,Dividende_je_Aktie!A$3:AM$103,24,FALSE)/VLOOKUP(A22,Schlußkurse!A$5:AU$105,35,FALSE)</f>
        <v>3.1108271210507629E-2</v>
      </c>
      <c r="R22" s="5">
        <f t="shared" ca="1" si="1"/>
        <v>-0.10565276040795668</v>
      </c>
    </row>
    <row r="23" spans="1:18" x14ac:dyDescent="0.25">
      <c r="A23" t="s">
        <v>38</v>
      </c>
      <c r="B23" t="s">
        <v>39</v>
      </c>
      <c r="C23" s="81">
        <f>IF(VLOOKUP(A23,Schlußkurse!A$5:AU$105,35,FALSE)&gt;0,IF(VLOOKUP(A23,Dividende_je_Aktie!A$3:AM$103,7,FALSE)&lt;&gt;"",VLOOKUP(A23,Dividende_je_Aktie!A$3:AM$103,7,FALSE)/VLOOKUP(A23,Schlußkurse!A$5:AU$105,35,FALSE),""),"")</f>
        <v>5.552359033371692E-2</v>
      </c>
      <c r="D23" s="82">
        <f>IF(VLOOKUP(A23,Schlußkurse!A$5:AU$105,36,FALSE)&gt;0,IF(VLOOKUP(A23,Dividende_je_Aktie!A$3:AM$103,8,FALSE)&lt;&gt;"",VLOOKUP(A23,Dividende_je_Aktie!A$3:AM$103,8,FALSE)/VLOOKUP(A23,Schlußkurse!A$5:AU$105,36,FALSE),""),"")</f>
        <v>5.4085155350978138E-2</v>
      </c>
      <c r="E23" s="82">
        <f>IF(VLOOKUP(A23,Schlußkurse!A$5:AU$105,37,FALSE)&gt;0,IF(VLOOKUP(A23,Dividende_je_Aktie!A$3:AM$103,9,FALSE)&lt;&gt;"",VLOOKUP(A23,Dividende_je_Aktie!A$3:AM$103,9,FALSE)/VLOOKUP(A23,Schlußkurse!A$5:AU$105,37,FALSE),""),"")</f>
        <v>5.5075915451027087E-2</v>
      </c>
      <c r="F23" s="82">
        <f>IF(VLOOKUP(A23,Schlußkurse!A$5:AU$105,38,FALSE)&gt;0,IF(VLOOKUP(A23,Dividende_je_Aktie!A$3:AM$103,10,FALSE)&lt;&gt;"",VLOOKUP(A23,Dividende_je_Aktie!A$3:AM$103,10,FALSE)/VLOOKUP(A23,Schlußkurse!A$5:AU$105,38,FALSE),""),"")</f>
        <v>5.1478953356086467E-2</v>
      </c>
      <c r="G23" s="82">
        <f>IF(VLOOKUP(A23,Schlußkurse!A$5:AU$105,39,FALSE)&gt;0,IF(VLOOKUP(A23,Dividende_je_Aktie!A$3:AM$103,11,FALSE)&lt;&gt;"",VLOOKUP(A23,Dividende_je_Aktie!A$3:AM$103,11,FALSE)/VLOOKUP(A23,Schlußkurse!A$5:AU$105,39,FALSE),""),"")</f>
        <v>5.2506674577276771E-2</v>
      </c>
      <c r="H23" s="82">
        <f>IF(VLOOKUP(A23,Schlußkurse!A$5:AU$105,40,FALSE)&gt;0,IF(VLOOKUP(A23,Dividende_je_Aktie!A$3:AM$103,12,FALSE)&lt;&gt;"",VLOOKUP(A23,Dividende_je_Aktie!A$3:AM$103,12,FALSE)/VLOOKUP(A23,Schlußkurse!A$5:AU$105,40,FALSE),""),"")</f>
        <v>5.6878306878306882E-2</v>
      </c>
      <c r="I23" s="82">
        <f>IF(VLOOKUP(A23,Schlußkurse!A$5:AU$105,41,FALSE)&gt;0,IF(VLOOKUP(A23,Dividende_je_Aktie!A$3:AM$103,13,FALSE)&lt;&gt;"",VLOOKUP(A23,Dividende_je_Aktie!A$3:AM$103,13,FALSE)/VLOOKUP(A23,Schlußkurse!A$5:AU$105,41,FALSE),""),"")</f>
        <v>5.7181756296800543E-2</v>
      </c>
      <c r="J23" s="82">
        <f>IF(VLOOKUP(A23,Schlußkurse!A$5:AU$105,42,FALSE)&gt;0,IF(VLOOKUP(A23,Dividende_je_Aktie!A$3:AM$103,14,FALSE)&lt;&gt;"",VLOOKUP(A23,Dividende_je_Aktie!A$3:AM$103,14,FALSE)/VLOOKUP(A23,Schlußkurse!A$5:AU$105,42,FALSE),""),"")</f>
        <v>5.886550124866214E-2</v>
      </c>
      <c r="K23" s="82">
        <f>IF(VLOOKUP(A23,Schlußkurse!A$5:AU$105,43,FALSE)&gt;0,IF(VLOOKUP(A23,Dividende_je_Aktie!A$3:AM$103,15,FALSE)&lt;&gt;"",VLOOKUP(A23,Dividende_je_Aktie!A$3:AM$103,15,FALSE)/VLOOKUP(A23,Schlußkurse!A$5:AU$105,43,FALSE),""),"")</f>
        <v>5.6491228070175439E-2</v>
      </c>
      <c r="L23" s="82">
        <f>IF(VLOOKUP(A23,Schlußkurse!A$5:AU$105,44,FALSE)&gt;0,IF(VLOOKUP(A23,Dividende_je_Aktie!A$3:AM$103,16,FALSE)&lt;&gt;"",VLOOKUP(A23,Dividende_je_Aktie!A$3:AM$103,16,FALSE)/VLOOKUP(A23,Schlußkurse!A$5:AU$105,44,FALSE),""),"")</f>
        <v>3.5370548604427329E-2</v>
      </c>
      <c r="M23" s="82">
        <f>IF(VLOOKUP(A23,Schlußkurse!A$5:AU$105,45,FALSE)&gt;0,IF(VLOOKUP(A23,Dividende_je_Aktie!A$3:AM$103,17,FALSE)&lt;&gt;"",VLOOKUP(A23,Dividende_je_Aktie!A$3:AM$103,17,FALSE)/VLOOKUP(A23,Schlußkurse!A$5:AU$105,45,FALSE),""),"")</f>
        <v>3.7762237762237763E-2</v>
      </c>
      <c r="N23" s="82">
        <f>IF(VLOOKUP(A23,Schlußkurse!A$5:AU$105,46,FALSE)&gt;0,IF(VLOOKUP(A23,Dividende_je_Aktie!A$3:AM$103,18,FALSE)&lt;&gt;"",VLOOKUP(A23,Dividende_je_Aktie!A$3:AM$103,18,FALSE)/VLOOKUP(A23,Schlußkurse!A$5:AU$105,46,FALSE),""),"")</f>
        <v>5.3082890975908542E-2</v>
      </c>
      <c r="O23" s="83">
        <f>IF(VLOOKUP(A23,Schlußkurse!A$5:AU$105,47,FALSE)&gt;0,IF(VLOOKUP(A23,Dividende_je_Aktie!A$3:AM$103,19,FALSE)&lt;&gt;"",VLOOKUP(A23,Dividende_je_Aktie!A$3:AM$103,19,FALSE)/VLOOKUP(A23,Schlußkurse!A$5:AU$105,47,FALSE),""),"")</f>
        <v>4.8894062863795114E-2</v>
      </c>
      <c r="P23" s="5">
        <f t="shared" si="0"/>
        <v>5.1784370905338391E-2</v>
      </c>
      <c r="Q23" s="5">
        <f ca="1">VLOOKUP(A23,Dividende_je_Aktie!A$3:AM$103,24,FALSE)/VLOOKUP(A23,Schlußkurse!A$5:AU$105,35,FALSE)</f>
        <v>5.4572624984017389E-2</v>
      </c>
      <c r="R23" s="5">
        <f t="shared" ca="1" si="1"/>
        <v>5.3843544489048822E-2</v>
      </c>
    </row>
    <row r="24" spans="1:18" x14ac:dyDescent="0.25">
      <c r="A24" t="s">
        <v>95</v>
      </c>
      <c r="B24" t="s">
        <v>199</v>
      </c>
      <c r="C24" s="81">
        <f>IF(VLOOKUP(A24,Schlußkurse!A$5:AU$105,35,FALSE)&gt;0,IF(VLOOKUP(A24,Dividende_je_Aktie!A$3:AM$103,7,FALSE)&lt;&gt;"",VLOOKUP(A24,Dividende_je_Aktie!A$3:AM$103,7,FALSE)/VLOOKUP(A24,Schlußkurse!A$5:AU$105,35,FALSE),""),"")</f>
        <v>2.6317942564158509E-2</v>
      </c>
      <c r="D24" s="82">
        <f>IF(VLOOKUP(A24,Schlußkurse!A$5:AU$105,36,FALSE)&gt;0,IF(VLOOKUP(A24,Dividende_je_Aktie!A$3:AM$103,8,FALSE)&lt;&gt;"",VLOOKUP(A24,Dividende_je_Aktie!A$3:AM$103,8,FALSE)/VLOOKUP(A24,Schlußkurse!A$5:AU$105,36,FALSE),""),"")</f>
        <v>2.3863419423459785E-2</v>
      </c>
      <c r="E24" s="82">
        <f>IF(VLOOKUP(A24,Schlußkurse!A$5:AU$105,37,FALSE)&gt;0,IF(VLOOKUP(A24,Dividende_je_Aktie!A$3:AM$103,9,FALSE)&lt;&gt;"",VLOOKUP(A24,Dividende_je_Aktie!A$3:AM$103,9,FALSE)/VLOOKUP(A24,Schlußkurse!A$5:AU$105,37,FALSE),""),"")</f>
        <v>2.1590781966662937E-2</v>
      </c>
      <c r="F24" s="82">
        <f>IF(VLOOKUP(A24,Schlußkurse!A$5:AU$105,38,FALSE)&gt;0,IF(VLOOKUP(A24,Dividende_je_Aktie!A$3:AM$103,10,FALSE)&lt;&gt;"",VLOOKUP(A24,Dividende_je_Aktie!A$3:AM$103,10,FALSE)/VLOOKUP(A24,Schlußkurse!A$5:AU$105,38,FALSE),""),"")</f>
        <v>2.1234240212342399E-2</v>
      </c>
      <c r="G24" s="82">
        <f>IF(VLOOKUP(A24,Schlußkurse!A$5:AU$105,39,FALSE)&gt;0,IF(VLOOKUP(A24,Dividende_je_Aktie!A$3:AM$103,11,FALSE)&lt;&gt;"",VLOOKUP(A24,Dividende_je_Aktie!A$3:AM$103,11,FALSE)/VLOOKUP(A24,Schlußkurse!A$5:AU$105,39,FALSE),""),"")</f>
        <v>2.9026171931691741E-2</v>
      </c>
      <c r="H24" s="82">
        <f>IF(VLOOKUP(A24,Schlußkurse!A$5:AU$105,40,FALSE)&gt;0,IF(VLOOKUP(A24,Dividende_je_Aktie!A$3:AM$103,12,FALSE)&lt;&gt;"",VLOOKUP(A24,Dividende_je_Aktie!A$3:AM$103,12,FALSE)/VLOOKUP(A24,Schlußkurse!A$5:AU$105,40,FALSE),""),"")</f>
        <v>3.0857271095152603E-2</v>
      </c>
      <c r="I24" s="82">
        <f>IF(VLOOKUP(A24,Schlußkurse!A$5:AU$105,41,FALSE)&gt;0,IF(VLOOKUP(A24,Dividende_je_Aktie!A$3:AM$103,13,FALSE)&lt;&gt;"",VLOOKUP(A24,Dividende_je_Aktie!A$3:AM$103,13,FALSE)/VLOOKUP(A24,Schlußkurse!A$5:AU$105,41,FALSE),""),"")</f>
        <v>2.0988561234127401E-2</v>
      </c>
      <c r="J24" s="82">
        <f>IF(VLOOKUP(A24,Schlußkurse!A$5:AU$105,42,FALSE)&gt;0,IF(VLOOKUP(A24,Dividende_je_Aktie!A$3:AM$103,14,FALSE)&lt;&gt;"",VLOOKUP(A24,Dividende_je_Aktie!A$3:AM$103,14,FALSE)/VLOOKUP(A24,Schlußkurse!A$5:AU$105,42,FALSE),""),"")</f>
        <v>1.3436692506459949E-2</v>
      </c>
      <c r="K24" s="82">
        <f>IF(VLOOKUP(A24,Schlußkurse!A$5:AU$105,43,FALSE)&gt;0,IF(VLOOKUP(A24,Dividende_je_Aktie!A$3:AM$103,15,FALSE)&lt;&gt;"",VLOOKUP(A24,Dividende_je_Aktie!A$3:AM$103,15,FALSE)/VLOOKUP(A24,Schlußkurse!A$5:AU$105,43,FALSE),""),"")</f>
        <v>2.3257547521431235E-2</v>
      </c>
      <c r="L24" s="82" t="str">
        <f>IF(VLOOKUP(A24,Schlußkurse!A$5:AU$105,44,FALSE)&gt;0,IF(VLOOKUP(A24,Dividende_je_Aktie!A$3:AM$103,16,FALSE)&lt;&gt;"",VLOOKUP(A24,Dividende_je_Aktie!A$3:AM$103,16,FALSE)/VLOOKUP(A24,Schlußkurse!A$5:AU$105,44,FALSE),""),"")</f>
        <v/>
      </c>
      <c r="M24" s="82" t="str">
        <f>IF(VLOOKUP(A24,Schlußkurse!A$5:AU$105,45,FALSE)&gt;0,IF(VLOOKUP(A24,Dividende_je_Aktie!A$3:AM$103,17,FALSE)&lt;&gt;"",VLOOKUP(A24,Dividende_je_Aktie!A$3:AM$103,17,FALSE)/VLOOKUP(A24,Schlußkurse!A$5:AU$105,45,FALSE),""),"")</f>
        <v/>
      </c>
      <c r="N24" s="82" t="str">
        <f>IF(VLOOKUP(A24,Schlußkurse!A$5:AU$105,46,FALSE)&gt;0,IF(VLOOKUP(A24,Dividende_je_Aktie!A$3:AM$103,18,FALSE)&lt;&gt;"",VLOOKUP(A24,Dividende_je_Aktie!A$3:AM$103,18,FALSE)/VLOOKUP(A24,Schlußkurse!A$5:AU$105,46,FALSE),""),"")</f>
        <v/>
      </c>
      <c r="O24" s="83" t="str">
        <f>IF(VLOOKUP(A24,Schlußkurse!A$5:AU$105,47,FALSE)&gt;0,IF(VLOOKUP(A24,Dividende_je_Aktie!A$3:AM$103,19,FALSE)&lt;&gt;"",VLOOKUP(A24,Dividende_je_Aktie!A$3:AM$103,19,FALSE)/VLOOKUP(A24,Schlußkurse!A$5:AU$105,47,FALSE),""),"")</f>
        <v/>
      </c>
      <c r="P24" s="5">
        <f t="shared" si="0"/>
        <v>2.3396958717276286E-2</v>
      </c>
      <c r="Q24" s="5">
        <f ca="1">VLOOKUP(A24,Dividende_je_Aktie!A$3:AM$103,24,FALSE)/VLOOKUP(A24,Schlußkurse!A$5:AU$105,35,FALSE)</f>
        <v>2.4695230043363239E-2</v>
      </c>
      <c r="R24" s="5">
        <f t="shared" ca="1" si="1"/>
        <v>5.5488892457134176E-2</v>
      </c>
    </row>
    <row r="25" spans="1:18" x14ac:dyDescent="0.25">
      <c r="A25" t="s">
        <v>40</v>
      </c>
      <c r="B25" t="s">
        <v>41</v>
      </c>
      <c r="C25" s="81">
        <f>IF(VLOOKUP(A25,Schlußkurse!A$5:AU$105,35,FALSE)&gt;0,IF(VLOOKUP(A25,Dividende_je_Aktie!A$3:AM$103,7,FALSE)&lt;&gt;"",VLOOKUP(A25,Dividende_je_Aktie!A$3:AM$103,7,FALSE)/VLOOKUP(A25,Schlußkurse!A$5:AU$105,35,FALSE),""),"")</f>
        <v>3.5070387750061743E-2</v>
      </c>
      <c r="D25" s="82">
        <f>IF(VLOOKUP(A25,Schlußkurse!A$5:AU$105,36,FALSE)&gt;0,IF(VLOOKUP(A25,Dividende_je_Aktie!A$3:AM$103,8,FALSE)&lt;&gt;"",VLOOKUP(A25,Dividende_je_Aktie!A$3:AM$103,8,FALSE)/VLOOKUP(A25,Schlußkurse!A$5:AU$105,36,FALSE),""),"")</f>
        <v>3.2600642133860214E-2</v>
      </c>
      <c r="E25" s="82">
        <f>IF(VLOOKUP(A25,Schlußkurse!A$5:AU$105,37,FALSE)&gt;0,IF(VLOOKUP(A25,Dividende_je_Aktie!A$3:AM$103,9,FALSE)&lt;&gt;"",VLOOKUP(A25,Dividende_je_Aktie!A$3:AM$103,9,FALSE)/VLOOKUP(A25,Schlußkurse!A$5:AU$105,37,FALSE),""),"")</f>
        <v>2.8896257697773566E-2</v>
      </c>
      <c r="F25" s="82">
        <f>IF(VLOOKUP(A25,Schlußkurse!A$5:AU$105,38,FALSE)&gt;0,IF(VLOOKUP(A25,Dividende_je_Aktie!A$3:AM$103,10,FALSE)&lt;&gt;"",VLOOKUP(A25,Dividende_je_Aktie!A$3:AM$103,10,FALSE)/VLOOKUP(A25,Schlußkurse!A$5:AU$105,38,FALSE),""),"")</f>
        <v>2.71120793996611E-2</v>
      </c>
      <c r="G25" s="82">
        <f>IF(VLOOKUP(A25,Schlußkurse!A$5:AU$105,39,FALSE)&gt;0,IF(VLOOKUP(A25,Dividende_je_Aktie!A$3:AM$103,11,FALSE)&lt;&gt;"",VLOOKUP(A25,Dividende_je_Aktie!A$3:AM$103,11,FALSE)/VLOOKUP(A25,Schlußkurse!A$5:AU$105,39,FALSE),""),"")</f>
        <v>2.8137931034482758E-2</v>
      </c>
      <c r="H25" s="82">
        <f>IF(VLOOKUP(A25,Schlußkurse!A$5:AU$105,40,FALSE)&gt;0,IF(VLOOKUP(A25,Dividende_je_Aktie!A$3:AM$103,12,FALSE)&lt;&gt;"",VLOOKUP(A25,Dividende_je_Aktie!A$3:AM$103,12,FALSE)/VLOOKUP(A25,Schlußkurse!A$5:AU$105,40,FALSE),""),"")</f>
        <v>2.6868657996284122E-2</v>
      </c>
      <c r="I25" s="82">
        <f>IF(VLOOKUP(A25,Schlußkurse!A$5:AU$105,41,FALSE)&gt;0,IF(VLOOKUP(A25,Dividende_je_Aktie!A$3:AM$103,13,FALSE)&lt;&gt;"",VLOOKUP(A25,Dividende_je_Aktie!A$3:AM$103,13,FALSE)/VLOOKUP(A25,Schlußkurse!A$5:AU$105,41,FALSE),""),"")</f>
        <v>2.6759920936597233E-2</v>
      </c>
      <c r="J25" s="82">
        <f>IF(VLOOKUP(A25,Schlußkurse!A$5:AU$105,42,FALSE)&gt;0,IF(VLOOKUP(A25,Dividende_je_Aktie!A$3:AM$103,14,FALSE)&lt;&gt;"",VLOOKUP(A25,Dividende_je_Aktie!A$3:AM$103,14,FALSE)/VLOOKUP(A25,Schlußkurse!A$5:AU$105,42,FALSE),""),"")</f>
        <v>2.8771929824561403E-2</v>
      </c>
      <c r="K25" s="82">
        <f>IF(VLOOKUP(A25,Schlußkurse!A$5:AU$105,43,FALSE)&gt;0,IF(VLOOKUP(A25,Dividende_je_Aktie!A$3:AM$103,15,FALSE)&lt;&gt;"",VLOOKUP(A25,Dividende_je_Aktie!A$3:AM$103,15,FALSE)/VLOOKUP(A25,Schlußkurse!A$5:AU$105,43,FALSE),""),"")</f>
        <v>3.3576319858626018E-2</v>
      </c>
      <c r="L25" s="82">
        <f>IF(VLOOKUP(A25,Schlußkurse!A$5:AU$105,44,FALSE)&gt;0,IF(VLOOKUP(A25,Dividende_je_Aktie!A$3:AM$103,16,FALSE)&lt;&gt;"",VLOOKUP(A25,Dividende_je_Aktie!A$3:AM$103,16,FALSE)/VLOOKUP(A25,Schlußkurse!A$5:AU$105,44,FALSE),""),"")</f>
        <v>2.2160664819944602E-2</v>
      </c>
      <c r="M25" s="82">
        <f>IF(VLOOKUP(A25,Schlußkurse!A$5:AU$105,45,FALSE)&gt;0,IF(VLOOKUP(A25,Dividende_je_Aktie!A$3:AM$103,17,FALSE)&lt;&gt;"",VLOOKUP(A25,Dividende_je_Aktie!A$3:AM$103,17,FALSE)/VLOOKUP(A25,Schlußkurse!A$5:AU$105,45,FALSE),""),"")</f>
        <v>2.5619834710743802E-2</v>
      </c>
      <c r="N25" s="82">
        <f>IF(VLOOKUP(A25,Schlußkurse!A$5:AU$105,46,FALSE)&gt;0,IF(VLOOKUP(A25,Dividende_je_Aktie!A$3:AM$103,18,FALSE)&lt;&gt;"",VLOOKUP(A25,Dividende_je_Aktie!A$3:AM$103,18,FALSE)/VLOOKUP(A25,Schlußkurse!A$5:AU$105,46,FALSE),""),"")</f>
        <v>2.7784668816670802E-2</v>
      </c>
      <c r="O25" s="83">
        <f>IF(VLOOKUP(A25,Schlußkurse!A$5:AU$105,47,FALSE)&gt;0,IF(VLOOKUP(A25,Dividende_je_Aktie!A$3:AM$103,19,FALSE)&lt;&gt;"",VLOOKUP(A25,Dividende_je_Aktie!A$3:AM$103,19,FALSE)/VLOOKUP(A25,Schlußkurse!A$5:AU$105,47,FALSE),""),"")</f>
        <v>2.4015369836695485E-2</v>
      </c>
      <c r="P25" s="5">
        <f t="shared" si="0"/>
        <v>2.8259589601227913E-2</v>
      </c>
      <c r="Q25" s="5">
        <f ca="1">VLOOKUP(A25,Dividende_je_Aktie!A$3:AM$103,24,FALSE)/VLOOKUP(A25,Schlußkurse!A$5:AU$105,35,FALSE)</f>
        <v>3.3437611481572954E-2</v>
      </c>
      <c r="R25" s="5">
        <f t="shared" ca="1" si="1"/>
        <v>0.18323061139288632</v>
      </c>
    </row>
    <row r="26" spans="1:18" x14ac:dyDescent="0.25">
      <c r="A26" t="s">
        <v>42</v>
      </c>
      <c r="B26" t="s">
        <v>43</v>
      </c>
      <c r="C26" s="81">
        <f>IF(VLOOKUP(A26,Schlußkurse!A$5:AU$105,35,FALSE)&gt;0,IF(VLOOKUP(A26,Dividende_je_Aktie!A$3:AM$103,7,FALSE)&lt;&gt;"",VLOOKUP(A26,Dividende_je_Aktie!A$3:AM$103,7,FALSE)/VLOOKUP(A26,Schlußkurse!A$5:AU$105,35,FALSE),""),"")</f>
        <v>2.3938111224638736E-2</v>
      </c>
      <c r="D26" s="82">
        <f>IF(VLOOKUP(A26,Schlußkurse!A$5:AU$105,36,FALSE)&gt;0,IF(VLOOKUP(A26,Dividende_je_Aktie!A$3:AM$103,8,FALSE)&lt;&gt;"",VLOOKUP(A26,Dividende_je_Aktie!A$3:AM$103,8,FALSE)/VLOOKUP(A26,Schlußkurse!A$5:AU$105,36,FALSE),""),"")</f>
        <v>2.2186542110640781E-2</v>
      </c>
      <c r="E26" s="82">
        <f>IF(VLOOKUP(A26,Schlußkurse!A$5:AU$105,37,FALSE)&gt;0,IF(VLOOKUP(A26,Dividende_je_Aktie!A$3:AM$103,9,FALSE)&lt;&gt;"",VLOOKUP(A26,Dividende_je_Aktie!A$3:AM$103,9,FALSE)/VLOOKUP(A26,Schlußkurse!A$5:AU$105,37,FALSE),""),"")</f>
        <v>2.0523196993785228E-2</v>
      </c>
      <c r="F26" s="82">
        <f>IF(VLOOKUP(A26,Schlußkurse!A$5:AU$105,38,FALSE)&gt;0,IF(VLOOKUP(A26,Dividende_je_Aktie!A$3:AM$103,10,FALSE)&lt;&gt;"",VLOOKUP(A26,Dividende_je_Aktie!A$3:AM$103,10,FALSE)/VLOOKUP(A26,Schlußkurse!A$5:AU$105,38,FALSE),""),"")</f>
        <v>2.0395644839748508E-2</v>
      </c>
      <c r="G26" s="82">
        <f>IF(VLOOKUP(A26,Schlußkurse!A$5:AU$105,39,FALSE)&gt;0,IF(VLOOKUP(A26,Dividende_je_Aktie!A$3:AM$103,11,FALSE)&lt;&gt;"",VLOOKUP(A26,Dividende_je_Aktie!A$3:AM$103,11,FALSE)/VLOOKUP(A26,Schlußkurse!A$5:AU$105,39,FALSE),""),"")</f>
        <v>2.3340348192079585E-2</v>
      </c>
      <c r="H26" s="82">
        <f>IF(VLOOKUP(A26,Schlußkurse!A$5:AU$105,40,FALSE)&gt;0,IF(VLOOKUP(A26,Dividende_je_Aktie!A$3:AM$103,12,FALSE)&lt;&gt;"",VLOOKUP(A26,Dividende_je_Aktie!A$3:AM$103,12,FALSE)/VLOOKUP(A26,Schlußkurse!A$5:AU$105,40,FALSE),""),"")</f>
        <v>2.4677995454053466E-2</v>
      </c>
      <c r="I26" s="82">
        <f>IF(VLOOKUP(A26,Schlußkurse!A$5:AU$105,41,FALSE)&gt;0,IF(VLOOKUP(A26,Dividende_je_Aktie!A$3:AM$103,13,FALSE)&lt;&gt;"",VLOOKUP(A26,Dividende_je_Aktie!A$3:AM$103,13,FALSE)/VLOOKUP(A26,Schlußkurse!A$5:AU$105,41,FALSE),""),"")</f>
        <v>2.5133756376757497E-2</v>
      </c>
      <c r="J26" s="82">
        <f>IF(VLOOKUP(A26,Schlußkurse!A$5:AU$105,42,FALSE)&gt;0,IF(VLOOKUP(A26,Dividende_je_Aktie!A$3:AM$103,14,FALSE)&lt;&gt;"",VLOOKUP(A26,Dividende_je_Aktie!A$3:AM$103,14,FALSE)/VLOOKUP(A26,Schlußkurse!A$5:AU$105,42,FALSE),""),"")</f>
        <v>2.0937309799147898E-2</v>
      </c>
      <c r="K26" s="82">
        <f>IF(VLOOKUP(A26,Schlußkurse!A$5:AU$105,43,FALSE)&gt;0,IF(VLOOKUP(A26,Dividende_je_Aktie!A$3:AM$103,15,FALSE)&lt;&gt;"",VLOOKUP(A26,Dividende_je_Aktie!A$3:AM$103,15,FALSE)/VLOOKUP(A26,Schlußkurse!A$5:AU$105,43,FALSE),""),"")</f>
        <v>2.2760431864604608E-2</v>
      </c>
      <c r="L26" s="82">
        <f>IF(VLOOKUP(A26,Schlußkurse!A$5:AU$105,44,FALSE)&gt;0,IF(VLOOKUP(A26,Dividende_je_Aktie!A$3:AM$103,16,FALSE)&lt;&gt;"",VLOOKUP(A26,Dividende_je_Aktie!A$3:AM$103,16,FALSE)/VLOOKUP(A26,Schlußkurse!A$5:AU$105,44,FALSE),""),"")</f>
        <v>1.7957927142124165E-2</v>
      </c>
      <c r="M26" s="82">
        <f>IF(VLOOKUP(A26,Schlußkurse!A$5:AU$105,45,FALSE)&gt;0,IF(VLOOKUP(A26,Dividende_je_Aktie!A$3:AM$103,17,FALSE)&lt;&gt;"",VLOOKUP(A26,Dividende_je_Aktie!A$3:AM$103,17,FALSE)/VLOOKUP(A26,Schlußkurse!A$5:AU$105,45,FALSE),""),"")</f>
        <v>1.9289650949173304E-2</v>
      </c>
      <c r="N26" s="82">
        <f>IF(VLOOKUP(A26,Schlußkurse!A$5:AU$105,46,FALSE)&gt;0,IF(VLOOKUP(A26,Dividende_je_Aktie!A$3:AM$103,18,FALSE)&lt;&gt;"",VLOOKUP(A26,Dividende_je_Aktie!A$3:AM$103,18,FALSE)/VLOOKUP(A26,Schlußkurse!A$5:AU$105,46,FALSE),""),"")</f>
        <v>2.0260492040520984E-2</v>
      </c>
      <c r="O26" s="83">
        <f>IF(VLOOKUP(A26,Schlußkurse!A$5:AU$105,47,FALSE)&gt;0,IF(VLOOKUP(A26,Dividende_je_Aktie!A$3:AM$103,19,FALSE)&lt;&gt;"",VLOOKUP(A26,Dividende_je_Aktie!A$3:AM$103,19,FALSE)/VLOOKUP(A26,Schlußkurse!A$5:AU$105,47,FALSE),""),"")</f>
        <v>2.5945945945945945E-2</v>
      </c>
      <c r="P26" s="5">
        <f t="shared" si="0"/>
        <v>2.2103642533324672E-2</v>
      </c>
      <c r="Q26" s="5">
        <f ca="1">VLOOKUP(A26,Dividende_je_Aktie!A$3:AM$103,24,FALSE)/VLOOKUP(A26,Schlußkurse!A$5:AU$105,35,FALSE)</f>
        <v>2.2780129421495644E-2</v>
      </c>
      <c r="R26" s="5">
        <f t="shared" ca="1" si="1"/>
        <v>3.0605222064691961E-2</v>
      </c>
    </row>
    <row r="27" spans="1:18" x14ac:dyDescent="0.25">
      <c r="A27" t="s">
        <v>44</v>
      </c>
      <c r="B27" t="s">
        <v>45</v>
      </c>
      <c r="C27" s="81">
        <f>IF(VLOOKUP(A27,Schlußkurse!A$5:AU$105,35,FALSE)&gt;0,IF(VLOOKUP(A27,Dividende_je_Aktie!A$3:AM$103,7,FALSE)&lt;&gt;"",VLOOKUP(A27,Dividende_je_Aktie!A$3:AM$103,7,FALSE)/VLOOKUP(A27,Schlußkurse!A$5:AU$105,35,FALSE),""),"")</f>
        <v>3.5806570690291618E-2</v>
      </c>
      <c r="D27" s="82">
        <f>IF(VLOOKUP(A27,Schlußkurse!A$5:AU$105,36,FALSE)&gt;0,IF(VLOOKUP(A27,Dividende_je_Aktie!A$3:AM$103,8,FALSE)&lt;&gt;"",VLOOKUP(A27,Dividende_je_Aktie!A$3:AM$103,8,FALSE)/VLOOKUP(A27,Schlußkurse!A$5:AU$105,36,FALSE),""),"")</f>
        <v>3.4330011074197121E-2</v>
      </c>
      <c r="E27" s="82">
        <f>IF(VLOOKUP(A27,Schlußkurse!A$5:AU$105,37,FALSE)&gt;0,IF(VLOOKUP(A27,Dividende_je_Aktie!A$3:AM$103,9,FALSE)&lt;&gt;"",VLOOKUP(A27,Dividende_je_Aktie!A$3:AM$103,9,FALSE)/VLOOKUP(A27,Schlußkurse!A$5:AU$105,37,FALSE),""),"")</f>
        <v>3.521962801741195E-2</v>
      </c>
      <c r="F27" s="82">
        <f>IF(VLOOKUP(A27,Schlußkurse!A$5:AU$105,38,FALSE)&gt;0,IF(VLOOKUP(A27,Dividende_je_Aktie!A$3:AM$103,10,FALSE)&lt;&gt;"",VLOOKUP(A27,Dividende_je_Aktie!A$3:AM$103,10,FALSE)/VLOOKUP(A27,Schlußkurse!A$5:AU$105,38,FALSE),""),"")</f>
        <v>2.8184088476632181E-2</v>
      </c>
      <c r="G27" s="82">
        <f>IF(VLOOKUP(A27,Schlußkurse!A$5:AU$105,39,FALSE)&gt;0,IF(VLOOKUP(A27,Dividende_je_Aktie!A$3:AM$103,11,FALSE)&lt;&gt;"",VLOOKUP(A27,Dividende_je_Aktie!A$3:AM$103,11,FALSE)/VLOOKUP(A27,Schlußkurse!A$5:AU$105,39,FALSE),""),"")</f>
        <v>3.3349213911386372E-2</v>
      </c>
      <c r="H27" s="82">
        <f>IF(VLOOKUP(A27,Schlußkurse!A$5:AU$105,40,FALSE)&gt;0,IF(VLOOKUP(A27,Dividende_je_Aktie!A$3:AM$103,12,FALSE)&lt;&gt;"",VLOOKUP(A27,Dividende_je_Aktie!A$3:AM$103,12,FALSE)/VLOOKUP(A27,Schlußkurse!A$5:AU$105,40,FALSE),""),"")</f>
        <v>3.4059184812953655E-2</v>
      </c>
      <c r="I27" s="82">
        <f>IF(VLOOKUP(A27,Schlußkurse!A$5:AU$105,41,FALSE)&gt;0,IF(VLOOKUP(A27,Dividende_je_Aktie!A$3:AM$103,13,FALSE)&lt;&gt;"",VLOOKUP(A27,Dividende_je_Aktie!A$3:AM$103,13,FALSE)/VLOOKUP(A27,Schlußkurse!A$5:AU$105,41,FALSE),""),"")</f>
        <v>2.5150355385456537E-2</v>
      </c>
      <c r="J27" s="82">
        <f>IF(VLOOKUP(A27,Schlußkurse!A$5:AU$105,42,FALSE)&gt;0,IF(VLOOKUP(A27,Dividende_je_Aktie!A$3:AM$103,14,FALSE)&lt;&gt;"",VLOOKUP(A27,Dividende_je_Aktie!A$3:AM$103,14,FALSE)/VLOOKUP(A27,Schlußkurse!A$5:AU$105,42,FALSE),""),"")</f>
        <v>4.0317250495703894E-2</v>
      </c>
      <c r="K27" s="82">
        <f>IF(VLOOKUP(A27,Schlußkurse!A$5:AU$105,43,FALSE)&gt;0,IF(VLOOKUP(A27,Dividende_je_Aktie!A$3:AM$103,15,FALSE)&lt;&gt;"",VLOOKUP(A27,Dividende_je_Aktie!A$3:AM$103,15,FALSE)/VLOOKUP(A27,Schlußkurse!A$5:AU$105,43,FALSE),""),"")</f>
        <v>7.6543209876543214E-2</v>
      </c>
      <c r="L27" s="82">
        <f>IF(VLOOKUP(A27,Schlußkurse!A$5:AU$105,44,FALSE)&gt;0,IF(VLOOKUP(A27,Dividende_je_Aktie!A$3:AM$103,16,FALSE)&lt;&gt;"",VLOOKUP(A27,Dividende_je_Aktie!A$3:AM$103,16,FALSE)/VLOOKUP(A27,Schlußkurse!A$5:AU$105,44,FALSE),""),"")</f>
        <v>3.1022390072835176E-2</v>
      </c>
      <c r="M27" s="82">
        <f>IF(VLOOKUP(A27,Schlußkurse!A$5:AU$105,45,FALSE)&gt;0,IF(VLOOKUP(A27,Dividende_je_Aktie!A$3:AM$103,17,FALSE)&lt;&gt;"",VLOOKUP(A27,Dividende_je_Aktie!A$3:AM$103,17,FALSE)/VLOOKUP(A27,Schlußkurse!A$5:AU$105,45,FALSE),""),"")</f>
        <v>2.7582882545123456E-2</v>
      </c>
      <c r="N27" s="82">
        <f>IF(VLOOKUP(A27,Schlußkurse!A$5:AU$105,46,FALSE)&gt;0,IF(VLOOKUP(A27,Dividende_je_Aktie!A$3:AM$103,18,FALSE)&lt;&gt;"",VLOOKUP(A27,Dividende_je_Aktie!A$3:AM$103,18,FALSE)/VLOOKUP(A27,Schlußkurse!A$5:AU$105,46,FALSE),""),"")</f>
        <v>2.5962910128388021E-2</v>
      </c>
      <c r="O27" s="83">
        <f>IF(VLOOKUP(A27,Schlußkurse!A$5:AU$105,47,FALSE)&gt;0,IF(VLOOKUP(A27,Dividende_je_Aktie!A$3:AM$103,19,FALSE)&lt;&gt;"",VLOOKUP(A27,Dividende_je_Aktie!A$3:AM$103,19,FALSE)/VLOOKUP(A27,Schlußkurse!A$5:AU$105,47,FALSE),""),"")</f>
        <v>2.2465753424657533E-2</v>
      </c>
      <c r="P27" s="5">
        <f t="shared" si="0"/>
        <v>3.4614880685506208E-2</v>
      </c>
      <c r="Q27" s="5">
        <f ca="1">VLOOKUP(A27,Dividende_je_Aktie!A$3:AM$103,24,FALSE)/VLOOKUP(A27,Schlußkurse!A$5:AU$105,35,FALSE)</f>
        <v>3.4830400721873586E-2</v>
      </c>
      <c r="R27" s="5">
        <f t="shared" ca="1" si="1"/>
        <v>6.2262250251701179E-3</v>
      </c>
    </row>
    <row r="28" spans="1:18" x14ac:dyDescent="0.25">
      <c r="A28" t="s">
        <v>46</v>
      </c>
      <c r="B28" t="s">
        <v>47</v>
      </c>
      <c r="C28" s="81">
        <f>IF(VLOOKUP(A28,Schlußkurse!A$5:AU$105,35,FALSE)&gt;0,IF(VLOOKUP(A28,Dividende_je_Aktie!A$3:AM$103,7,FALSE)&lt;&gt;"",VLOOKUP(A28,Dividende_je_Aktie!A$3:AM$103,7,FALSE)/VLOOKUP(A28,Schlußkurse!A$5:AU$105,35,FALSE),""),"")</f>
        <v>2.7866972477064222E-2</v>
      </c>
      <c r="D28" s="82">
        <f>IF(VLOOKUP(A28,Schlußkurse!A$5:AU$105,36,FALSE)&gt;0,IF(VLOOKUP(A28,Dividende_je_Aktie!A$3:AM$103,8,FALSE)&lt;&gt;"",VLOOKUP(A28,Dividende_je_Aktie!A$3:AM$103,8,FALSE)/VLOOKUP(A28,Schlußkurse!A$5:AU$105,36,FALSE),""),"")</f>
        <v>2.6146788990825686E-2</v>
      </c>
      <c r="E28" s="82">
        <f>IF(VLOOKUP(A28,Schlußkurse!A$5:AU$105,37,FALSE)&gt;0,IF(VLOOKUP(A28,Dividende_je_Aktie!A$3:AM$103,9,FALSE)&lt;&gt;"",VLOOKUP(A28,Dividende_je_Aktie!A$3:AM$103,9,FALSE)/VLOOKUP(A28,Schlußkurse!A$5:AU$105,37,FALSE),""),"")</f>
        <v>2.648965345300424E-2</v>
      </c>
      <c r="F28" s="82">
        <f>IF(VLOOKUP(A28,Schlußkurse!A$5:AU$105,38,FALSE)&gt;0,IF(VLOOKUP(A28,Dividende_je_Aktie!A$3:AM$103,10,FALSE)&lt;&gt;"",VLOOKUP(A28,Dividende_je_Aktie!A$3:AM$103,10,FALSE)/VLOOKUP(A28,Schlußkurse!A$5:AU$105,38,FALSE),""),"")</f>
        <v>1.9725968971583945E-2</v>
      </c>
      <c r="G28" s="82">
        <f>IF(VLOOKUP(A28,Schlußkurse!A$5:AU$105,39,FALSE)&gt;0,IF(VLOOKUP(A28,Dividende_je_Aktie!A$3:AM$103,11,FALSE)&lt;&gt;"",VLOOKUP(A28,Dividende_je_Aktie!A$3:AM$103,11,FALSE)/VLOOKUP(A28,Schlußkurse!A$5:AU$105,39,FALSE),""),"")</f>
        <v>1.7227877838684416E-2</v>
      </c>
      <c r="H28" s="82">
        <f>IF(VLOOKUP(A28,Schlußkurse!A$5:AU$105,40,FALSE)&gt;0,IF(VLOOKUP(A28,Dividende_je_Aktie!A$3:AM$103,12,FALSE)&lt;&gt;"",VLOOKUP(A28,Dividende_je_Aktie!A$3:AM$103,12,FALSE)/VLOOKUP(A28,Schlußkurse!A$5:AU$105,40,FALSE),""),"")</f>
        <v>1.5771155101152925E-2</v>
      </c>
      <c r="I28" s="82">
        <f>IF(VLOOKUP(A28,Schlußkurse!A$5:AU$105,41,FALSE)&gt;0,IF(VLOOKUP(A28,Dividende_je_Aktie!A$3:AM$103,13,FALSE)&lt;&gt;"",VLOOKUP(A28,Dividende_je_Aktie!A$3:AM$103,13,FALSE)/VLOOKUP(A28,Schlußkurse!A$5:AU$105,41,FALSE),""),"")</f>
        <v>1.7034614336331428E-2</v>
      </c>
      <c r="J28" s="82">
        <f>IF(VLOOKUP(A28,Schlußkurse!A$5:AU$105,42,FALSE)&gt;0,IF(VLOOKUP(A28,Dividende_je_Aktie!A$3:AM$103,14,FALSE)&lt;&gt;"",VLOOKUP(A28,Dividende_je_Aktie!A$3:AM$103,14,FALSE)/VLOOKUP(A28,Schlußkurse!A$5:AU$105,42,FALSE),""),"")</f>
        <v>1.6424751718869365E-2</v>
      </c>
      <c r="K28" s="82">
        <f>IF(VLOOKUP(A28,Schlußkurse!A$5:AU$105,43,FALSE)&gt;0,IF(VLOOKUP(A28,Dividende_je_Aktie!A$3:AM$103,15,FALSE)&lt;&gt;"",VLOOKUP(A28,Dividende_je_Aktie!A$3:AM$103,15,FALSE)/VLOOKUP(A28,Schlußkurse!A$5:AU$105,43,FALSE),""),"")</f>
        <v>2.2576045627376425E-2</v>
      </c>
      <c r="L28" s="82">
        <f>IF(VLOOKUP(A28,Schlußkurse!A$5:AU$105,44,FALSE)&gt;0,IF(VLOOKUP(A28,Dividende_je_Aktie!A$3:AM$103,16,FALSE)&lt;&gt;"",VLOOKUP(A28,Dividende_je_Aktie!A$3:AM$103,16,FALSE)/VLOOKUP(A28,Schlußkurse!A$5:AU$105,44,FALSE),""),"")</f>
        <v>1.387604070305273E-2</v>
      </c>
      <c r="M28" s="82">
        <f>IF(VLOOKUP(A28,Schlußkurse!A$5:AU$105,45,FALSE)&gt;0,IF(VLOOKUP(A28,Dividende_je_Aktie!A$3:AM$103,17,FALSE)&lt;&gt;"",VLOOKUP(A28,Dividende_je_Aktie!A$3:AM$103,17,FALSE)/VLOOKUP(A28,Schlußkurse!A$5:AU$105,45,FALSE),""),"")</f>
        <v>1.1301756909483202E-2</v>
      </c>
      <c r="N28" s="82">
        <f>IF(VLOOKUP(A28,Schlußkurse!A$5:AU$105,46,FALSE)&gt;0,IF(VLOOKUP(A28,Dividende_je_Aktie!A$3:AM$103,18,FALSE)&lt;&gt;"",VLOOKUP(A28,Dividende_je_Aktie!A$3:AM$103,18,FALSE)/VLOOKUP(A28,Schlußkurse!A$5:AU$105,46,FALSE),""),"")</f>
        <v>9.4890510948905105E-3</v>
      </c>
      <c r="O28" s="83">
        <f>IF(VLOOKUP(A28,Schlußkurse!A$5:AU$105,47,FALSE)&gt;0,IF(VLOOKUP(A28,Dividende_je_Aktie!A$3:AM$103,19,FALSE)&lt;&gt;"",VLOOKUP(A28,Dividende_je_Aktie!A$3:AM$103,19,FALSE)/VLOOKUP(A28,Schlußkurse!A$5:AU$105,47,FALSE),""),"")</f>
        <v>7.100831811726516E-3</v>
      </c>
      <c r="P28" s="5">
        <f t="shared" si="0"/>
        <v>1.7771654541080432E-2</v>
      </c>
      <c r="Q28" s="5">
        <f ca="1">VLOOKUP(A28,Dividende_je_Aktie!A$3:AM$103,24,FALSE)/VLOOKUP(A28,Schlußkurse!A$5:AU$105,35,FALSE)</f>
        <v>2.6729740061162081E-2</v>
      </c>
      <c r="R28" s="5">
        <f t="shared" ca="1" si="1"/>
        <v>0.50406592697232577</v>
      </c>
    </row>
    <row r="29" spans="1:18" x14ac:dyDescent="0.25">
      <c r="A29" t="s">
        <v>48</v>
      </c>
      <c r="B29" t="s">
        <v>49</v>
      </c>
      <c r="C29" s="81">
        <f>IF(VLOOKUP(A29,Schlußkurse!A$5:AU$105,35,FALSE)&gt;0,IF(VLOOKUP(A29,Dividende_je_Aktie!A$3:AM$103,7,FALSE)&lt;&gt;"",VLOOKUP(A29,Dividende_je_Aktie!A$3:AM$103,7,FALSE)/VLOOKUP(A29,Schlußkurse!A$5:AU$105,35,FALSE),""),"")</f>
        <v>3.0680346648072516E-2</v>
      </c>
      <c r="D29" s="82">
        <f>IF(VLOOKUP(A29,Schlußkurse!A$5:AU$105,36,FALSE)&gt;0,IF(VLOOKUP(A29,Dividende_je_Aktie!A$3:AM$103,8,FALSE)&lt;&gt;"",VLOOKUP(A29,Dividende_je_Aktie!A$3:AM$103,8,FALSE)/VLOOKUP(A29,Schlußkurse!A$5:AU$105,36,FALSE),""),"")</f>
        <v>2.8986950891523061E-2</v>
      </c>
      <c r="E29" s="82">
        <f>IF(VLOOKUP(A29,Schlußkurse!A$5:AU$105,37,FALSE)&gt;0,IF(VLOOKUP(A29,Dividende_je_Aktie!A$3:AM$103,9,FALSE)&lt;&gt;"",VLOOKUP(A29,Dividende_je_Aktie!A$3:AM$103,9,FALSE)/VLOOKUP(A29,Schlußkurse!A$5:AU$105,37,FALSE),""),"")</f>
        <v>2.6393803194032704E-2</v>
      </c>
      <c r="F29" s="82">
        <f>IF(VLOOKUP(A29,Schlußkurse!A$5:AU$105,38,FALSE)&gt;0,IF(VLOOKUP(A29,Dividende_je_Aktie!A$3:AM$103,10,FALSE)&lt;&gt;"",VLOOKUP(A29,Dividende_je_Aktie!A$3:AM$103,10,FALSE)/VLOOKUP(A29,Schlußkurse!A$5:AU$105,38,FALSE),""),"")</f>
        <v>2.8290551611141451E-2</v>
      </c>
      <c r="G29" s="82">
        <f>IF(VLOOKUP(A29,Schlußkurse!A$5:AU$105,39,FALSE)&gt;0,IF(VLOOKUP(A29,Dividende_je_Aktie!A$3:AM$103,11,FALSE)&lt;&gt;"",VLOOKUP(A29,Dividende_je_Aktie!A$3:AM$103,11,FALSE)/VLOOKUP(A29,Schlußkurse!A$5:AU$105,39,FALSE),""),"")</f>
        <v>3.4236804564907276E-2</v>
      </c>
      <c r="H29" s="82">
        <f>IF(VLOOKUP(A29,Schlußkurse!A$5:AU$105,40,FALSE)&gt;0,IF(VLOOKUP(A29,Dividende_je_Aktie!A$3:AM$103,12,FALSE)&lt;&gt;"",VLOOKUP(A29,Dividende_je_Aktie!A$3:AM$103,12,FALSE)/VLOOKUP(A29,Schlußkurse!A$5:AU$105,40,FALSE),""),"")</f>
        <v>3.4309240622140899E-2</v>
      </c>
      <c r="I29" s="82">
        <f>IF(VLOOKUP(A29,Schlußkurse!A$5:AU$105,41,FALSE)&gt;0,IF(VLOOKUP(A29,Dividende_je_Aktie!A$3:AM$103,13,FALSE)&lt;&gt;"",VLOOKUP(A29,Dividende_je_Aktie!A$3:AM$103,13,FALSE)/VLOOKUP(A29,Schlußkurse!A$5:AU$105,41,FALSE),""),"")</f>
        <v>3.411479385610347E-2</v>
      </c>
      <c r="J29" s="82">
        <f>IF(VLOOKUP(A29,Schlußkurse!A$5:AU$105,42,FALSE)&gt;0,IF(VLOOKUP(A29,Dividende_je_Aktie!A$3:AM$103,14,FALSE)&lt;&gt;"",VLOOKUP(A29,Dividende_je_Aktie!A$3:AM$103,14,FALSE)/VLOOKUP(A29,Schlußkurse!A$5:AU$105,42,FALSE),""),"")</f>
        <v>2.9964291259121256E-2</v>
      </c>
      <c r="K29" s="82">
        <f>IF(VLOOKUP(A29,Schlußkurse!A$5:AU$105,43,FALSE)&gt;0,IF(VLOOKUP(A29,Dividende_je_Aktie!A$3:AM$103,15,FALSE)&lt;&gt;"",VLOOKUP(A29,Dividende_je_Aktie!A$3:AM$103,15,FALSE)/VLOOKUP(A29,Schlußkurse!A$5:AU$105,43,FALSE),""),"")</f>
        <v>2.9918101286979776E-2</v>
      </c>
      <c r="L29" s="82">
        <f>IF(VLOOKUP(A29,Schlußkurse!A$5:AU$105,44,FALSE)&gt;0,IF(VLOOKUP(A29,Dividende_je_Aktie!A$3:AM$103,16,FALSE)&lt;&gt;"",VLOOKUP(A29,Dividende_je_Aktie!A$3:AM$103,16,FALSE)/VLOOKUP(A29,Schlußkurse!A$5:AU$105,44,FALSE),""),"")</f>
        <v>2.4287856071964018E-2</v>
      </c>
      <c r="M29" s="82">
        <f>IF(VLOOKUP(A29,Schlußkurse!A$5:AU$105,45,FALSE)&gt;0,IF(VLOOKUP(A29,Dividende_je_Aktie!A$3:AM$103,17,FALSE)&lt;&gt;"",VLOOKUP(A29,Dividende_je_Aktie!A$3:AM$103,17,FALSE)/VLOOKUP(A29,Schlußkurse!A$5:AU$105,45,FALSE),""),"")</f>
        <v>2.2094430992736079E-2</v>
      </c>
      <c r="N29" s="82">
        <f>IF(VLOOKUP(A29,Schlußkurse!A$5:AU$105,46,FALSE)&gt;0,IF(VLOOKUP(A29,Dividende_je_Aktie!A$3:AM$103,18,FALSE)&lt;&gt;"",VLOOKUP(A29,Dividende_je_Aktie!A$3:AM$103,18,FALSE)/VLOOKUP(A29,Schlußkurse!A$5:AU$105,46,FALSE),""),"")</f>
        <v>2.1131447587354409E-2</v>
      </c>
      <c r="O29" s="83">
        <f>IF(VLOOKUP(A29,Schlußkurse!A$5:AU$105,47,FALSE)&gt;0,IF(VLOOKUP(A29,Dividende_je_Aktie!A$3:AM$103,19,FALSE)&lt;&gt;"",VLOOKUP(A29,Dividende_je_Aktie!A$3:AM$103,19,FALSE)/VLOOKUP(A29,Schlußkurse!A$5:AU$105,47,FALSE),""),"")</f>
        <v>1.7187007253232418E-2</v>
      </c>
      <c r="P29" s="5">
        <f t="shared" si="0"/>
        <v>2.7815048141485332E-2</v>
      </c>
      <c r="Q29" s="5">
        <f ca="1">VLOOKUP(A29,Dividende_je_Aktie!A$3:AM$103,24,FALSE)/VLOOKUP(A29,Schlußkurse!A$5:AU$105,35,FALSE)</f>
        <v>2.9560823897909264E-2</v>
      </c>
      <c r="R29" s="5">
        <f t="shared" ca="1" si="1"/>
        <v>6.2763715077672533E-2</v>
      </c>
    </row>
    <row r="30" spans="1:18" x14ac:dyDescent="0.25">
      <c r="A30" t="s">
        <v>50</v>
      </c>
      <c r="B30" t="s">
        <v>51</v>
      </c>
      <c r="C30" s="81">
        <f>IF(VLOOKUP(A30,Schlußkurse!A$5:AU$105,35,FALSE)&gt;0,IF(VLOOKUP(A30,Dividende_je_Aktie!A$3:AM$103,7,FALSE)&lt;&gt;"",VLOOKUP(A30,Dividende_je_Aktie!A$3:AM$103,7,FALSE)/VLOOKUP(A30,Schlußkurse!A$5:AU$105,35,FALSE),""),"")</f>
        <v>2.7738598965679359E-2</v>
      </c>
      <c r="D30" s="82">
        <f>IF(VLOOKUP(A30,Schlußkurse!A$5:AU$105,36,FALSE)&gt;0,IF(VLOOKUP(A30,Dividende_je_Aktie!A$3:AM$103,8,FALSE)&lt;&gt;"",VLOOKUP(A30,Dividende_je_Aktie!A$3:AM$103,8,FALSE)/VLOOKUP(A30,Schlußkurse!A$5:AU$105,36,FALSE),""),"")</f>
        <v>2.6210625293841092E-2</v>
      </c>
      <c r="E30" s="82">
        <f>IF(VLOOKUP(A30,Schlußkurse!A$5:AU$105,37,FALSE)&gt;0,IF(VLOOKUP(A30,Dividende_je_Aktie!A$3:AM$103,9,FALSE)&lt;&gt;"",VLOOKUP(A30,Dividende_je_Aktie!A$3:AM$103,9,FALSE)/VLOOKUP(A30,Schlußkurse!A$5:AU$105,37,FALSE),""),"")</f>
        <v>3.4312160868177469E-2</v>
      </c>
      <c r="F30" s="82">
        <f>IF(VLOOKUP(A30,Schlußkurse!A$5:AU$105,38,FALSE)&gt;0,IF(VLOOKUP(A30,Dividende_je_Aktie!A$3:AM$103,10,FALSE)&lt;&gt;"",VLOOKUP(A30,Dividende_je_Aktie!A$3:AM$103,10,FALSE)/VLOOKUP(A30,Schlußkurse!A$5:AU$105,38,FALSE),""),"")</f>
        <v>3.8026340196624001E-2</v>
      </c>
      <c r="G30" s="82">
        <f>IF(VLOOKUP(A30,Schlußkurse!A$5:AU$105,39,FALSE)&gt;0,IF(VLOOKUP(A30,Dividende_je_Aktie!A$3:AM$103,11,FALSE)&lt;&gt;"",VLOOKUP(A30,Dividende_je_Aktie!A$3:AM$103,11,FALSE)/VLOOKUP(A30,Schlußkurse!A$5:AU$105,39,FALSE),""),"")</f>
        <v>2.5129959968735287E-2</v>
      </c>
      <c r="H30" s="82" t="str">
        <f>IF(VLOOKUP(A30,Schlußkurse!A$5:AU$105,40,FALSE)&gt;0,IF(VLOOKUP(A30,Dividende_je_Aktie!A$3:AM$103,12,FALSE)&lt;&gt;"",VLOOKUP(A30,Dividende_je_Aktie!A$3:AM$103,12,FALSE)/VLOOKUP(A30,Schlußkurse!A$5:AU$105,40,FALSE),""),"")</f>
        <v/>
      </c>
      <c r="I30" s="82" t="str">
        <f>IF(VLOOKUP(A30,Schlußkurse!A$5:AU$105,41,FALSE)&gt;0,IF(VLOOKUP(A30,Dividende_je_Aktie!A$3:AM$103,13,FALSE)&lt;&gt;"",VLOOKUP(A30,Dividende_je_Aktie!A$3:AM$103,13,FALSE)/VLOOKUP(A30,Schlußkurse!A$5:AU$105,41,FALSE),""),"")</f>
        <v/>
      </c>
      <c r="J30" s="82" t="str">
        <f>IF(VLOOKUP(A30,Schlußkurse!A$5:AU$105,42,FALSE)&gt;0,IF(VLOOKUP(A30,Dividende_je_Aktie!A$3:AM$103,14,FALSE)&lt;&gt;"",VLOOKUP(A30,Dividende_je_Aktie!A$3:AM$103,14,FALSE)/VLOOKUP(A30,Schlußkurse!A$5:AU$105,42,FALSE),""),"")</f>
        <v/>
      </c>
      <c r="K30" s="82" t="str">
        <f>IF(VLOOKUP(A30,Schlußkurse!A$5:AU$105,43,FALSE)&gt;0,IF(VLOOKUP(A30,Dividende_je_Aktie!A$3:AM$103,15,FALSE)&lt;&gt;"",VLOOKUP(A30,Dividende_je_Aktie!A$3:AM$103,15,FALSE)/VLOOKUP(A30,Schlußkurse!A$5:AU$105,43,FALSE),""),"")</f>
        <v/>
      </c>
      <c r="L30" s="82" t="str">
        <f>IF(VLOOKUP(A30,Schlußkurse!A$5:AU$105,44,FALSE)&gt;0,IF(VLOOKUP(A30,Dividende_je_Aktie!A$3:AM$103,16,FALSE)&lt;&gt;"",VLOOKUP(A30,Dividende_je_Aktie!A$3:AM$103,16,FALSE)/VLOOKUP(A30,Schlußkurse!A$5:AU$105,44,FALSE),""),"")</f>
        <v/>
      </c>
      <c r="M30" s="82" t="str">
        <f>IF(VLOOKUP(A30,Schlußkurse!A$5:AU$105,45,FALSE)&gt;0,IF(VLOOKUP(A30,Dividende_je_Aktie!A$3:AM$103,17,FALSE)&lt;&gt;"",VLOOKUP(A30,Dividende_je_Aktie!A$3:AM$103,17,FALSE)/VLOOKUP(A30,Schlußkurse!A$5:AU$105,45,FALSE),""),"")</f>
        <v/>
      </c>
      <c r="N30" s="82" t="str">
        <f>IF(VLOOKUP(A30,Schlußkurse!A$5:AU$105,46,FALSE)&gt;0,IF(VLOOKUP(A30,Dividende_je_Aktie!A$3:AM$103,18,FALSE)&lt;&gt;"",VLOOKUP(A30,Dividende_je_Aktie!A$3:AM$103,18,FALSE)/VLOOKUP(A30,Schlußkurse!A$5:AU$105,46,FALSE),""),"")</f>
        <v/>
      </c>
      <c r="O30" s="83" t="str">
        <f>IF(VLOOKUP(A30,Schlußkurse!A$5:AU$105,47,FALSE)&gt;0,IF(VLOOKUP(A30,Dividende_je_Aktie!A$3:AM$103,19,FALSE)&lt;&gt;"",VLOOKUP(A30,Dividende_je_Aktie!A$3:AM$103,19,FALSE)/VLOOKUP(A30,Schlußkurse!A$5:AU$105,47,FALSE),""),"")</f>
        <v/>
      </c>
      <c r="P30" s="5">
        <f t="shared" si="0"/>
        <v>3.0283537058611441E-2</v>
      </c>
      <c r="Q30" s="5">
        <f ca="1">VLOOKUP(A30,Dividende_je_Aktie!A$3:AM$103,24,FALSE)/VLOOKUP(A30,Schlußkurse!A$5:AU$105,35,FALSE)</f>
        <v>2.6728438593741837E-2</v>
      </c>
      <c r="R30" s="5">
        <f t="shared" ca="1" si="1"/>
        <v>-0.11739376605807261</v>
      </c>
    </row>
    <row r="31" spans="1:18" x14ac:dyDescent="0.25">
      <c r="A31" t="s">
        <v>52</v>
      </c>
      <c r="B31" t="s">
        <v>53</v>
      </c>
      <c r="C31" s="81">
        <f>IF(VLOOKUP(A31,Schlußkurse!A$5:AU$105,35,FALSE)&gt;0,IF(VLOOKUP(A31,Dividende_je_Aktie!A$3:AM$103,7,FALSE)&lt;&gt;"",VLOOKUP(A31,Dividende_je_Aktie!A$3:AM$103,7,FALSE)/VLOOKUP(A31,Schlußkurse!A$5:AU$105,35,FALSE),""),"")</f>
        <v>3.8033395176252323E-2</v>
      </c>
      <c r="D31" s="82">
        <f>IF(VLOOKUP(A31,Schlußkurse!A$5:AU$105,36,FALSE)&gt;0,IF(VLOOKUP(A31,Dividende_je_Aktie!A$3:AM$103,8,FALSE)&lt;&gt;"",VLOOKUP(A31,Dividende_je_Aktie!A$3:AM$103,8,FALSE)/VLOOKUP(A31,Schlußkurse!A$5:AU$105,36,FALSE),""),"")</f>
        <v>3.5662749948464238E-2</v>
      </c>
      <c r="E31" s="82">
        <f>IF(VLOOKUP(A31,Schlußkurse!A$5:AU$105,37,FALSE)&gt;0,IF(VLOOKUP(A31,Dividende_je_Aktie!A$3:AM$103,9,FALSE)&lt;&gt;"",VLOOKUP(A31,Dividende_je_Aktie!A$3:AM$103,9,FALSE)/VLOOKUP(A31,Schlußkurse!A$5:AU$105,37,FALSE),""),"")</f>
        <v>3.5005336179295618E-2</v>
      </c>
      <c r="F31" s="82">
        <f>IF(VLOOKUP(A31,Schlußkurse!A$5:AU$105,38,FALSE)&gt;0,IF(VLOOKUP(A31,Dividende_je_Aktie!A$3:AM$103,10,FALSE)&lt;&gt;"",VLOOKUP(A31,Dividende_je_Aktie!A$3:AM$103,10,FALSE)/VLOOKUP(A31,Schlußkurse!A$5:AU$105,38,FALSE),""),"")</f>
        <v>3.2155003607131818E-2</v>
      </c>
      <c r="G31" s="82">
        <f>IF(VLOOKUP(A31,Schlußkurse!A$5:AU$105,39,FALSE)&gt;0,IF(VLOOKUP(A31,Dividende_je_Aktie!A$3:AM$103,11,FALSE)&lt;&gt;"",VLOOKUP(A31,Dividende_je_Aktie!A$3:AM$103,11,FALSE)/VLOOKUP(A31,Schlußkurse!A$5:AU$105,39,FALSE),""),"")</f>
        <v>3.253599365151344E-2</v>
      </c>
      <c r="H31" s="82">
        <f>IF(VLOOKUP(A31,Schlußkurse!A$5:AU$105,40,FALSE)&gt;0,IF(VLOOKUP(A31,Dividende_je_Aktie!A$3:AM$103,12,FALSE)&lt;&gt;"",VLOOKUP(A31,Dividende_je_Aktie!A$3:AM$103,12,FALSE)/VLOOKUP(A31,Schlußkurse!A$5:AU$105,40,FALSE),""),"")</f>
        <v>2.5216784610784408E-2</v>
      </c>
      <c r="I31" s="82">
        <f>IF(VLOOKUP(A31,Schlußkurse!A$5:AU$105,41,FALSE)&gt;0,IF(VLOOKUP(A31,Dividende_je_Aktie!A$3:AM$103,13,FALSE)&lt;&gt;"",VLOOKUP(A31,Dividende_je_Aktie!A$3:AM$103,13,FALSE)/VLOOKUP(A31,Schlußkurse!A$5:AU$105,41,FALSE),""),"")</f>
        <v>2.9442417926003123E-2</v>
      </c>
      <c r="J31" s="82">
        <f>IF(VLOOKUP(A31,Schlußkurse!A$5:AU$105,42,FALSE)&gt;0,IF(VLOOKUP(A31,Dividende_je_Aktie!A$3:AM$103,14,FALSE)&lt;&gt;"",VLOOKUP(A31,Dividende_je_Aktie!A$3:AM$103,14,FALSE)/VLOOKUP(A31,Schlußkurse!A$5:AU$105,42,FALSE),""),"")</f>
        <v>3.2831518257527226E-2</v>
      </c>
      <c r="K31" s="82">
        <f>IF(VLOOKUP(A31,Schlußkurse!A$5:AU$105,43,FALSE)&gt;0,IF(VLOOKUP(A31,Dividende_je_Aktie!A$3:AM$103,15,FALSE)&lt;&gt;"",VLOOKUP(A31,Dividende_je_Aktie!A$3:AM$103,15,FALSE)/VLOOKUP(A31,Schlußkurse!A$5:AU$105,43,FALSE),""),"")</f>
        <v>2.6210001607975559E-2</v>
      </c>
      <c r="L31" s="82">
        <f>IF(VLOOKUP(A31,Schlußkurse!A$5:AU$105,44,FALSE)&gt;0,IF(VLOOKUP(A31,Dividende_je_Aktie!A$3:AM$103,16,FALSE)&lt;&gt;"",VLOOKUP(A31,Dividende_je_Aktie!A$3:AM$103,16,FALSE)/VLOOKUP(A31,Schlußkurse!A$5:AU$105,44,FALSE),""),"")</f>
        <v>2.5462570022067563E-2</v>
      </c>
      <c r="M31" s="82">
        <f>IF(VLOOKUP(A31,Schlußkurse!A$5:AU$105,45,FALSE)&gt;0,IF(VLOOKUP(A31,Dividende_je_Aktie!A$3:AM$103,17,FALSE)&lt;&gt;"",VLOOKUP(A31,Dividende_je_Aktie!A$3:AM$103,17,FALSE)/VLOOKUP(A31,Schlußkurse!A$5:AU$105,45,FALSE),""),"")</f>
        <v>2.2522522522522525E-2</v>
      </c>
      <c r="N31" s="82">
        <f>IF(VLOOKUP(A31,Schlußkurse!A$5:AU$105,46,FALSE)&gt;0,IF(VLOOKUP(A31,Dividende_je_Aktie!A$3:AM$103,18,FALSE)&lt;&gt;"",VLOOKUP(A31,Dividende_je_Aktie!A$3:AM$103,18,FALSE)/VLOOKUP(A31,Schlußkurse!A$5:AU$105,46,FALSE),""),"")</f>
        <v>1.9869513641755637E-2</v>
      </c>
      <c r="O31" s="83">
        <f>IF(VLOOKUP(A31,Schlußkurse!A$5:AU$105,47,FALSE)&gt;0,IF(VLOOKUP(A31,Dividende_je_Aktie!A$3:AM$103,19,FALSE)&lt;&gt;"",VLOOKUP(A31,Dividende_je_Aktie!A$3:AM$103,19,FALSE)/VLOOKUP(A31,Schlußkurse!A$5:AU$105,47,FALSE),""),"")</f>
        <v>1.7155333749220212E-2</v>
      </c>
      <c r="P31" s="5">
        <f t="shared" si="0"/>
        <v>2.8623318530808753E-2</v>
      </c>
      <c r="Q31" s="5">
        <f ca="1">VLOOKUP(A31,Dividende_je_Aktie!A$3:AM$103,24,FALSE)/VLOOKUP(A31,Schlußkurse!A$5:AU$105,35,FALSE)</f>
        <v>3.6466135275659083E-2</v>
      </c>
      <c r="R31" s="5">
        <f t="shared" ca="1" si="1"/>
        <v>0.2740009596164994</v>
      </c>
    </row>
    <row r="32" spans="1:18" x14ac:dyDescent="0.25">
      <c r="A32" t="s">
        <v>54</v>
      </c>
      <c r="B32" t="s">
        <v>55</v>
      </c>
      <c r="C32" s="81">
        <f>IF(VLOOKUP(A32,Schlußkurse!A$5:AU$105,35,FALSE)&gt;0,IF(VLOOKUP(A32,Dividende_je_Aktie!A$3:AM$103,7,FALSE)&lt;&gt;"",VLOOKUP(A32,Dividende_je_Aktie!A$3:AM$103,7,FALSE)/VLOOKUP(A32,Schlußkurse!A$5:AU$105,35,FALSE),""),"")</f>
        <v>3.0831099195710459E-2</v>
      </c>
      <c r="D32" s="82">
        <f>IF(VLOOKUP(A32,Schlußkurse!A$5:AU$105,36,FALSE)&gt;0,IF(VLOOKUP(A32,Dividende_je_Aktie!A$3:AM$103,8,FALSE)&lt;&gt;"",VLOOKUP(A32,Dividende_je_Aktie!A$3:AM$103,8,FALSE)/VLOOKUP(A32,Schlußkurse!A$5:AU$105,36,FALSE),""),"")</f>
        <v>2.9993297587131366E-2</v>
      </c>
      <c r="E32" s="82">
        <f>IF(VLOOKUP(A32,Schlußkurse!A$5:AU$105,37,FALSE)&gt;0,IF(VLOOKUP(A32,Dividende_je_Aktie!A$3:AM$103,9,FALSE)&lt;&gt;"",VLOOKUP(A32,Dividende_je_Aktie!A$3:AM$103,9,FALSE)/VLOOKUP(A32,Schlußkurse!A$5:AU$105,37,FALSE),""),"")</f>
        <v>3.1167459059693609E-2</v>
      </c>
      <c r="F32" s="82">
        <f>IF(VLOOKUP(A32,Schlußkurse!A$5:AU$105,38,FALSE)&gt;0,IF(VLOOKUP(A32,Dividende_je_Aktie!A$3:AM$103,10,FALSE)&lt;&gt;"",VLOOKUP(A32,Dividende_je_Aktie!A$3:AM$103,10,FALSE)/VLOOKUP(A32,Schlußkurse!A$5:AU$105,38,FALSE),""),"")</f>
        <v>3.4565434565434566E-2</v>
      </c>
      <c r="G32" s="82">
        <f>IF(VLOOKUP(A32,Schlußkurse!A$5:AU$105,39,FALSE)&gt;0,IF(VLOOKUP(A32,Dividende_je_Aktie!A$3:AM$103,11,FALSE)&lt;&gt;"",VLOOKUP(A32,Dividende_je_Aktie!A$3:AM$103,11,FALSE)/VLOOKUP(A32,Schlußkurse!A$5:AU$105,39,FALSE),""),"")</f>
        <v>4.1035661944308743E-2</v>
      </c>
      <c r="H32" s="82">
        <f>IF(VLOOKUP(A32,Schlußkurse!A$5:AU$105,40,FALSE)&gt;0,IF(VLOOKUP(A32,Dividende_je_Aktie!A$3:AM$103,12,FALSE)&lt;&gt;"",VLOOKUP(A32,Dividende_je_Aktie!A$3:AM$103,12,FALSE)/VLOOKUP(A32,Schlußkurse!A$5:AU$105,40,FALSE),""),"")</f>
        <v>4.0318302387267899E-2</v>
      </c>
      <c r="I32" s="82">
        <f>IF(VLOOKUP(A32,Schlußkurse!A$5:AU$105,41,FALSE)&gt;0,IF(VLOOKUP(A32,Dividende_je_Aktie!A$3:AM$103,13,FALSE)&lt;&gt;"",VLOOKUP(A32,Dividende_je_Aktie!A$3:AM$103,13,FALSE)/VLOOKUP(A32,Schlußkurse!A$5:AU$105,41,FALSE),""),"")</f>
        <v>4.2175360710321866E-2</v>
      </c>
      <c r="J32" s="82">
        <f>IF(VLOOKUP(A32,Schlußkurse!A$5:AU$105,42,FALSE)&gt;0,IF(VLOOKUP(A32,Dividende_je_Aktie!A$3:AM$103,14,FALSE)&lt;&gt;"",VLOOKUP(A32,Dividende_je_Aktie!A$3:AM$103,14,FALSE)/VLOOKUP(A32,Schlußkurse!A$5:AU$105,42,FALSE),""),"")</f>
        <v>4.1598248494800219E-2</v>
      </c>
      <c r="K32" s="82">
        <f>IF(VLOOKUP(A32,Schlußkurse!A$5:AU$105,43,FALSE)&gt;0,IF(VLOOKUP(A32,Dividende_je_Aktie!A$3:AM$103,15,FALSE)&lt;&gt;"",VLOOKUP(A32,Dividende_je_Aktie!A$3:AM$103,15,FALSE)/VLOOKUP(A32,Schlußkurse!A$5:AU$105,43,FALSE),""),"")</f>
        <v>0.05</v>
      </c>
      <c r="L32" s="82">
        <f>IF(VLOOKUP(A32,Schlußkurse!A$5:AU$105,44,FALSE)&gt;0,IF(VLOOKUP(A32,Dividende_je_Aktie!A$3:AM$103,16,FALSE)&lt;&gt;"",VLOOKUP(A32,Dividende_je_Aktie!A$3:AM$103,16,FALSE)/VLOOKUP(A32,Schlußkurse!A$5:AU$105,44,FALSE),""),"")</f>
        <v>2.6157287902254345E-2</v>
      </c>
      <c r="M32" s="82">
        <f>IF(VLOOKUP(A32,Schlußkurse!A$5:AU$105,45,FALSE)&gt;0,IF(VLOOKUP(A32,Dividende_je_Aktie!A$3:AM$103,17,FALSE)&lt;&gt;"",VLOOKUP(A32,Dividende_je_Aktie!A$3:AM$103,17,FALSE)/VLOOKUP(A32,Schlußkurse!A$5:AU$105,45,FALSE),""),"")</f>
        <v>3.4870383115393436E-2</v>
      </c>
      <c r="N32" s="82">
        <f>IF(VLOOKUP(A32,Schlußkurse!A$5:AU$105,46,FALSE)&gt;0,IF(VLOOKUP(A32,Dividende_je_Aktie!A$3:AM$103,18,FALSE)&lt;&gt;"",VLOOKUP(A32,Dividende_je_Aktie!A$3:AM$103,18,FALSE)/VLOOKUP(A32,Schlußkurse!A$5:AU$105,46,FALSE),""),"")</f>
        <v>4.7783715812637538E-2</v>
      </c>
      <c r="O32" s="83">
        <f>IF(VLOOKUP(A32,Schlußkurse!A$5:AU$105,47,FALSE)&gt;0,IF(VLOOKUP(A32,Dividende_je_Aktie!A$3:AM$103,19,FALSE)&lt;&gt;"",VLOOKUP(A32,Dividende_je_Aktie!A$3:AM$103,19,FALSE)/VLOOKUP(A32,Schlußkurse!A$5:AU$105,47,FALSE),""),"")</f>
        <v>4.6359676415681395E-2</v>
      </c>
      <c r="P32" s="5">
        <f t="shared" si="0"/>
        <v>3.8219686706971949E-2</v>
      </c>
      <c r="Q32" s="5">
        <f ca="1">VLOOKUP(A32,Dividende_je_Aktie!A$3:AM$103,24,FALSE)/VLOOKUP(A32,Schlußkurse!A$5:AU$105,35,FALSE)</f>
        <v>3.0277219243372063E-2</v>
      </c>
      <c r="R32" s="5">
        <f t="shared" ca="1" si="1"/>
        <v>-0.20781089924923535</v>
      </c>
    </row>
    <row r="33" spans="1:18" x14ac:dyDescent="0.25">
      <c r="A33" t="s">
        <v>56</v>
      </c>
      <c r="B33" t="s">
        <v>57</v>
      </c>
      <c r="C33" s="81">
        <f>IF(VLOOKUP(A33,Schlußkurse!A$5:AU$105,35,FALSE)&gt;0,IF(VLOOKUP(A33,Dividende_je_Aktie!A$3:AM$103,7,FALSE)&lt;&gt;"",VLOOKUP(A33,Dividende_je_Aktie!A$3:AM$103,7,FALSE)/VLOOKUP(A33,Schlußkurse!A$5:AU$105,35,FALSE),""),"")</f>
        <v>2.5886669384427231E-2</v>
      </c>
      <c r="D33" s="82">
        <f>IF(VLOOKUP(A33,Schlußkurse!A$5:AU$105,36,FALSE)&gt;0,IF(VLOOKUP(A33,Dividende_je_Aktie!A$3:AM$103,8,FALSE)&lt;&gt;"",VLOOKUP(A33,Dividende_je_Aktie!A$3:AM$103,8,FALSE)/VLOOKUP(A33,Schlußkurse!A$5:AU$105,36,FALSE),""),"")</f>
        <v>2.4256013045250713E-2</v>
      </c>
      <c r="E33" s="82">
        <f>IF(VLOOKUP(A33,Schlußkurse!A$5:AU$105,37,FALSE)&gt;0,IF(VLOOKUP(A33,Dividende_je_Aktie!A$3:AM$103,9,FALSE)&lt;&gt;"",VLOOKUP(A33,Dividende_je_Aktie!A$3:AM$103,9,FALSE)/VLOOKUP(A33,Schlußkurse!A$5:AU$105,37,FALSE),""),"")</f>
        <v>2.6858513189448444E-2</v>
      </c>
      <c r="F33" s="82">
        <f>IF(VLOOKUP(A33,Schlußkurse!A$5:AU$105,38,FALSE)&gt;0,IF(VLOOKUP(A33,Dividende_je_Aktie!A$3:AM$103,10,FALSE)&lt;&gt;"",VLOOKUP(A33,Dividende_je_Aktie!A$3:AM$103,10,FALSE)/VLOOKUP(A33,Schlußkurse!A$5:AU$105,38,FALSE),""),"")</f>
        <v>2.6631929367491678E-2</v>
      </c>
      <c r="G33" s="82">
        <f>IF(VLOOKUP(A33,Schlußkurse!A$5:AU$105,39,FALSE)&gt;0,IF(VLOOKUP(A33,Dividende_je_Aktie!A$3:AM$103,11,FALSE)&lt;&gt;"",VLOOKUP(A33,Dividende_je_Aktie!A$3:AM$103,11,FALSE)/VLOOKUP(A33,Schlußkurse!A$5:AU$105,39,FALSE),""),"")</f>
        <v>2.6152337365152011E-2</v>
      </c>
      <c r="H33" s="82">
        <f>IF(VLOOKUP(A33,Schlußkurse!A$5:AU$105,40,FALSE)&gt;0,IF(VLOOKUP(A33,Dividende_je_Aktie!A$3:AM$103,12,FALSE)&lt;&gt;"",VLOOKUP(A33,Dividende_je_Aktie!A$3:AM$103,12,FALSE)/VLOOKUP(A33,Schlußkurse!A$5:AU$105,40,FALSE),""),"")</f>
        <v>2.4615384615384615E-2</v>
      </c>
      <c r="I33" s="82">
        <f>IF(VLOOKUP(A33,Schlußkurse!A$5:AU$105,41,FALSE)&gt;0,IF(VLOOKUP(A33,Dividende_je_Aktie!A$3:AM$103,13,FALSE)&lt;&gt;"",VLOOKUP(A33,Dividende_je_Aktie!A$3:AM$103,13,FALSE)/VLOOKUP(A33,Schlußkurse!A$5:AU$105,41,FALSE),""),"")</f>
        <v>2.2598870056497175E-2</v>
      </c>
      <c r="J33" s="82">
        <f>IF(VLOOKUP(A33,Schlußkurse!A$5:AU$105,42,FALSE)&gt;0,IF(VLOOKUP(A33,Dividende_je_Aktie!A$3:AM$103,14,FALSE)&lt;&gt;"",VLOOKUP(A33,Dividende_je_Aktie!A$3:AM$103,14,FALSE)/VLOOKUP(A33,Schlußkurse!A$5:AU$105,42,FALSE),""),"")</f>
        <v>2.1876314682372739E-2</v>
      </c>
      <c r="K33" s="82">
        <f>IF(VLOOKUP(A33,Schlußkurse!A$5:AU$105,43,FALSE)&gt;0,IF(VLOOKUP(A33,Dividende_je_Aktie!A$3:AM$103,15,FALSE)&lt;&gt;"",VLOOKUP(A33,Dividende_je_Aktie!A$3:AM$103,15,FALSE)/VLOOKUP(A33,Schlußkurse!A$5:AU$105,43,FALSE),""),"")</f>
        <v>1.599418393311523E-2</v>
      </c>
      <c r="L33" s="82">
        <f>IF(VLOOKUP(A33,Schlußkurse!A$5:AU$105,44,FALSE)&gt;0,IF(VLOOKUP(A33,Dividende_je_Aktie!A$3:AM$103,16,FALSE)&lt;&gt;"",VLOOKUP(A33,Dividende_je_Aktie!A$3:AM$103,16,FALSE)/VLOOKUP(A33,Schlußkurse!A$5:AU$105,44,FALSE),""),"")</f>
        <v>1.3573125212080083E-2</v>
      </c>
      <c r="M33" s="82">
        <f>IF(VLOOKUP(A33,Schlußkurse!A$5:AU$105,45,FALSE)&gt;0,IF(VLOOKUP(A33,Dividende_je_Aktie!A$3:AM$103,17,FALSE)&lt;&gt;"",VLOOKUP(A33,Dividende_je_Aktie!A$3:AM$103,17,FALSE)/VLOOKUP(A33,Schlußkurse!A$5:AU$105,45,FALSE),""),"")</f>
        <v>1.5021459227467809E-2</v>
      </c>
      <c r="N33" s="82">
        <f>IF(VLOOKUP(A33,Schlußkurse!A$5:AU$105,46,FALSE)&gt;0,IF(VLOOKUP(A33,Dividende_je_Aktie!A$3:AM$103,18,FALSE)&lt;&gt;"",VLOOKUP(A33,Dividende_je_Aktie!A$3:AM$103,18,FALSE)/VLOOKUP(A33,Schlußkurse!A$5:AU$105,46,FALSE),""),"")</f>
        <v>1.3687600644122385E-2</v>
      </c>
      <c r="O33" s="83">
        <f>IF(VLOOKUP(A33,Schlußkurse!A$5:AU$105,47,FALSE)&gt;0,IF(VLOOKUP(A33,Dividende_je_Aktie!A$3:AM$103,19,FALSE)&lt;&gt;"",VLOOKUP(A33,Dividende_je_Aktie!A$3:AM$103,19,FALSE)/VLOOKUP(A33,Schlußkurse!A$5:AU$105,47,FALSE),""),"")</f>
        <v>5.6022408963585435E-3</v>
      </c>
      <c r="P33" s="5">
        <f t="shared" si="0"/>
        <v>2.0211895509166817E-2</v>
      </c>
      <c r="Q33" s="5">
        <f ca="1">VLOOKUP(A33,Dividende_je_Aktie!A$3:AM$103,24,FALSE)/VLOOKUP(A33,Schlußkurse!A$5:AU$105,35,FALSE)</f>
        <v>2.5628482130724283E-2</v>
      </c>
      <c r="R33" s="5">
        <f t="shared" ca="1" si="1"/>
        <v>0.26799003681276945</v>
      </c>
    </row>
    <row r="34" spans="1:18" x14ac:dyDescent="0.25">
      <c r="A34" t="s">
        <v>58</v>
      </c>
      <c r="B34" t="s">
        <v>59</v>
      </c>
      <c r="C34" s="81">
        <f>IF(VLOOKUP(A34,Schlußkurse!A$5:AU$105,35,FALSE)&gt;0,IF(VLOOKUP(A34,Dividende_je_Aktie!A$3:AM$103,7,FALSE)&lt;&gt;"",VLOOKUP(A34,Dividende_je_Aktie!A$3:AM$103,7,FALSE)/VLOOKUP(A34,Schlußkurse!A$5:AU$105,35,FALSE),""),"")</f>
        <v>1.7054263565891473E-2</v>
      </c>
      <c r="D34" s="82">
        <f>IF(VLOOKUP(A34,Schlußkurse!A$5:AU$105,36,FALSE)&gt;0,IF(VLOOKUP(A34,Dividende_je_Aktie!A$3:AM$103,8,FALSE)&lt;&gt;"",VLOOKUP(A34,Dividende_je_Aktie!A$3:AM$103,8,FALSE)/VLOOKUP(A34,Schlußkurse!A$5:AU$105,36,FALSE),""),"")</f>
        <v>1.5762273901808784E-2</v>
      </c>
      <c r="E34" s="82">
        <f>IF(VLOOKUP(A34,Schlußkurse!A$5:AU$105,37,FALSE)&gt;0,IF(VLOOKUP(A34,Dividende_je_Aktie!A$3:AM$103,9,FALSE)&lt;&gt;"",VLOOKUP(A34,Dividende_je_Aktie!A$3:AM$103,9,FALSE)/VLOOKUP(A34,Schlußkurse!A$5:AU$105,37,FALSE),""),"")</f>
        <v>1.5966964900206469E-2</v>
      </c>
      <c r="F34" s="82">
        <f>IF(VLOOKUP(A34,Schlußkurse!A$5:AU$105,38,FALSE)&gt;0,IF(VLOOKUP(A34,Dividende_je_Aktie!A$3:AM$103,10,FALSE)&lt;&gt;"",VLOOKUP(A34,Dividende_je_Aktie!A$3:AM$103,10,FALSE)/VLOOKUP(A34,Schlußkurse!A$5:AU$105,38,FALSE),""),"")</f>
        <v>1.5297450424929181E-2</v>
      </c>
      <c r="G34" s="82">
        <f>IF(VLOOKUP(A34,Schlußkurse!A$5:AU$105,39,FALSE)&gt;0,IF(VLOOKUP(A34,Dividende_je_Aktie!A$3:AM$103,11,FALSE)&lt;&gt;"",VLOOKUP(A34,Dividende_je_Aktie!A$3:AM$103,11,FALSE)/VLOOKUP(A34,Schlußkurse!A$5:AU$105,39,FALSE),""),"")</f>
        <v>2.7700831024930751E-2</v>
      </c>
      <c r="H34" s="82">
        <f>IF(VLOOKUP(A34,Schlußkurse!A$5:AU$105,40,FALSE)&gt;0,IF(VLOOKUP(A34,Dividende_je_Aktie!A$3:AM$103,12,FALSE)&lt;&gt;"",VLOOKUP(A34,Dividende_je_Aktie!A$3:AM$103,12,FALSE)/VLOOKUP(A34,Schlußkurse!A$5:AU$105,40,FALSE),""),"")</f>
        <v>1.5625210468891017E-2</v>
      </c>
      <c r="I34" s="82">
        <f>IF(VLOOKUP(A34,Schlußkurse!A$5:AU$105,41,FALSE)&gt;0,IF(VLOOKUP(A34,Dividende_je_Aktie!A$3:AM$103,13,FALSE)&lt;&gt;"",VLOOKUP(A34,Dividende_je_Aktie!A$3:AM$103,13,FALSE)/VLOOKUP(A34,Schlußkurse!A$5:AU$105,41,FALSE),""),"")</f>
        <v>2.473453025715382E-2</v>
      </c>
      <c r="J34" s="82">
        <f>IF(VLOOKUP(A34,Schlußkurse!A$5:AU$105,42,FALSE)&gt;0,IF(VLOOKUP(A34,Dividende_je_Aktie!A$3:AM$103,14,FALSE)&lt;&gt;"",VLOOKUP(A34,Dividende_je_Aktie!A$3:AM$103,14,FALSE)/VLOOKUP(A34,Schlußkurse!A$5:AU$105,42,FALSE),""),"")</f>
        <v>2.3073556908143372E-2</v>
      </c>
      <c r="K34" s="82">
        <f>IF(VLOOKUP(A34,Schlußkurse!A$5:AU$105,43,FALSE)&gt;0,IF(VLOOKUP(A34,Dividende_je_Aktie!A$3:AM$103,15,FALSE)&lt;&gt;"",VLOOKUP(A34,Dividende_je_Aktie!A$3:AM$103,15,FALSE)/VLOOKUP(A34,Schlußkurse!A$5:AU$105,43,FALSE),""),"")</f>
        <v>3.2858064894678171E-2</v>
      </c>
      <c r="L34" s="82" t="str">
        <f>IF(VLOOKUP(A34,Schlußkurse!A$5:AU$105,44,FALSE)&gt;0,IF(VLOOKUP(A34,Dividende_je_Aktie!A$3:AM$103,16,FALSE)&lt;&gt;"",VLOOKUP(A34,Dividende_je_Aktie!A$3:AM$103,16,FALSE)/VLOOKUP(A34,Schlußkurse!A$5:AU$105,44,FALSE),""),"")</f>
        <v/>
      </c>
      <c r="M34" s="82" t="str">
        <f>IF(VLOOKUP(A34,Schlußkurse!A$5:AU$105,45,FALSE)&gt;0,IF(VLOOKUP(A34,Dividende_je_Aktie!A$3:AM$103,17,FALSE)&lt;&gt;"",VLOOKUP(A34,Dividende_je_Aktie!A$3:AM$103,17,FALSE)/VLOOKUP(A34,Schlußkurse!A$5:AU$105,45,FALSE),""),"")</f>
        <v/>
      </c>
      <c r="N34" s="82" t="str">
        <f>IF(VLOOKUP(A34,Schlußkurse!A$5:AU$105,46,FALSE)&gt;0,IF(VLOOKUP(A34,Dividende_je_Aktie!A$3:AM$103,18,FALSE)&lt;&gt;"",VLOOKUP(A34,Dividende_je_Aktie!A$3:AM$103,18,FALSE)/VLOOKUP(A34,Schlußkurse!A$5:AU$105,46,FALSE),""),"")</f>
        <v/>
      </c>
      <c r="O34" s="83" t="str">
        <f>IF(VLOOKUP(A34,Schlußkurse!A$5:AU$105,47,FALSE)&gt;0,IF(VLOOKUP(A34,Dividende_je_Aktie!A$3:AM$103,19,FALSE)&lt;&gt;"",VLOOKUP(A34,Dividende_je_Aktie!A$3:AM$103,19,FALSE)/VLOOKUP(A34,Schlußkurse!A$5:AU$105,47,FALSE),""),"")</f>
        <v/>
      </c>
      <c r="P34" s="5">
        <f t="shared" si="0"/>
        <v>2.0897016260737002E-2</v>
      </c>
      <c r="Q34" s="5">
        <f ca="1">VLOOKUP(A34,Dividende_je_Aktie!A$3:AM$103,24,FALSE)/VLOOKUP(A34,Schlußkurse!A$5:AU$105,35,FALSE)</f>
        <v>1.6200114843525699E-2</v>
      </c>
      <c r="R34" s="5">
        <f t="shared" ca="1" si="1"/>
        <v>-0.2247642131588049</v>
      </c>
    </row>
    <row r="35" spans="1:18" x14ac:dyDescent="0.25">
      <c r="A35" t="s">
        <v>60</v>
      </c>
      <c r="B35" t="s">
        <v>61</v>
      </c>
      <c r="C35" s="81">
        <f>IF(VLOOKUP(A35,Schlußkurse!A$5:AU$105,35,FALSE)&gt;0,IF(VLOOKUP(A35,Dividende_je_Aktie!A$3:AM$103,7,FALSE)&lt;&gt;"",VLOOKUP(A35,Dividende_je_Aktie!A$3:AM$103,7,FALSE)/VLOOKUP(A35,Schlußkurse!A$5:AU$105,35,FALSE),""),"")</f>
        <v>1.7999999999999999E-2</v>
      </c>
      <c r="D35" s="82">
        <f>IF(VLOOKUP(A35,Schlußkurse!A$5:AU$105,36,FALSE)&gt;0,IF(VLOOKUP(A35,Dividende_je_Aktie!A$3:AM$103,8,FALSE)&lt;&gt;"",VLOOKUP(A35,Dividende_je_Aktie!A$3:AM$103,8,FALSE)/VLOOKUP(A35,Schlußkurse!A$5:AU$105,36,FALSE),""),"")</f>
        <v>1.6695652173913042E-2</v>
      </c>
      <c r="E35" s="82">
        <f>IF(VLOOKUP(A35,Schlußkurse!A$5:AU$105,37,FALSE)&gt;0,IF(VLOOKUP(A35,Dividende_je_Aktie!A$3:AM$103,9,FALSE)&lt;&gt;"",VLOOKUP(A35,Dividende_je_Aktie!A$3:AM$103,9,FALSE)/VLOOKUP(A35,Schlußkurse!A$5:AU$105,37,FALSE),""),"")</f>
        <v>1.5391266753134457E-2</v>
      </c>
      <c r="F35" s="82">
        <f>IF(VLOOKUP(A35,Schlußkurse!A$5:AU$105,38,FALSE)&gt;0,IF(VLOOKUP(A35,Dividende_je_Aktie!A$3:AM$103,10,FALSE)&lt;&gt;"",VLOOKUP(A35,Dividende_je_Aktie!A$3:AM$103,10,FALSE)/VLOOKUP(A35,Schlußkurse!A$5:AU$105,38,FALSE),""),"")</f>
        <v>1.5936254980079681E-2</v>
      </c>
      <c r="G35" s="82">
        <f>IF(VLOOKUP(A35,Schlußkurse!A$5:AU$105,39,FALSE)&gt;0,IF(VLOOKUP(A35,Dividende_je_Aktie!A$3:AM$103,11,FALSE)&lt;&gt;"",VLOOKUP(A35,Dividende_je_Aktie!A$3:AM$103,11,FALSE)/VLOOKUP(A35,Schlußkurse!A$5:AU$105,39,FALSE),""),"")</f>
        <v>1.4694064975318563E-2</v>
      </c>
      <c r="H35" s="82">
        <f>IF(VLOOKUP(A35,Schlußkurse!A$5:AU$105,40,FALSE)&gt;0,IF(VLOOKUP(A35,Dividende_je_Aktie!A$3:AM$103,12,FALSE)&lt;&gt;"",VLOOKUP(A35,Dividende_je_Aktie!A$3:AM$103,12,FALSE)/VLOOKUP(A35,Schlußkurse!A$5:AU$105,40,FALSE),""),"")</f>
        <v>1.6538517336428256E-2</v>
      </c>
      <c r="I35" s="82">
        <f>IF(VLOOKUP(A35,Schlußkurse!A$5:AU$105,41,FALSE)&gt;0,IF(VLOOKUP(A35,Dividende_je_Aktie!A$3:AM$103,13,FALSE)&lt;&gt;"",VLOOKUP(A35,Dividende_je_Aktie!A$3:AM$103,13,FALSE)/VLOOKUP(A35,Schlußkurse!A$5:AU$105,41,FALSE),""),"")</f>
        <v>2.0512820512820516E-2</v>
      </c>
      <c r="J35" s="82">
        <f>IF(VLOOKUP(A35,Schlußkurse!A$5:AU$105,42,FALSE)&gt;0,IF(VLOOKUP(A35,Dividende_je_Aktie!A$3:AM$103,14,FALSE)&lt;&gt;"",VLOOKUP(A35,Dividende_je_Aktie!A$3:AM$103,14,FALSE)/VLOOKUP(A35,Schlußkurse!A$5:AU$105,42,FALSE),""),"")</f>
        <v>1.2398664759179782E-2</v>
      </c>
      <c r="K35" s="82">
        <f>IF(VLOOKUP(A35,Schlußkurse!A$5:AU$105,43,FALSE)&gt;0,IF(VLOOKUP(A35,Dividende_je_Aktie!A$3:AM$103,15,FALSE)&lt;&gt;"",VLOOKUP(A35,Dividende_je_Aktie!A$3:AM$103,15,FALSE)/VLOOKUP(A35,Schlußkurse!A$5:AU$105,43,FALSE),""),"")</f>
        <v>7.2647702407002187E-3</v>
      </c>
      <c r="L35" s="82">
        <f>IF(VLOOKUP(A35,Schlußkurse!A$5:AU$105,44,FALSE)&gt;0,IF(VLOOKUP(A35,Dividende_je_Aktie!A$3:AM$103,16,FALSE)&lt;&gt;"",VLOOKUP(A35,Dividende_je_Aktie!A$3:AM$103,16,FALSE)/VLOOKUP(A35,Schlußkurse!A$5:AU$105,44,FALSE),""),"")</f>
        <v>7.8864353312302852E-3</v>
      </c>
      <c r="M35" s="82">
        <f>IF(VLOOKUP(A35,Schlußkurse!A$5:AU$105,45,FALSE)&gt;0,IF(VLOOKUP(A35,Dividende_je_Aktie!A$3:AM$103,17,FALSE)&lt;&gt;"",VLOOKUP(A35,Dividende_je_Aktie!A$3:AM$103,17,FALSE)/VLOOKUP(A35,Schlußkurse!A$5:AU$105,45,FALSE),""),"")</f>
        <v>8.4352593842260647E-3</v>
      </c>
      <c r="N35" s="82">
        <f>IF(VLOOKUP(A35,Schlußkurse!A$5:AU$105,46,FALSE)&gt;0,IF(VLOOKUP(A35,Dividende_je_Aktie!A$3:AM$103,18,FALSE)&lt;&gt;"",VLOOKUP(A35,Dividende_je_Aktie!A$3:AM$103,18,FALSE)/VLOOKUP(A35,Schlußkurse!A$5:AU$105,46,FALSE),""),"")</f>
        <v>1.0675039246467817E-2</v>
      </c>
      <c r="O35" s="83">
        <f>IF(VLOOKUP(A35,Schlußkurse!A$5:AU$105,47,FALSE)&gt;0,IF(VLOOKUP(A35,Dividende_je_Aktie!A$3:AM$103,19,FALSE)&lt;&gt;"",VLOOKUP(A35,Dividende_je_Aktie!A$3:AM$103,19,FALSE)/VLOOKUP(A35,Schlußkurse!A$5:AU$105,47,FALSE),""),"")</f>
        <v>1.8579234972677595E-2</v>
      </c>
      <c r="P35" s="5">
        <f t="shared" si="0"/>
        <v>1.4077536974321254E-2</v>
      </c>
      <c r="Q35" s="5">
        <f ca="1">VLOOKUP(A35,Dividende_je_Aktie!A$3:AM$103,24,FALSE)/VLOOKUP(A35,Schlußkurse!A$5:AU$105,35,FALSE)</f>
        <v>1.7572463768115939E-2</v>
      </c>
      <c r="R35" s="5">
        <f t="shared" ca="1" si="1"/>
        <v>0.24826266130003849</v>
      </c>
    </row>
    <row r="36" spans="1:18" x14ac:dyDescent="0.25">
      <c r="A36" t="s">
        <v>62</v>
      </c>
      <c r="B36" t="s">
        <v>63</v>
      </c>
      <c r="C36" s="81">
        <f>IF(VLOOKUP(A36,Schlußkurse!A$5:AU$105,35,FALSE)&gt;0,IF(VLOOKUP(A36,Dividende_je_Aktie!A$3:AM$103,7,FALSE)&lt;&gt;"",VLOOKUP(A36,Dividende_je_Aktie!A$3:AM$103,7,FALSE)/VLOOKUP(A36,Schlußkurse!A$5:AU$105,35,FALSE),""),"")</f>
        <v>1.2295998211491171E-2</v>
      </c>
      <c r="D36" s="82">
        <f>IF(VLOOKUP(A36,Schlußkurse!A$5:AU$105,36,FALSE)&gt;0,IF(VLOOKUP(A36,Dividende_je_Aktie!A$3:AM$103,8,FALSE)&lt;&gt;"",VLOOKUP(A36,Dividende_je_Aktie!A$3:AM$103,8,FALSE)/VLOOKUP(A36,Schlußkurse!A$5:AU$105,36,FALSE),""),"")</f>
        <v>1.11781801922647E-2</v>
      </c>
      <c r="E36" s="82">
        <f>IF(VLOOKUP(A36,Schlußkurse!A$5:AU$105,37,FALSE)&gt;0,IF(VLOOKUP(A36,Dividende_je_Aktie!A$3:AM$103,9,FALSE)&lt;&gt;"",VLOOKUP(A36,Dividende_je_Aktie!A$3:AM$103,9,FALSE)/VLOOKUP(A36,Schlußkurse!A$5:AU$105,37,FALSE),""),"")</f>
        <v>1.1423131841980008E-2</v>
      </c>
      <c r="F36" s="82">
        <f>IF(VLOOKUP(A36,Schlußkurse!A$5:AU$105,38,FALSE)&gt;0,IF(VLOOKUP(A36,Dividende_je_Aktie!A$3:AM$103,10,FALSE)&lt;&gt;"",VLOOKUP(A36,Dividende_je_Aktie!A$3:AM$103,10,FALSE)/VLOOKUP(A36,Schlußkurse!A$5:AU$105,38,FALSE),""),"")</f>
        <v>8.8809946714031966E-3</v>
      </c>
      <c r="G36" s="82">
        <f>IF(VLOOKUP(A36,Schlußkurse!A$5:AU$105,39,FALSE)&gt;0,IF(VLOOKUP(A36,Dividende_je_Aktie!A$3:AM$103,11,FALSE)&lt;&gt;"",VLOOKUP(A36,Dividende_je_Aktie!A$3:AM$103,11,FALSE)/VLOOKUP(A36,Schlußkurse!A$5:AU$105,39,FALSE),""),"")</f>
        <v>9.066868152625614E-3</v>
      </c>
      <c r="H36" s="82">
        <f>IF(VLOOKUP(A36,Schlußkurse!A$5:AU$105,40,FALSE)&gt;0,IF(VLOOKUP(A36,Dividende_je_Aktie!A$3:AM$103,12,FALSE)&lt;&gt;"",VLOOKUP(A36,Dividende_je_Aktie!A$3:AM$103,12,FALSE)/VLOOKUP(A36,Schlußkurse!A$5:AU$105,40,FALSE),""),"")</f>
        <v>6.1367621274108705E-3</v>
      </c>
      <c r="I36" s="82">
        <f>IF(VLOOKUP(A36,Schlußkurse!A$5:AU$105,41,FALSE)&gt;0,IF(VLOOKUP(A36,Dividende_je_Aktie!A$3:AM$103,13,FALSE)&lt;&gt;"",VLOOKUP(A36,Dividende_je_Aktie!A$3:AM$103,13,FALSE)/VLOOKUP(A36,Schlußkurse!A$5:AU$105,41,FALSE),""),"")</f>
        <v>8.8613203367301739E-3</v>
      </c>
      <c r="J36" s="82">
        <f>IF(VLOOKUP(A36,Schlußkurse!A$5:AU$105,42,FALSE)&gt;0,IF(VLOOKUP(A36,Dividende_je_Aktie!A$3:AM$103,14,FALSE)&lt;&gt;"",VLOOKUP(A36,Dividende_je_Aktie!A$3:AM$103,14,FALSE)/VLOOKUP(A36,Schlußkurse!A$5:AU$105,42,FALSE),""),"")</f>
        <v>2.5523226135783566E-3</v>
      </c>
      <c r="K36" s="82">
        <f>IF(VLOOKUP(A36,Schlußkurse!A$5:AU$105,43,FALSE)&gt;0,IF(VLOOKUP(A36,Dividende_je_Aktie!A$3:AM$103,15,FALSE)&lt;&gt;"",VLOOKUP(A36,Dividende_je_Aktie!A$3:AM$103,15,FALSE)/VLOOKUP(A36,Schlußkurse!A$5:AU$105,43,FALSE),""),"")</f>
        <v>0</v>
      </c>
      <c r="L36" s="82">
        <f>IF(VLOOKUP(A36,Schlußkurse!A$5:AU$105,44,FALSE)&gt;0,IF(VLOOKUP(A36,Dividende_je_Aktie!A$3:AM$103,16,FALSE)&lt;&gt;"",VLOOKUP(A36,Dividende_je_Aktie!A$3:AM$103,16,FALSE)/VLOOKUP(A36,Schlußkurse!A$5:AU$105,44,FALSE),""),"")</f>
        <v>0</v>
      </c>
      <c r="M36" s="82">
        <f>IF(VLOOKUP(A36,Schlußkurse!A$5:AU$105,45,FALSE)&gt;0,IF(VLOOKUP(A36,Dividende_je_Aktie!A$3:AM$103,17,FALSE)&lt;&gt;"",VLOOKUP(A36,Dividende_je_Aktie!A$3:AM$103,17,FALSE)/VLOOKUP(A36,Schlußkurse!A$5:AU$105,45,FALSE),""),"")</f>
        <v>0</v>
      </c>
      <c r="N36" s="82">
        <f>IF(VLOOKUP(A36,Schlußkurse!A$5:AU$105,46,FALSE)&gt;0,IF(VLOOKUP(A36,Dividende_je_Aktie!A$3:AM$103,18,FALSE)&lt;&gt;"",VLOOKUP(A36,Dividende_je_Aktie!A$3:AM$103,18,FALSE)/VLOOKUP(A36,Schlußkurse!A$5:AU$105,46,FALSE),""),"")</f>
        <v>0</v>
      </c>
      <c r="O36" s="83">
        <f>IF(VLOOKUP(A36,Schlußkurse!A$5:AU$105,47,FALSE)&gt;0,IF(VLOOKUP(A36,Dividende_je_Aktie!A$3:AM$103,19,FALSE)&lt;&gt;"",VLOOKUP(A36,Dividende_je_Aktie!A$3:AM$103,19,FALSE)/VLOOKUP(A36,Schlußkurse!A$5:AU$105,47,FALSE),""),"")</f>
        <v>0</v>
      </c>
      <c r="P36" s="5">
        <f t="shared" ref="P36:P102" si="2">AVERAGE(C36:O36)</f>
        <v>5.4150444728833912E-3</v>
      </c>
      <c r="Q36" s="5">
        <f ca="1">VLOOKUP(A36,Dividende_je_Aktie!A$3:AM$103,24,FALSE)/VLOOKUP(A36,Schlußkurse!A$5:AU$105,35,FALSE)</f>
        <v>1.2209056809995778E-2</v>
      </c>
      <c r="R36" s="5">
        <f t="shared" ref="R36:R102" ca="1" si="3">(Q36/P36)-1</f>
        <v>1.2546549471817587</v>
      </c>
    </row>
    <row r="37" spans="1:18" x14ac:dyDescent="0.25">
      <c r="A37" t="s">
        <v>64</v>
      </c>
      <c r="B37" t="s">
        <v>65</v>
      </c>
      <c r="C37" s="81">
        <f>IF(VLOOKUP(A37,Schlußkurse!A$5:AU$105,35,FALSE)&gt;0,IF(VLOOKUP(A37,Dividende_je_Aktie!A$3:AM$103,7,FALSE)&lt;&gt;"",VLOOKUP(A37,Dividende_je_Aktie!A$3:AM$103,7,FALSE)/VLOOKUP(A37,Schlußkurse!A$5:AU$105,35,FALSE),""),"")</f>
        <v>3.1362576817122276E-2</v>
      </c>
      <c r="D37" s="82">
        <f>IF(VLOOKUP(A37,Schlußkurse!A$5:AU$105,36,FALSE)&gt;0,IF(VLOOKUP(A37,Dividende_je_Aktie!A$3:AM$103,8,FALSE)&lt;&gt;"",VLOOKUP(A37,Dividende_je_Aktie!A$3:AM$103,8,FALSE)/VLOOKUP(A37,Schlußkurse!A$5:AU$105,36,FALSE),""),"")</f>
        <v>2.9243483788938332E-2</v>
      </c>
      <c r="E37" s="82">
        <f>IF(VLOOKUP(A37,Schlußkurse!A$5:AU$105,37,FALSE)&gt;0,IF(VLOOKUP(A37,Dividende_je_Aktie!A$3:AM$103,9,FALSE)&lt;&gt;"",VLOOKUP(A37,Dividende_je_Aktie!A$3:AM$103,9,FALSE)/VLOOKUP(A37,Schlußkurse!A$5:AU$105,37,FALSE),""),"")</f>
        <v>2.6755499153976309E-2</v>
      </c>
      <c r="F37" s="82">
        <f>IF(VLOOKUP(A37,Schlußkurse!A$5:AU$105,38,FALSE)&gt;0,IF(VLOOKUP(A37,Dividende_je_Aktie!A$3:AM$103,10,FALSE)&lt;&gt;"",VLOOKUP(A37,Dividende_je_Aktie!A$3:AM$103,10,FALSE)/VLOOKUP(A37,Schlußkurse!A$5:AU$105,38,FALSE),""),"")</f>
        <v>2.7007475283337357E-2</v>
      </c>
      <c r="G37" s="82">
        <f>IF(VLOOKUP(A37,Schlußkurse!A$5:AU$105,39,FALSE)&gt;0,IF(VLOOKUP(A37,Dividende_je_Aktie!A$3:AM$103,11,FALSE)&lt;&gt;"",VLOOKUP(A37,Dividende_je_Aktie!A$3:AM$103,11,FALSE)/VLOOKUP(A37,Schlußkurse!A$5:AU$105,39,FALSE),""),"")</f>
        <v>3.1126698816308633E-2</v>
      </c>
      <c r="H37" s="82">
        <f>IF(VLOOKUP(A37,Schlußkurse!A$5:AU$105,40,FALSE)&gt;0,IF(VLOOKUP(A37,Dividende_je_Aktie!A$3:AM$103,12,FALSE)&lt;&gt;"",VLOOKUP(A37,Dividende_je_Aktie!A$3:AM$103,12,FALSE)/VLOOKUP(A37,Schlußkurse!A$5:AU$105,40,FALSE),""),"")</f>
        <v>3.0595327807083648E-2</v>
      </c>
      <c r="I37" s="82">
        <f>IF(VLOOKUP(A37,Schlußkurse!A$5:AU$105,41,FALSE)&gt;0,IF(VLOOKUP(A37,Dividende_je_Aktie!A$3:AM$103,13,FALSE)&lt;&gt;"",VLOOKUP(A37,Dividende_je_Aktie!A$3:AM$103,13,FALSE)/VLOOKUP(A37,Schlußkurse!A$5:AU$105,41,FALSE),""),"")</f>
        <v>2.8930047451400581E-2</v>
      </c>
      <c r="J37" s="82">
        <f>IF(VLOOKUP(A37,Schlußkurse!A$5:AU$105,42,FALSE)&gt;0,IF(VLOOKUP(A37,Dividende_je_Aktie!A$3:AM$103,14,FALSE)&lt;&gt;"",VLOOKUP(A37,Dividende_je_Aktie!A$3:AM$103,14,FALSE)/VLOOKUP(A37,Schlußkurse!A$5:AU$105,42,FALSE),""),"")</f>
        <v>2.9276315789473685E-2</v>
      </c>
      <c r="K37" s="82">
        <f>IF(VLOOKUP(A37,Schlußkurse!A$5:AU$105,43,FALSE)&gt;0,IF(VLOOKUP(A37,Dividende_je_Aktie!A$3:AM$103,15,FALSE)&lt;&gt;"",VLOOKUP(A37,Dividende_je_Aktie!A$3:AM$103,15,FALSE)/VLOOKUP(A37,Schlußkurse!A$5:AU$105,43,FALSE),""),"")</f>
        <v>3.0125981376666056E-2</v>
      </c>
      <c r="L37" s="82">
        <f>IF(VLOOKUP(A37,Schlußkurse!A$5:AU$105,44,FALSE)&gt;0,IF(VLOOKUP(A37,Dividende_je_Aktie!A$3:AM$103,16,FALSE)&lt;&gt;"",VLOOKUP(A37,Dividende_je_Aktie!A$3:AM$103,16,FALSE)/VLOOKUP(A37,Schlußkurse!A$5:AU$105,44,FALSE),""),"")</f>
        <v>1.8840579710144925E-2</v>
      </c>
      <c r="M37" s="82">
        <f>IF(VLOOKUP(A37,Schlußkurse!A$5:AU$105,45,FALSE)&gt;0,IF(VLOOKUP(A37,Dividende_je_Aktie!A$3:AM$103,17,FALSE)&lt;&gt;"",VLOOKUP(A37,Dividende_je_Aktie!A$3:AM$103,17,FALSE)/VLOOKUP(A37,Schlußkurse!A$5:AU$105,45,FALSE),""),"")</f>
        <v>1.8512607724225982E-2</v>
      </c>
      <c r="N37" s="82">
        <f>IF(VLOOKUP(A37,Schlußkurse!A$5:AU$105,46,FALSE)&gt;0,IF(VLOOKUP(A37,Dividende_je_Aktie!A$3:AM$103,18,FALSE)&lt;&gt;"",VLOOKUP(A37,Dividende_je_Aktie!A$3:AM$103,18,FALSE)/VLOOKUP(A37,Schlußkurse!A$5:AU$105,46,FALSE),""),"")</f>
        <v>1.7020559487698012E-2</v>
      </c>
      <c r="O37" s="83">
        <f>IF(VLOOKUP(A37,Schlußkurse!A$5:AU$105,47,FALSE)&gt;0,IF(VLOOKUP(A37,Dividende_je_Aktie!A$3:AM$103,19,FALSE)&lt;&gt;"",VLOOKUP(A37,Dividende_je_Aktie!A$3:AM$103,19,FALSE)/VLOOKUP(A37,Schlußkurse!A$5:AU$105,47,FALSE),""),"")</f>
        <v>1.6283524904214558E-2</v>
      </c>
      <c r="P37" s="5">
        <f t="shared" si="2"/>
        <v>2.5775436777737713E-2</v>
      </c>
      <c r="Q37" s="5">
        <f ca="1">VLOOKUP(A37,Dividende_je_Aktie!A$3:AM$103,24,FALSE)/VLOOKUP(A37,Schlußkurse!A$5:AU$105,35,FALSE)</f>
        <v>2.9961620870711782E-2</v>
      </c>
      <c r="R37" s="5">
        <f t="shared" ca="1" si="3"/>
        <v>0.16240982176448249</v>
      </c>
    </row>
    <row r="38" spans="1:18" x14ac:dyDescent="0.25">
      <c r="A38" t="s">
        <v>66</v>
      </c>
      <c r="B38" t="s">
        <v>67</v>
      </c>
      <c r="C38" s="81">
        <f>IF(VLOOKUP(A38,Schlußkurse!A$5:AU$105,35,FALSE)&gt;0,IF(VLOOKUP(A38,Dividende_je_Aktie!A$3:AM$103,7,FALSE)&lt;&gt;"",VLOOKUP(A38,Dividende_je_Aktie!A$3:AM$103,7,FALSE)/VLOOKUP(A38,Schlußkurse!A$5:AU$105,35,FALSE),""),"")</f>
        <v>3.3537474482356368E-2</v>
      </c>
      <c r="D38" s="82">
        <f>IF(VLOOKUP(A38,Schlußkurse!A$5:AU$105,36,FALSE)&gt;0,IF(VLOOKUP(A38,Dividende_je_Aktie!A$3:AM$103,8,FALSE)&lt;&gt;"",VLOOKUP(A38,Dividende_je_Aktie!A$3:AM$103,8,FALSE)/VLOOKUP(A38,Schlußkurse!A$5:AU$105,36,FALSE),""),"")</f>
        <v>3.2370953630796152E-2</v>
      </c>
      <c r="E38" s="82">
        <f>IF(VLOOKUP(A38,Schlußkurse!A$5:AU$105,37,FALSE)&gt;0,IF(VLOOKUP(A38,Dividende_je_Aktie!A$3:AM$103,9,FALSE)&lt;&gt;"",VLOOKUP(A38,Dividende_je_Aktie!A$3:AM$103,9,FALSE)/VLOOKUP(A38,Schlußkurse!A$5:AU$105,37,FALSE),""),"")</f>
        <v>3.3386837881219905E-2</v>
      </c>
      <c r="F38" s="82">
        <f>IF(VLOOKUP(A38,Schlußkurse!A$5:AU$105,38,FALSE)&gt;0,IF(VLOOKUP(A38,Dividende_je_Aktie!A$3:AM$103,10,FALSE)&lt;&gt;"",VLOOKUP(A38,Dividende_je_Aktie!A$3:AM$103,10,FALSE)/VLOOKUP(A38,Schlußkurse!A$5:AU$105,38,FALSE),""),"")</f>
        <v>3.1341821743388835E-2</v>
      </c>
      <c r="G38" s="82">
        <f>IF(VLOOKUP(A38,Schlußkurse!A$5:AU$105,39,FALSE)&gt;0,IF(VLOOKUP(A38,Dividende_je_Aktie!A$3:AM$103,11,FALSE)&lt;&gt;"",VLOOKUP(A38,Dividende_je_Aktie!A$3:AM$103,11,FALSE)/VLOOKUP(A38,Schlußkurse!A$5:AU$105,39,FALSE),""),"")</f>
        <v>3.5088698647888897E-2</v>
      </c>
      <c r="H38" s="82">
        <f>IF(VLOOKUP(A38,Schlußkurse!A$5:AU$105,40,FALSE)&gt;0,IF(VLOOKUP(A38,Dividende_je_Aktie!A$3:AM$103,12,FALSE)&lt;&gt;"",VLOOKUP(A38,Dividende_je_Aktie!A$3:AM$103,12,FALSE)/VLOOKUP(A38,Schlußkurse!A$5:AU$105,40,FALSE),""),"")</f>
        <v>3.6968576709796676E-2</v>
      </c>
      <c r="I38" s="82">
        <f>IF(VLOOKUP(A38,Schlußkurse!A$5:AU$105,41,FALSE)&gt;0,IF(VLOOKUP(A38,Dividende_je_Aktie!A$3:AM$103,13,FALSE)&lt;&gt;"",VLOOKUP(A38,Dividende_je_Aktie!A$3:AM$103,13,FALSE)/VLOOKUP(A38,Schlußkurse!A$5:AU$105,41,FALSE),""),"")</f>
        <v>4.1119360365505418E-2</v>
      </c>
      <c r="J38" s="82">
        <f>IF(VLOOKUP(A38,Schlußkurse!A$5:AU$105,42,FALSE)&gt;0,IF(VLOOKUP(A38,Dividende_je_Aktie!A$3:AM$103,14,FALSE)&lt;&gt;"",VLOOKUP(A38,Dividende_je_Aktie!A$3:AM$103,14,FALSE)/VLOOKUP(A38,Schlußkurse!A$5:AU$105,42,FALSE),""),"")</f>
        <v>4.3980208905992302E-2</v>
      </c>
      <c r="K38" s="82">
        <f>IF(VLOOKUP(A38,Schlußkurse!A$5:AU$105,43,FALSE)&gt;0,IF(VLOOKUP(A38,Dividende_je_Aktie!A$3:AM$103,15,FALSE)&lt;&gt;"",VLOOKUP(A38,Dividende_je_Aktie!A$3:AM$103,15,FALSE)/VLOOKUP(A38,Schlußkurse!A$5:AU$105,43,FALSE),""),"")</f>
        <v>7.2275550536420097E-2</v>
      </c>
      <c r="L38" s="82">
        <f>IF(VLOOKUP(A38,Schlußkurse!A$5:AU$105,44,FALSE)&gt;0,IF(VLOOKUP(A38,Dividende_je_Aktie!A$3:AM$103,16,FALSE)&lt;&gt;"",VLOOKUP(A38,Dividende_je_Aktie!A$3:AM$103,16,FALSE)/VLOOKUP(A38,Schlußkurse!A$5:AU$105,44,FALSE),""),"")</f>
        <v>5.1033875934887812E-2</v>
      </c>
      <c r="M38" s="82">
        <f>IF(VLOOKUP(A38,Schlußkurse!A$5:AU$105,45,FALSE)&gt;0,IF(VLOOKUP(A38,Dividende_je_Aktie!A$3:AM$103,17,FALSE)&lt;&gt;"",VLOOKUP(A38,Dividende_je_Aktie!A$3:AM$103,17,FALSE)/VLOOKUP(A38,Schlußkurse!A$5:AU$105,45,FALSE),""),"")</f>
        <v>3.6965729688101655E-2</v>
      </c>
      <c r="N38" s="82">
        <f>IF(VLOOKUP(A38,Schlußkurse!A$5:AU$105,46,FALSE)&gt;0,IF(VLOOKUP(A38,Dividende_je_Aktie!A$3:AM$103,18,FALSE)&lt;&gt;"",VLOOKUP(A38,Dividende_je_Aktie!A$3:AM$103,18,FALSE)/VLOOKUP(A38,Schlußkurse!A$5:AU$105,46,FALSE),""),"")</f>
        <v>3.2590051457975985E-2</v>
      </c>
      <c r="O38" s="83">
        <f>IF(VLOOKUP(A38,Schlußkurse!A$5:AU$105,47,FALSE)&gt;0,IF(VLOOKUP(A38,Dividende_je_Aktie!A$3:AM$103,19,FALSE)&lt;&gt;"",VLOOKUP(A38,Dividende_je_Aktie!A$3:AM$103,19,FALSE)/VLOOKUP(A38,Schlußkurse!A$5:AU$105,47,FALSE),""),"")</f>
        <v>2.5288211230940872E-2</v>
      </c>
      <c r="P38" s="5">
        <f t="shared" si="2"/>
        <v>3.8919027016559297E-2</v>
      </c>
      <c r="Q38" s="5">
        <f ca="1">VLOOKUP(A38,Dividende_je_Aktie!A$3:AM$103,24,FALSE)/VLOOKUP(A38,Schlußkurse!A$5:AU$105,35,FALSE)</f>
        <v>3.2766274586047119E-2</v>
      </c>
      <c r="R38" s="5">
        <f t="shared" ca="1" si="3"/>
        <v>-0.15809111640674622</v>
      </c>
    </row>
    <row r="39" spans="1:18" x14ac:dyDescent="0.25">
      <c r="A39" t="s">
        <v>68</v>
      </c>
      <c r="B39" t="s">
        <v>69</v>
      </c>
      <c r="C39" s="81">
        <f>IF(VLOOKUP(A39,Schlußkurse!A$5:AU$105,35,FALSE)&gt;0,IF(VLOOKUP(A39,Dividende_je_Aktie!A$3:AM$103,7,FALSE)&lt;&gt;"",VLOOKUP(A39,Dividende_je_Aktie!A$3:AM$103,7,FALSE)/VLOOKUP(A39,Schlußkurse!A$5:AU$105,35,FALSE),""),"")</f>
        <v>5.1009307385470805E-2</v>
      </c>
      <c r="D39" s="82">
        <f>IF(VLOOKUP(A39,Schlußkurse!A$5:AU$105,36,FALSE)&gt;0,IF(VLOOKUP(A39,Dividende_je_Aktie!A$3:AM$103,8,FALSE)&lt;&gt;"",VLOOKUP(A39,Dividende_je_Aktie!A$3:AM$103,8,FALSE)/VLOOKUP(A39,Schlußkurse!A$5:AU$105,36,FALSE),""),"")</f>
        <v>4.9075305209718353E-2</v>
      </c>
      <c r="E39" s="82">
        <f>IF(VLOOKUP(A39,Schlußkurse!A$5:AU$105,37,FALSE)&gt;0,IF(VLOOKUP(A39,Dividende_je_Aktie!A$3:AM$103,9,FALSE)&lt;&gt;"",VLOOKUP(A39,Dividende_je_Aktie!A$3:AM$103,9,FALSE)/VLOOKUP(A39,Schlußkurse!A$5:AU$105,37,FALSE),""),"")</f>
        <v>4.7636586863106199E-2</v>
      </c>
      <c r="F39" s="82">
        <f>IF(VLOOKUP(A39,Schlußkurse!A$5:AU$105,38,FALSE)&gt;0,IF(VLOOKUP(A39,Dividende_je_Aktie!A$3:AM$103,10,FALSE)&lt;&gt;"",VLOOKUP(A39,Dividende_je_Aktie!A$3:AM$103,10,FALSE)/VLOOKUP(A39,Schlußkurse!A$5:AU$105,38,FALSE),""),"")</f>
        <v>4.1088029381384145E-2</v>
      </c>
      <c r="G39" s="82">
        <f>IF(VLOOKUP(A39,Schlußkurse!A$5:AU$105,39,FALSE)&gt;0,IF(VLOOKUP(A39,Dividende_je_Aktie!A$3:AM$103,11,FALSE)&lt;&gt;"",VLOOKUP(A39,Dividende_je_Aktie!A$3:AM$103,11,FALSE)/VLOOKUP(A39,Schlußkurse!A$5:AU$105,39,FALSE),""),"")</f>
        <v>3.8737446197991396E-2</v>
      </c>
      <c r="H39" s="82">
        <f>IF(VLOOKUP(A39,Schlußkurse!A$5:AU$105,40,FALSE)&gt;0,IF(VLOOKUP(A39,Dividende_je_Aktie!A$3:AM$103,12,FALSE)&lt;&gt;"",VLOOKUP(A39,Dividende_je_Aktie!A$3:AM$103,12,FALSE)/VLOOKUP(A39,Schlußkurse!A$5:AU$105,40,FALSE),""),"")</f>
        <v>3.5932721712538224E-2</v>
      </c>
      <c r="I39" s="82">
        <f>IF(VLOOKUP(A39,Schlußkurse!A$5:AU$105,41,FALSE)&gt;0,IF(VLOOKUP(A39,Dividende_je_Aktie!A$3:AM$103,13,FALSE)&lt;&gt;"",VLOOKUP(A39,Dividende_je_Aktie!A$3:AM$103,13,FALSE)/VLOOKUP(A39,Schlußkurse!A$5:AU$105,41,FALSE),""),"")</f>
        <v>4.1688023235947377E-2</v>
      </c>
      <c r="J39" s="82">
        <f>IF(VLOOKUP(A39,Schlußkurse!A$5:AU$105,42,FALSE)&gt;0,IF(VLOOKUP(A39,Dividende_je_Aktie!A$3:AM$103,14,FALSE)&lt;&gt;"",VLOOKUP(A39,Dividende_je_Aktie!A$3:AM$103,14,FALSE)/VLOOKUP(A39,Schlußkurse!A$5:AU$105,42,FALSE),""),"")</f>
        <v>4.6482672753683341E-2</v>
      </c>
      <c r="K39" s="82">
        <f>IF(VLOOKUP(A39,Schlußkurse!A$5:AU$105,43,FALSE)&gt;0,IF(VLOOKUP(A39,Dividende_je_Aktie!A$3:AM$103,15,FALSE)&lt;&gt;"",VLOOKUP(A39,Dividende_je_Aktie!A$3:AM$103,15,FALSE)/VLOOKUP(A39,Schlußkurse!A$5:AU$105,43,FALSE),""),"")</f>
        <v>3.5394162261549074E-2</v>
      </c>
      <c r="L39" s="82" t="str">
        <f>IF(VLOOKUP(A39,Schlußkurse!A$5:AU$105,44,FALSE)&gt;0,IF(VLOOKUP(A39,Dividende_je_Aktie!A$3:AM$103,16,FALSE)&lt;&gt;"",VLOOKUP(A39,Dividende_je_Aktie!A$3:AM$103,16,FALSE)/VLOOKUP(A39,Schlußkurse!A$5:AU$105,44,FALSE),""),"")</f>
        <v/>
      </c>
      <c r="M39" s="82" t="str">
        <f>IF(VLOOKUP(A39,Schlußkurse!A$5:AU$105,45,FALSE)&gt;0,IF(VLOOKUP(A39,Dividende_je_Aktie!A$3:AM$103,17,FALSE)&lt;&gt;"",VLOOKUP(A39,Dividende_je_Aktie!A$3:AM$103,17,FALSE)/VLOOKUP(A39,Schlußkurse!A$5:AU$105,45,FALSE),""),"")</f>
        <v/>
      </c>
      <c r="N39" s="82" t="str">
        <f>IF(VLOOKUP(A39,Schlußkurse!A$5:AU$105,46,FALSE)&gt;0,IF(VLOOKUP(A39,Dividende_je_Aktie!A$3:AM$103,18,FALSE)&lt;&gt;"",VLOOKUP(A39,Dividende_je_Aktie!A$3:AM$103,18,FALSE)/VLOOKUP(A39,Schlußkurse!A$5:AU$105,46,FALSE),""),"")</f>
        <v/>
      </c>
      <c r="O39" s="83" t="str">
        <f>IF(VLOOKUP(A39,Schlußkurse!A$5:AU$105,47,FALSE)&gt;0,IF(VLOOKUP(A39,Dividende_je_Aktie!A$3:AM$103,19,FALSE)&lt;&gt;"",VLOOKUP(A39,Dividende_je_Aktie!A$3:AM$103,19,FALSE)/VLOOKUP(A39,Schlußkurse!A$5:AU$105,47,FALSE),""),"")</f>
        <v/>
      </c>
      <c r="P39" s="5">
        <f t="shared" si="2"/>
        <v>4.3004917222376551E-2</v>
      </c>
      <c r="Q39" s="5">
        <f ca="1">VLOOKUP(A39,Dividende_je_Aktie!A$3:AM$103,24,FALSE)/VLOOKUP(A39,Schlußkurse!A$5:AU$105,35,FALSE)</f>
        <v>4.9730717058167791E-2</v>
      </c>
      <c r="R39" s="5">
        <f t="shared" ca="1" si="3"/>
        <v>0.15639606515255977</v>
      </c>
    </row>
    <row r="40" spans="1:18" x14ac:dyDescent="0.25">
      <c r="A40" t="s">
        <v>70</v>
      </c>
      <c r="B40" t="s">
        <v>71</v>
      </c>
      <c r="C40" s="81">
        <f>IF(VLOOKUP(A40,Schlußkurse!A$5:AU$105,35,FALSE)&gt;0,IF(VLOOKUP(A40,Dividende_je_Aktie!A$3:AM$103,7,FALSE)&lt;&gt;"",VLOOKUP(A40,Dividende_je_Aktie!A$3:AM$103,7,FALSE)/VLOOKUP(A40,Schlußkurse!A$5:AU$105,35,FALSE),""),"")</f>
        <v>3.4439574201628055E-2</v>
      </c>
      <c r="D40" s="82">
        <f>IF(VLOOKUP(A40,Schlußkurse!A$5:AU$105,36,FALSE)&gt;0,IF(VLOOKUP(A40,Dividende_je_Aktie!A$3:AM$103,8,FALSE)&lt;&gt;"",VLOOKUP(A40,Dividende_je_Aktie!A$3:AM$103,8,FALSE)/VLOOKUP(A40,Schlußkurse!A$5:AU$105,36,FALSE),""),"")</f>
        <v>3.2310582341891048E-2</v>
      </c>
      <c r="E40" s="82">
        <f>IF(VLOOKUP(A40,Schlußkurse!A$5:AU$105,37,FALSE)&gt;0,IF(VLOOKUP(A40,Dividende_je_Aktie!A$3:AM$103,9,FALSE)&lt;&gt;"",VLOOKUP(A40,Dividende_je_Aktie!A$3:AM$103,9,FALSE)/VLOOKUP(A40,Schlußkurse!A$5:AU$105,37,FALSE),""),"")</f>
        <v>3.1174449675531238E-2</v>
      </c>
      <c r="F40" s="82">
        <f>IF(VLOOKUP(A40,Schlußkurse!A$5:AU$105,38,FALSE)&gt;0,IF(VLOOKUP(A40,Dividende_je_Aktie!A$3:AM$103,10,FALSE)&lt;&gt;"",VLOOKUP(A40,Dividende_je_Aktie!A$3:AM$103,10,FALSE)/VLOOKUP(A40,Schlußkurse!A$5:AU$105,38,FALSE),""),"")</f>
        <v>2.9744122613326408E-2</v>
      </c>
      <c r="G40" s="82">
        <f>IF(VLOOKUP(A40,Schlußkurse!A$5:AU$105,39,FALSE)&gt;0,IF(VLOOKUP(A40,Dividende_je_Aktie!A$3:AM$103,11,FALSE)&lt;&gt;"",VLOOKUP(A40,Dividende_je_Aktie!A$3:AM$103,11,FALSE)/VLOOKUP(A40,Schlußkurse!A$5:AU$105,39,FALSE),""),"")</f>
        <v>3.4938775510204086E-2</v>
      </c>
      <c r="H40" s="82">
        <f>IF(VLOOKUP(A40,Schlußkurse!A$5:AU$105,40,FALSE)&gt;0,IF(VLOOKUP(A40,Dividende_je_Aktie!A$3:AM$103,12,FALSE)&lt;&gt;"",VLOOKUP(A40,Dividende_je_Aktie!A$3:AM$103,12,FALSE)/VLOOKUP(A40,Schlußkurse!A$5:AU$105,40,FALSE),""),"")</f>
        <v>3.0989460437313196E-2</v>
      </c>
      <c r="I40" s="82">
        <f>IF(VLOOKUP(A40,Schlußkurse!A$5:AU$105,41,FALSE)&gt;0,IF(VLOOKUP(A40,Dividende_je_Aktie!A$3:AM$103,13,FALSE)&lt;&gt;"",VLOOKUP(A40,Dividende_je_Aktie!A$3:AM$103,13,FALSE)/VLOOKUP(A40,Schlußkurse!A$5:AU$105,41,FALSE),""),"")</f>
        <v>3.0010003334444816E-2</v>
      </c>
      <c r="J40" s="82">
        <f>IF(VLOOKUP(A40,Schlußkurse!A$5:AU$105,42,FALSE)&gt;0,IF(VLOOKUP(A40,Dividende_je_Aktie!A$3:AM$103,14,FALSE)&lt;&gt;"",VLOOKUP(A40,Dividende_je_Aktie!A$3:AM$103,14,FALSE)/VLOOKUP(A40,Schlußkurse!A$5:AU$105,42,FALSE),""),"")</f>
        <v>3.2093933463796472E-2</v>
      </c>
      <c r="K40" s="82">
        <f>IF(VLOOKUP(A40,Schlußkurse!A$5:AU$105,43,FALSE)&gt;0,IF(VLOOKUP(A40,Dividende_je_Aktie!A$3:AM$103,15,FALSE)&lt;&gt;"",VLOOKUP(A40,Dividende_je_Aktie!A$3:AM$103,15,FALSE)/VLOOKUP(A40,Schlußkurse!A$5:AU$105,43,FALSE),""),"")</f>
        <v>2.3844762374609439E-2</v>
      </c>
      <c r="L40" s="82">
        <f>IF(VLOOKUP(A40,Schlußkurse!A$5:AU$105,44,FALSE)&gt;0,IF(VLOOKUP(A40,Dividende_je_Aktie!A$3:AM$103,16,FALSE)&lt;&gt;"",VLOOKUP(A40,Dividende_je_Aktie!A$3:AM$103,16,FALSE)/VLOOKUP(A40,Schlußkurse!A$5:AU$105,44,FALSE),""),"")</f>
        <v>2.0918450727243014E-2</v>
      </c>
      <c r="M40" s="82">
        <f>IF(VLOOKUP(A40,Schlußkurse!A$5:AU$105,45,FALSE)&gt;0,IF(VLOOKUP(A40,Dividende_je_Aktie!A$3:AM$103,17,FALSE)&lt;&gt;"",VLOOKUP(A40,Dividende_je_Aktie!A$3:AM$103,17,FALSE)/VLOOKUP(A40,Schlußkurse!A$5:AU$105,45,FALSE),""),"")</f>
        <v>2.0300088261253308E-2</v>
      </c>
      <c r="N40" s="82">
        <f>IF(VLOOKUP(A40,Schlußkurse!A$5:AU$105,46,FALSE)&gt;0,IF(VLOOKUP(A40,Dividende_je_Aktie!A$3:AM$103,18,FALSE)&lt;&gt;"",VLOOKUP(A40,Dividende_je_Aktie!A$3:AM$103,18,FALSE)/VLOOKUP(A40,Schlußkurse!A$5:AU$105,46,FALSE),""),"")</f>
        <v>1.9526066350710899E-2</v>
      </c>
      <c r="O40" s="83">
        <f>IF(VLOOKUP(A40,Schlußkurse!A$5:AU$105,47,FALSE)&gt;0,IF(VLOOKUP(A40,Dividende_je_Aktie!A$3:AM$103,19,FALSE)&lt;&gt;"",VLOOKUP(A40,Dividende_je_Aktie!A$3:AM$103,19,FALSE)/VLOOKUP(A40,Schlußkurse!A$5:AU$105,47,FALSE),""),"")</f>
        <v>1.7083027185892729E-2</v>
      </c>
      <c r="P40" s="5">
        <f t="shared" si="2"/>
        <v>2.749025357521882E-2</v>
      </c>
      <c r="Q40" s="5">
        <f ca="1">VLOOKUP(A40,Dividende_je_Aktie!A$3:AM$103,24,FALSE)/VLOOKUP(A40,Schlußkurse!A$5:AU$105,35,FALSE)</f>
        <v>3.4102483823836363E-2</v>
      </c>
      <c r="R40" s="5">
        <f t="shared" ca="1" si="3"/>
        <v>0.24052998385501101</v>
      </c>
    </row>
    <row r="41" spans="1:18" x14ac:dyDescent="0.25">
      <c r="A41" t="s">
        <v>72</v>
      </c>
      <c r="B41" t="s">
        <v>73</v>
      </c>
      <c r="C41" s="81">
        <f>IF(VLOOKUP(A41,Schlußkurse!A$5:AU$105,35,FALSE)&gt;0,IF(VLOOKUP(A41,Dividende_je_Aktie!A$3:AM$103,7,FALSE)&lt;&gt;"",VLOOKUP(A41,Dividende_je_Aktie!A$3:AM$103,7,FALSE)/VLOOKUP(A41,Schlußkurse!A$5:AU$105,35,FALSE),""),"")</f>
        <v>4.4977214186645534E-2</v>
      </c>
      <c r="D41" s="82">
        <f>IF(VLOOKUP(A41,Schlußkurse!A$5:AU$105,36,FALSE)&gt;0,IF(VLOOKUP(A41,Dividende_je_Aktie!A$3:AM$103,8,FALSE)&lt;&gt;"",VLOOKUP(A41,Dividende_je_Aktie!A$3:AM$103,8,FALSE)/VLOOKUP(A41,Schlußkurse!A$5:AU$105,36,FALSE),""),"")</f>
        <v>4.3986526649494755E-2</v>
      </c>
      <c r="E41" s="82">
        <f>IF(VLOOKUP(A41,Schlußkurse!A$5:AU$105,37,FALSE)&gt;0,IF(VLOOKUP(A41,Dividende_je_Aktie!A$3:AM$103,9,FALSE)&lt;&gt;"",VLOOKUP(A41,Dividende_je_Aktie!A$3:AM$103,9,FALSE)/VLOOKUP(A41,Schlußkurse!A$5:AU$105,37,FALSE),""),"")</f>
        <v>4.6173578452330055E-2</v>
      </c>
      <c r="F41" s="82">
        <f>IF(VLOOKUP(A41,Schlußkurse!A$5:AU$105,38,FALSE)&gt;0,IF(VLOOKUP(A41,Dividende_je_Aktie!A$3:AM$103,10,FALSE)&lt;&gt;"",VLOOKUP(A41,Dividende_je_Aktie!A$3:AM$103,10,FALSE)/VLOOKUP(A41,Schlußkurse!A$5:AU$105,38,FALSE),""),"")</f>
        <v>4.2531542531542531E-2</v>
      </c>
      <c r="G41" s="82">
        <f>IF(VLOOKUP(A41,Schlußkurse!A$5:AU$105,39,FALSE)&gt;0,IF(VLOOKUP(A41,Dividende_je_Aktie!A$3:AM$103,11,FALSE)&lt;&gt;"",VLOOKUP(A41,Dividende_je_Aktie!A$3:AM$103,11,FALSE)/VLOOKUP(A41,Schlußkurse!A$5:AU$105,39,FALSE),""),"")</f>
        <v>4.6914721516061929E-2</v>
      </c>
      <c r="H41" s="82">
        <f>IF(VLOOKUP(A41,Schlußkurse!A$5:AU$105,40,FALSE)&gt;0,IF(VLOOKUP(A41,Dividende_je_Aktie!A$3:AM$103,12,FALSE)&lt;&gt;"",VLOOKUP(A41,Dividende_je_Aktie!A$3:AM$103,12,FALSE)/VLOOKUP(A41,Schlußkurse!A$5:AU$105,40,FALSE),""),"")</f>
        <v>4.9351944167497511E-2</v>
      </c>
      <c r="I41" s="82">
        <f>IF(VLOOKUP(A41,Schlußkurse!A$5:AU$105,41,FALSE)&gt;0,IF(VLOOKUP(A41,Dividende_je_Aktie!A$3:AM$103,13,FALSE)&lt;&gt;"",VLOOKUP(A41,Dividende_je_Aktie!A$3:AM$103,13,FALSE)/VLOOKUP(A41,Schlußkurse!A$5:AU$105,41,FALSE),""),"")</f>
        <v>5.3940749021799884E-2</v>
      </c>
      <c r="J41" s="82">
        <f>IF(VLOOKUP(A41,Schlußkurse!A$5:AU$105,42,FALSE)&gt;0,IF(VLOOKUP(A41,Dividende_je_Aktie!A$3:AM$103,14,FALSE)&lt;&gt;"",VLOOKUP(A41,Dividende_je_Aktie!A$3:AM$103,14,FALSE)/VLOOKUP(A41,Schlußkurse!A$5:AU$105,42,FALSE),""),"")</f>
        <v>5.6444310292785994E-2</v>
      </c>
      <c r="K41" s="82">
        <f>IF(VLOOKUP(A41,Schlußkurse!A$5:AU$105,43,FALSE)&gt;0,IF(VLOOKUP(A41,Dividende_je_Aktie!A$3:AM$103,15,FALSE)&lt;&gt;"",VLOOKUP(A41,Dividende_je_Aktie!A$3:AM$103,15,FALSE)/VLOOKUP(A41,Schlußkurse!A$5:AU$105,43,FALSE),""),"")</f>
        <v>5.2507374631268443E-2</v>
      </c>
      <c r="L41" s="82">
        <f>IF(VLOOKUP(A41,Schlußkurse!A$5:AU$105,44,FALSE)&gt;0,IF(VLOOKUP(A41,Dividende_je_Aktie!A$3:AM$103,16,FALSE)&lt;&gt;"",VLOOKUP(A41,Dividende_je_Aktie!A$3:AM$103,16,FALSE)/VLOOKUP(A41,Schlußkurse!A$5:AU$105,44,FALSE),""),"")</f>
        <v>3.8223849851224539E-2</v>
      </c>
      <c r="M41" s="82">
        <f>IF(VLOOKUP(A41,Schlußkurse!A$5:AU$105,45,FALSE)&gt;0,IF(VLOOKUP(A41,Dividende_je_Aktie!A$3:AM$103,17,FALSE)&lt;&gt;"",VLOOKUP(A41,Dividende_je_Aktie!A$3:AM$103,17,FALSE)/VLOOKUP(A41,Schlußkurse!A$5:AU$105,45,FALSE),""),"")</f>
        <v>4.3431635388739953E-2</v>
      </c>
      <c r="N41" s="82">
        <f>IF(VLOOKUP(A41,Schlußkurse!A$5:AU$105,46,FALSE)&gt;0,IF(VLOOKUP(A41,Dividende_je_Aktie!A$3:AM$103,18,FALSE)&lt;&gt;"",VLOOKUP(A41,Dividende_je_Aktie!A$3:AM$103,18,FALSE)/VLOOKUP(A41,Schlußkurse!A$5:AU$105,46,FALSE),""),"")</f>
        <v>5.3784860557768925E-2</v>
      </c>
      <c r="O41" s="83">
        <f>IF(VLOOKUP(A41,Schlußkurse!A$5:AU$105,47,FALSE)&gt;0,IF(VLOOKUP(A41,Dividende_je_Aktie!A$3:AM$103,19,FALSE)&lt;&gt;"",VLOOKUP(A41,Dividende_je_Aktie!A$3:AM$103,19,FALSE)/VLOOKUP(A41,Schlußkurse!A$5:AU$105,47,FALSE),""),"")</f>
        <v>3.8015304862996792E-2</v>
      </c>
      <c r="P41" s="5">
        <f t="shared" si="2"/>
        <v>4.6944893239242828E-2</v>
      </c>
      <c r="Q41" s="5">
        <f ca="1">VLOOKUP(A41,Dividende_je_Aktie!A$3:AM$103,24,FALSE)/VLOOKUP(A41,Schlußkurse!A$5:AU$105,35,FALSE)</f>
        <v>4.4322259648195854E-2</v>
      </c>
      <c r="R41" s="5">
        <f t="shared" ca="1" si="3"/>
        <v>-5.5866216963821436E-2</v>
      </c>
    </row>
    <row r="42" spans="1:18" x14ac:dyDescent="0.25">
      <c r="A42" t="s">
        <v>74</v>
      </c>
      <c r="B42" t="s">
        <v>75</v>
      </c>
      <c r="C42" s="81">
        <f>IF(VLOOKUP(A42,Schlußkurse!A$5:AU$105,35,FALSE)&gt;0,IF(VLOOKUP(A42,Dividende_je_Aktie!A$3:AM$103,7,FALSE)&lt;&gt;"",VLOOKUP(A42,Dividende_je_Aktie!A$3:AM$103,7,FALSE)/VLOOKUP(A42,Schlußkurse!A$5:AU$105,35,FALSE),""),"")</f>
        <v>2.5295326142783771E-2</v>
      </c>
      <c r="D42" s="82">
        <f>IF(VLOOKUP(A42,Schlußkurse!A$5:AU$105,36,FALSE)&gt;0,IF(VLOOKUP(A42,Dividende_je_Aktie!A$3:AM$103,8,FALSE)&lt;&gt;"",VLOOKUP(A42,Dividende_je_Aktie!A$3:AM$103,8,FALSE)/VLOOKUP(A42,Schlußkurse!A$5:AU$105,36,FALSE),""),"")</f>
        <v>2.2593551423864437E-2</v>
      </c>
      <c r="E42" s="82">
        <f>IF(VLOOKUP(A42,Schlußkurse!A$5:AU$105,37,FALSE)&gt;0,IF(VLOOKUP(A42,Dividende_je_Aktie!A$3:AM$103,9,FALSE)&lt;&gt;"",VLOOKUP(A42,Dividende_je_Aktie!A$3:AM$103,9,FALSE)/VLOOKUP(A42,Schlußkurse!A$5:AU$105,37,FALSE),""),"")</f>
        <v>2.5174076057846811E-2</v>
      </c>
      <c r="F42" s="82">
        <f>IF(VLOOKUP(A42,Schlußkurse!A$5:AU$105,38,FALSE)&gt;0,IF(VLOOKUP(A42,Dividende_je_Aktie!A$3:AM$103,10,FALSE)&lt;&gt;"",VLOOKUP(A42,Dividende_je_Aktie!A$3:AM$103,10,FALSE)/VLOOKUP(A42,Schlußkurse!A$5:AU$105,38,FALSE),""),"")</f>
        <v>2.2730521801286634E-2</v>
      </c>
      <c r="G42" s="82">
        <f>IF(VLOOKUP(A42,Schlußkurse!A$5:AU$105,39,FALSE)&gt;0,IF(VLOOKUP(A42,Dividende_je_Aktie!A$3:AM$103,11,FALSE)&lt;&gt;"",VLOOKUP(A42,Dividende_je_Aktie!A$3:AM$103,11,FALSE)/VLOOKUP(A42,Schlußkurse!A$5:AU$105,39,FALSE),""),"")</f>
        <v>2.3794002607561929E-2</v>
      </c>
      <c r="H42" s="82">
        <f>IF(VLOOKUP(A42,Schlußkurse!A$5:AU$105,40,FALSE)&gt;0,IF(VLOOKUP(A42,Dividende_je_Aktie!A$3:AM$103,12,FALSE)&lt;&gt;"",VLOOKUP(A42,Dividende_je_Aktie!A$3:AM$103,12,FALSE)/VLOOKUP(A42,Schlußkurse!A$5:AU$105,40,FALSE),""),"")</f>
        <v>2.1580167647583377E-2</v>
      </c>
      <c r="I42" s="82">
        <f>IF(VLOOKUP(A42,Schlußkurse!A$5:AU$105,41,FALSE)&gt;0,IF(VLOOKUP(A42,Dividende_je_Aktie!A$3:AM$103,13,FALSE)&lt;&gt;"",VLOOKUP(A42,Dividende_je_Aktie!A$3:AM$103,13,FALSE)/VLOOKUP(A42,Schlußkurse!A$5:AU$105,41,FALSE),""),"")</f>
        <v>2.0400524050159088E-2</v>
      </c>
      <c r="J42" s="82">
        <f>IF(VLOOKUP(A42,Schlußkurse!A$5:AU$105,42,FALSE)&gt;0,IF(VLOOKUP(A42,Dividende_je_Aktie!A$3:AM$103,14,FALSE)&lt;&gt;"",VLOOKUP(A42,Dividende_je_Aktie!A$3:AM$103,14,FALSE)/VLOOKUP(A42,Schlußkurse!A$5:AU$105,42,FALSE),""),"")</f>
        <v>2.0161290322580645E-2</v>
      </c>
      <c r="K42" s="82">
        <f>IF(VLOOKUP(A42,Schlußkurse!A$5:AU$105,43,FALSE)&gt;0,IF(VLOOKUP(A42,Dividende_je_Aktie!A$3:AM$103,15,FALSE)&lt;&gt;"",VLOOKUP(A42,Dividende_je_Aktie!A$3:AM$103,15,FALSE)/VLOOKUP(A42,Schlußkurse!A$5:AU$105,43,FALSE),""),"")</f>
        <v>1.7333070711049833E-2</v>
      </c>
      <c r="L42" s="82">
        <f>IF(VLOOKUP(A42,Schlußkurse!A$5:AU$105,44,FALSE)&gt;0,IF(VLOOKUP(A42,Dividende_je_Aktie!A$3:AM$103,16,FALSE)&lt;&gt;"",VLOOKUP(A42,Dividende_je_Aktie!A$3:AM$103,16,FALSE)/VLOOKUP(A42,Schlußkurse!A$5:AU$105,44,FALSE),""),"")</f>
        <v>1.4054961191525068E-2</v>
      </c>
      <c r="M42" s="82">
        <f>IF(VLOOKUP(A42,Schlußkurse!A$5:AU$105,45,FALSE)&gt;0,IF(VLOOKUP(A42,Dividende_je_Aktie!A$3:AM$103,17,FALSE)&lt;&gt;"",VLOOKUP(A42,Dividende_je_Aktie!A$3:AM$103,17,FALSE)/VLOOKUP(A42,Schlußkurse!A$5:AU$105,45,FALSE),""),"")</f>
        <v>1.3012361743656473E-2</v>
      </c>
      <c r="N42" s="82">
        <f>IF(VLOOKUP(A42,Schlußkurse!A$5:AU$105,46,FALSE)&gt;0,IF(VLOOKUP(A42,Dividende_je_Aktie!A$3:AM$103,18,FALSE)&lt;&gt;"",VLOOKUP(A42,Dividende_je_Aktie!A$3:AM$103,18,FALSE)/VLOOKUP(A42,Schlußkurse!A$5:AU$105,46,FALSE),""),"")</f>
        <v>9.9236641221374048E-3</v>
      </c>
      <c r="O42" s="83">
        <f>IF(VLOOKUP(A42,Schlußkurse!A$5:AU$105,47,FALSE)&gt;0,IF(VLOOKUP(A42,Dividende_je_Aktie!A$3:AM$103,19,FALSE)&lt;&gt;"",VLOOKUP(A42,Dividende_je_Aktie!A$3:AM$103,19,FALSE)/VLOOKUP(A42,Schlußkurse!A$5:AU$105,47,FALSE),""),"")</f>
        <v>6.6852367688022283E-3</v>
      </c>
      <c r="P42" s="5">
        <f t="shared" si="2"/>
        <v>1.8672211891602904E-2</v>
      </c>
      <c r="Q42" s="5">
        <f ca="1">VLOOKUP(A42,Dividende_je_Aktie!A$3:AM$103,24,FALSE)/VLOOKUP(A42,Schlußkurse!A$5:AU$105,35,FALSE)</f>
        <v>2.5525024253837816E-2</v>
      </c>
      <c r="R42" s="5">
        <f t="shared" ca="1" si="3"/>
        <v>0.36700592313418934</v>
      </c>
    </row>
    <row r="43" spans="1:18" x14ac:dyDescent="0.25">
      <c r="A43" t="s">
        <v>76</v>
      </c>
      <c r="B43" t="s">
        <v>77</v>
      </c>
      <c r="C43" s="81">
        <f>IF(VLOOKUP(A43,Schlußkurse!A$5:AU$105,35,FALSE)&gt;0,IF(VLOOKUP(A43,Dividende_je_Aktie!A$3:AM$103,7,FALSE)&lt;&gt;"",VLOOKUP(A43,Dividende_je_Aktie!A$3:AM$103,7,FALSE)/VLOOKUP(A43,Schlußkurse!A$5:AU$105,35,FALSE),""),"")</f>
        <v>3.1293197858843234E-2</v>
      </c>
      <c r="D43" s="82">
        <f>IF(VLOOKUP(A43,Schlußkurse!A$5:AU$105,36,FALSE)&gt;0,IF(VLOOKUP(A43,Dividende_je_Aktie!A$3:AM$103,8,FALSE)&lt;&gt;"",VLOOKUP(A43,Dividende_je_Aktie!A$3:AM$103,8,FALSE)/VLOOKUP(A43,Schlußkurse!A$5:AU$105,36,FALSE),""),"")</f>
        <v>2.8892396964910822E-2</v>
      </c>
      <c r="E43" s="82">
        <f>IF(VLOOKUP(A43,Schlußkurse!A$5:AU$105,37,FALSE)&gt;0,IF(VLOOKUP(A43,Dividende_je_Aktie!A$3:AM$103,9,FALSE)&lt;&gt;"",VLOOKUP(A43,Dividende_je_Aktie!A$3:AM$103,9,FALSE)/VLOOKUP(A43,Schlußkurse!A$5:AU$105,37,FALSE),""),"")</f>
        <v>2.6415287054924425E-2</v>
      </c>
      <c r="F43" s="82">
        <f>IF(VLOOKUP(A43,Schlußkurse!A$5:AU$105,38,FALSE)&gt;0,IF(VLOOKUP(A43,Dividende_je_Aktie!A$3:AM$103,10,FALSE)&lt;&gt;"",VLOOKUP(A43,Dividende_je_Aktie!A$3:AM$103,10,FALSE)/VLOOKUP(A43,Schlußkurse!A$5:AU$105,38,FALSE),""),"")</f>
        <v>1.925668193242475E-2</v>
      </c>
      <c r="G43" s="82">
        <f>IF(VLOOKUP(A43,Schlußkurse!A$5:AU$105,39,FALSE)&gt;0,IF(VLOOKUP(A43,Dividende_je_Aktie!A$3:AM$103,11,FALSE)&lt;&gt;"",VLOOKUP(A43,Dividende_je_Aktie!A$3:AM$103,11,FALSE)/VLOOKUP(A43,Schlußkurse!A$5:AU$105,39,FALSE),""),"")</f>
        <v>2.5727348482934408E-2</v>
      </c>
      <c r="H43" s="82">
        <f>IF(VLOOKUP(A43,Schlußkurse!A$5:AU$105,40,FALSE)&gt;0,IF(VLOOKUP(A43,Dividende_je_Aktie!A$3:AM$103,12,FALSE)&lt;&gt;"",VLOOKUP(A43,Dividende_je_Aktie!A$3:AM$103,12,FALSE)/VLOOKUP(A43,Schlußkurse!A$5:AU$105,40,FALSE),""),"")</f>
        <v>2.5276627616478513E-2</v>
      </c>
      <c r="I43" s="82">
        <f>IF(VLOOKUP(A43,Schlußkurse!A$5:AU$105,41,FALSE)&gt;0,IF(VLOOKUP(A43,Dividende_je_Aktie!A$3:AM$103,13,FALSE)&lt;&gt;"",VLOOKUP(A43,Dividende_je_Aktie!A$3:AM$103,13,FALSE)/VLOOKUP(A43,Schlußkurse!A$5:AU$105,41,FALSE),""),"")</f>
        <v>1.8667861409796899E-2</v>
      </c>
      <c r="J43" s="82">
        <f>IF(VLOOKUP(A43,Schlußkurse!A$5:AU$105,42,FALSE)&gt;0,IF(VLOOKUP(A43,Dividende_je_Aktie!A$3:AM$103,14,FALSE)&lt;&gt;"",VLOOKUP(A43,Dividende_je_Aktie!A$3:AM$103,14,FALSE)/VLOOKUP(A43,Schlußkurse!A$5:AU$105,42,FALSE),""),"")</f>
        <v>1.0542741683679299E-2</v>
      </c>
      <c r="K43" s="82">
        <f>IF(VLOOKUP(A43,Schlußkurse!A$5:AU$105,43,FALSE)&gt;0,IF(VLOOKUP(A43,Dividende_je_Aktie!A$3:AM$103,15,FALSE)&lt;&gt;"",VLOOKUP(A43,Dividende_je_Aktie!A$3:AM$103,15,FALSE)/VLOOKUP(A43,Schlußkurse!A$5:AU$105,43,FALSE),""),"")</f>
        <v>1.4885953605671432E-2</v>
      </c>
      <c r="L43" s="82" t="str">
        <f>IF(VLOOKUP(A43,Schlußkurse!A$5:AU$105,44,FALSE)&gt;0,IF(VLOOKUP(A43,Dividende_je_Aktie!A$3:AM$103,16,FALSE)&lt;&gt;"",VLOOKUP(A43,Dividende_je_Aktie!A$3:AM$103,16,FALSE)/VLOOKUP(A43,Schlußkurse!A$5:AU$105,44,FALSE),""),"")</f>
        <v/>
      </c>
      <c r="M43" s="82" t="str">
        <f>IF(VLOOKUP(A43,Schlußkurse!A$5:AU$105,45,FALSE)&gt;0,IF(VLOOKUP(A43,Dividende_je_Aktie!A$3:AM$103,17,FALSE)&lt;&gt;"",VLOOKUP(A43,Dividende_je_Aktie!A$3:AM$103,17,FALSE)/VLOOKUP(A43,Schlußkurse!A$5:AU$105,45,FALSE),""),"")</f>
        <v/>
      </c>
      <c r="N43" s="82" t="str">
        <f>IF(VLOOKUP(A43,Schlußkurse!A$5:AU$105,46,FALSE)&gt;0,IF(VLOOKUP(A43,Dividende_je_Aktie!A$3:AM$103,18,FALSE)&lt;&gt;"",VLOOKUP(A43,Dividende_je_Aktie!A$3:AM$103,18,FALSE)/VLOOKUP(A43,Schlußkurse!A$5:AU$105,46,FALSE),""),"")</f>
        <v/>
      </c>
      <c r="O43" s="83" t="str">
        <f>IF(VLOOKUP(A43,Schlußkurse!A$5:AU$105,47,FALSE)&gt;0,IF(VLOOKUP(A43,Dividende_je_Aktie!A$3:AM$103,19,FALSE)&lt;&gt;"",VLOOKUP(A43,Dividende_je_Aktie!A$3:AM$103,19,FALSE)/VLOOKUP(A43,Schlußkurse!A$5:AU$105,47,FALSE),""),"")</f>
        <v/>
      </c>
      <c r="P43" s="5">
        <f t="shared" si="2"/>
        <v>2.2328677401073752E-2</v>
      </c>
      <c r="Q43" s="5">
        <f ca="1">VLOOKUP(A43,Dividende_je_Aktie!A$3:AM$103,24,FALSE)/VLOOKUP(A43,Schlußkurse!A$5:AU$105,35,FALSE)</f>
        <v>2.9706001712299031E-2</v>
      </c>
      <c r="R43" s="5">
        <f t="shared" ca="1" si="3"/>
        <v>0.33039683357467986</v>
      </c>
    </row>
    <row r="44" spans="1:18" x14ac:dyDescent="0.25">
      <c r="A44" t="s">
        <v>78</v>
      </c>
      <c r="B44" t="s">
        <v>79</v>
      </c>
      <c r="C44" s="81">
        <f>IF(VLOOKUP(A44,Schlußkurse!A$5:AU$105,35,FALSE)&gt;0,IF(VLOOKUP(A44,Dividende_je_Aktie!A$3:AM$103,7,FALSE)&lt;&gt;"",VLOOKUP(A44,Dividende_je_Aktie!A$3:AM$103,7,FALSE)/VLOOKUP(A44,Schlußkurse!A$5:AU$105,35,FALSE),""),"")</f>
        <v>1.5171481669200879E-2</v>
      </c>
      <c r="D44" s="82">
        <f>IF(VLOOKUP(A44,Schlußkurse!A$5:AU$105,36,FALSE)&gt;0,IF(VLOOKUP(A44,Dividende_je_Aktie!A$3:AM$103,8,FALSE)&lt;&gt;"",VLOOKUP(A44,Dividende_je_Aktie!A$3:AM$103,8,FALSE)/VLOOKUP(A44,Schlußkurse!A$5:AU$105,36,FALSE),""),"")</f>
        <v>1.3515796587261361E-2</v>
      </c>
      <c r="E44" s="82">
        <f>IF(VLOOKUP(A44,Schlußkurse!A$5:AU$105,37,FALSE)&gt;0,IF(VLOOKUP(A44,Dividende_je_Aktie!A$3:AM$103,9,FALSE)&lt;&gt;"",VLOOKUP(A44,Dividende_je_Aktie!A$3:AM$103,9,FALSE)/VLOOKUP(A44,Schlußkurse!A$5:AU$105,37,FALSE),""),"")</f>
        <v>1.2683694891532541E-2</v>
      </c>
      <c r="F44" s="82">
        <f>IF(VLOOKUP(A44,Schlußkurse!A$5:AU$105,38,FALSE)&gt;0,IF(VLOOKUP(A44,Dividende_je_Aktie!A$3:AM$103,10,FALSE)&lt;&gt;"",VLOOKUP(A44,Dividende_je_Aktie!A$3:AM$103,10,FALSE)/VLOOKUP(A44,Schlußkurse!A$5:AU$105,38,FALSE),""),"")</f>
        <v>1.3513513513513514E-2</v>
      </c>
      <c r="G44" s="82">
        <f>IF(VLOOKUP(A44,Schlußkurse!A$5:AU$105,39,FALSE)&gt;0,IF(VLOOKUP(A44,Dividende_je_Aktie!A$3:AM$103,11,FALSE)&lt;&gt;"",VLOOKUP(A44,Dividende_je_Aktie!A$3:AM$103,11,FALSE)/VLOOKUP(A44,Schlußkurse!A$5:AU$105,39,FALSE),""),"")</f>
        <v>1.6659423439084456E-2</v>
      </c>
      <c r="H44" s="82">
        <f>IF(VLOOKUP(A44,Schlußkurse!A$5:AU$105,40,FALSE)&gt;0,IF(VLOOKUP(A44,Dividende_je_Aktie!A$3:AM$103,12,FALSE)&lt;&gt;"",VLOOKUP(A44,Dividende_je_Aktie!A$3:AM$103,12,FALSE)/VLOOKUP(A44,Schlußkurse!A$5:AU$105,40,FALSE),""),"")</f>
        <v>1.5928639694170119E-2</v>
      </c>
      <c r="I44" s="82">
        <f>IF(VLOOKUP(A44,Schlußkurse!A$5:AU$105,41,FALSE)&gt;0,IF(VLOOKUP(A44,Dividende_je_Aktie!A$3:AM$103,13,FALSE)&lt;&gt;"",VLOOKUP(A44,Dividende_je_Aktie!A$3:AM$103,13,FALSE)/VLOOKUP(A44,Schlußkurse!A$5:AU$105,41,FALSE),""),"")</f>
        <v>1.4950166112956811E-2</v>
      </c>
      <c r="J44" s="82">
        <f>IF(VLOOKUP(A44,Schlußkurse!A$5:AU$105,42,FALSE)&gt;0,IF(VLOOKUP(A44,Dividende_je_Aktie!A$3:AM$103,14,FALSE)&lt;&gt;"",VLOOKUP(A44,Dividende_je_Aktie!A$3:AM$103,14,FALSE)/VLOOKUP(A44,Schlußkurse!A$5:AU$105,42,FALSE),""),"")</f>
        <v>1.5744932099980319E-2</v>
      </c>
      <c r="K44" s="82">
        <f>IF(VLOOKUP(A44,Schlußkurse!A$5:AU$105,43,FALSE)&gt;0,IF(VLOOKUP(A44,Dividende_je_Aktie!A$3:AM$103,15,FALSE)&lt;&gt;"",VLOOKUP(A44,Dividende_je_Aktie!A$3:AM$103,15,FALSE)/VLOOKUP(A44,Schlußkurse!A$5:AU$105,43,FALSE),""),"")</f>
        <v>1.5929203539823009E-2</v>
      </c>
      <c r="L44" s="82">
        <f>IF(VLOOKUP(A44,Schlußkurse!A$5:AU$105,44,FALSE)&gt;0,IF(VLOOKUP(A44,Dividende_je_Aktie!A$3:AM$103,16,FALSE)&lt;&gt;"",VLOOKUP(A44,Dividende_je_Aktie!A$3:AM$103,16,FALSE)/VLOOKUP(A44,Schlußkurse!A$5:AU$105,44,FALSE),""),"")</f>
        <v>8.2977118430978131E-3</v>
      </c>
      <c r="M44" s="82">
        <f>IF(VLOOKUP(A44,Schlußkurse!A$5:AU$105,45,FALSE)&gt;0,IF(VLOOKUP(A44,Dividende_je_Aktie!A$3:AM$103,17,FALSE)&lt;&gt;"",VLOOKUP(A44,Dividende_je_Aktie!A$3:AM$103,17,FALSE)/VLOOKUP(A44,Schlußkurse!A$5:AU$105,45,FALSE),""),"")</f>
        <v>8.9576547231270363E-3</v>
      </c>
      <c r="N44" s="82">
        <f>IF(VLOOKUP(A44,Schlußkurse!A$5:AU$105,46,FALSE)&gt;0,IF(VLOOKUP(A44,Dividende_je_Aktie!A$3:AM$103,18,FALSE)&lt;&gt;"",VLOOKUP(A44,Dividende_je_Aktie!A$3:AM$103,18,FALSE)/VLOOKUP(A44,Schlußkurse!A$5:AU$105,46,FALSE),""),"")</f>
        <v>1.0250569476082005E-2</v>
      </c>
      <c r="O44" s="83">
        <f>IF(VLOOKUP(A44,Schlußkurse!A$5:AU$105,47,FALSE)&gt;0,IF(VLOOKUP(A44,Dividende_je_Aktie!A$3:AM$103,19,FALSE)&lt;&gt;"",VLOOKUP(A44,Dividende_je_Aktie!A$3:AM$103,19,FALSE)/VLOOKUP(A44,Schlußkurse!A$5:AU$105,47,FALSE),""),"")</f>
        <v>1.0810810810810811E-2</v>
      </c>
      <c r="P44" s="5">
        <f t="shared" si="2"/>
        <v>1.3262584492356972E-2</v>
      </c>
      <c r="Q44" s="5">
        <f ca="1">VLOOKUP(A44,Dividende_je_Aktie!A$3:AM$103,24,FALSE)/VLOOKUP(A44,Schlußkurse!A$5:AU$105,35,FALSE)</f>
        <v>1.4076889865029755E-2</v>
      </c>
      <c r="R44" s="5">
        <f t="shared" ca="1" si="3"/>
        <v>6.1398694435617296E-2</v>
      </c>
    </row>
    <row r="45" spans="1:18" x14ac:dyDescent="0.25">
      <c r="A45" t="s">
        <v>81</v>
      </c>
      <c r="B45" t="s">
        <v>82</v>
      </c>
      <c r="C45" s="81">
        <f>IF(VLOOKUP(A45,Schlußkurse!A$5:AU$105,35,FALSE)&gt;0,IF(VLOOKUP(A45,Dividende_je_Aktie!A$3:AM$103,7,FALSE)&lt;&gt;"",VLOOKUP(A45,Dividende_je_Aktie!A$3:AM$103,7,FALSE)/VLOOKUP(A45,Schlußkurse!A$5:AU$105,35,FALSE),""),"")</f>
        <v>1.5222594542843465E-2</v>
      </c>
      <c r="D45" s="82">
        <f>IF(VLOOKUP(A45,Schlußkurse!A$5:AU$105,36,FALSE)&gt;0,IF(VLOOKUP(A45,Dividende_je_Aktie!A$3:AM$103,8,FALSE)&lt;&gt;"",VLOOKUP(A45,Dividende_je_Aktie!A$3:AM$103,8,FALSE)/VLOOKUP(A45,Schlußkurse!A$5:AU$105,36,FALSE),""),"")</f>
        <v>1.4073719483006222E-2</v>
      </c>
      <c r="E45" s="82">
        <f>IF(VLOOKUP(A45,Schlußkurse!A$5:AU$105,37,FALSE)&gt;0,IF(VLOOKUP(A45,Dividende_je_Aktie!A$3:AM$103,9,FALSE)&lt;&gt;"",VLOOKUP(A45,Dividende_je_Aktie!A$3:AM$103,9,FALSE)/VLOOKUP(A45,Schlußkurse!A$5:AU$105,37,FALSE),""),"")</f>
        <v>1.4761798255423843E-2</v>
      </c>
      <c r="F45" s="82">
        <f>IF(VLOOKUP(A45,Schlußkurse!A$5:AU$105,38,FALSE)&gt;0,IF(VLOOKUP(A45,Dividende_je_Aktie!A$3:AM$103,10,FALSE)&lt;&gt;"",VLOOKUP(A45,Dividende_je_Aktie!A$3:AM$103,10,FALSE)/VLOOKUP(A45,Schlußkurse!A$5:AU$105,38,FALSE),""),"")</f>
        <v>1.4470406831929782E-2</v>
      </c>
      <c r="G45" s="82">
        <f>IF(VLOOKUP(A45,Schlußkurse!A$5:AU$105,39,FALSE)&gt;0,IF(VLOOKUP(A45,Dividende_je_Aktie!A$3:AM$103,11,FALSE)&lt;&gt;"",VLOOKUP(A45,Dividende_je_Aktie!A$3:AM$103,11,FALSE)/VLOOKUP(A45,Schlußkurse!A$5:AU$105,39,FALSE),""),"")</f>
        <v>1.5273311897106108E-2</v>
      </c>
      <c r="H45" s="82">
        <f>IF(VLOOKUP(A45,Schlußkurse!A$5:AU$105,40,FALSE)&gt;0,IF(VLOOKUP(A45,Dividende_je_Aktie!A$3:AM$103,12,FALSE)&lt;&gt;"",VLOOKUP(A45,Dividende_je_Aktie!A$3:AM$103,12,FALSE)/VLOOKUP(A45,Schlußkurse!A$5:AU$105,40,FALSE),""),"")</f>
        <v>1.794124243103835E-2</v>
      </c>
      <c r="I45" s="82">
        <f>IF(VLOOKUP(A45,Schlußkurse!A$5:AU$105,41,FALSE)&gt;0,IF(VLOOKUP(A45,Dividende_je_Aktie!A$3:AM$103,13,FALSE)&lt;&gt;"",VLOOKUP(A45,Dividende_je_Aktie!A$3:AM$103,13,FALSE)/VLOOKUP(A45,Schlußkurse!A$5:AU$105,41,FALSE),""),"")</f>
        <v>1.5472225206833567E-2</v>
      </c>
      <c r="J45" s="82">
        <f>IF(VLOOKUP(A45,Schlußkurse!A$5:AU$105,42,FALSE)&gt;0,IF(VLOOKUP(A45,Dividende_je_Aktie!A$3:AM$103,14,FALSE)&lt;&gt;"",VLOOKUP(A45,Dividende_je_Aktie!A$3:AM$103,14,FALSE)/VLOOKUP(A45,Schlußkurse!A$5:AU$105,42,FALSE),""),"")</f>
        <v>1.4548449080428219E-2</v>
      </c>
      <c r="K45" s="82">
        <f>IF(VLOOKUP(A45,Schlußkurse!A$5:AU$105,43,FALSE)&gt;0,IF(VLOOKUP(A45,Dividende_je_Aktie!A$3:AM$103,15,FALSE)&lt;&gt;"",VLOOKUP(A45,Dividende_je_Aktie!A$3:AM$103,15,FALSE)/VLOOKUP(A45,Schlußkurse!A$5:AU$105,43,FALSE),""),"")</f>
        <v>2.3461708720672866E-2</v>
      </c>
      <c r="L45" s="82">
        <f>IF(VLOOKUP(A45,Schlußkurse!A$5:AU$105,44,FALSE)&gt;0,IF(VLOOKUP(A45,Dividende_je_Aktie!A$3:AM$103,16,FALSE)&lt;&gt;"",VLOOKUP(A45,Dividende_je_Aktie!A$3:AM$103,16,FALSE)/VLOOKUP(A45,Schlußkurse!A$5:AU$105,44,FALSE),""),"")</f>
        <v>1.3791308873276087E-2</v>
      </c>
      <c r="M45" s="82">
        <f>IF(VLOOKUP(A45,Schlußkurse!A$5:AU$105,45,FALSE)&gt;0,IF(VLOOKUP(A45,Dividende_je_Aktie!A$3:AM$103,17,FALSE)&lt;&gt;"",VLOOKUP(A45,Dividende_je_Aktie!A$3:AM$103,17,FALSE)/VLOOKUP(A45,Schlußkurse!A$5:AU$105,45,FALSE),""),"")</f>
        <v>1.3455328310010766E-2</v>
      </c>
      <c r="N45" s="82">
        <f>IF(VLOOKUP(A45,Schlußkurse!A$5:AU$105,46,FALSE)&gt;0,IF(VLOOKUP(A45,Dividende_je_Aktie!A$3:AM$103,18,FALSE)&lt;&gt;"",VLOOKUP(A45,Dividende_je_Aktie!A$3:AM$103,18,FALSE)/VLOOKUP(A45,Schlußkurse!A$5:AU$105,46,FALSE),""),"")</f>
        <v>1.5882371626319561E-2</v>
      </c>
      <c r="O45" s="83">
        <f>IF(VLOOKUP(A45,Schlußkurse!A$5:AU$105,47,FALSE)&gt;0,IF(VLOOKUP(A45,Dividende_je_Aktie!A$3:AM$103,19,FALSE)&lt;&gt;"",VLOOKUP(A45,Dividende_je_Aktie!A$3:AM$103,19,FALSE)/VLOOKUP(A45,Schlußkurse!A$5:AU$105,47,FALSE),""),"")</f>
        <v>2.0156281494189833E-2</v>
      </c>
      <c r="P45" s="5">
        <f t="shared" si="2"/>
        <v>1.603928821177528E-2</v>
      </c>
      <c r="Q45" s="5">
        <f ca="1">VLOOKUP(A45,Dividende_je_Aktie!A$3:AM$103,24,FALSE)/VLOOKUP(A45,Schlußkurse!A$5:AU$105,35,FALSE)</f>
        <v>1.4463060475506622E-2</v>
      </c>
      <c r="R45" s="5">
        <f t="shared" ca="1" si="3"/>
        <v>-9.827292305349733E-2</v>
      </c>
    </row>
    <row r="46" spans="1:18" x14ac:dyDescent="0.25">
      <c r="A46" t="s">
        <v>273</v>
      </c>
      <c r="B46" t="s">
        <v>278</v>
      </c>
      <c r="C46" s="81">
        <f>IF(VLOOKUP(A46,Schlußkurse!A$5:AU$105,35,FALSE)&gt;0,IF(VLOOKUP(A46,Dividende_je_Aktie!A$3:AM$103,7,FALSE)&lt;&gt;"",VLOOKUP(A46,Dividende_je_Aktie!A$3:AM$103,7,FALSE)/VLOOKUP(A46,Schlußkurse!A$5:AU$105,35,FALSE),""),"")</f>
        <v>2.1883098186006332E-2</v>
      </c>
      <c r="D46" s="82">
        <f>IF(VLOOKUP(A46,Schlußkurse!A$5:AU$105,36,FALSE)&gt;0,IF(VLOOKUP(A46,Dividende_je_Aktie!A$3:AM$103,8,FALSE)&lt;&gt;"",VLOOKUP(A46,Dividende_je_Aktie!A$3:AM$103,8,FALSE)/VLOOKUP(A46,Schlußkurse!A$5:AU$105,36,FALSE),""),"")</f>
        <v>1.9867549668874173E-2</v>
      </c>
      <c r="E46" s="82">
        <f>IF(VLOOKUP(A46,Schlußkurse!A$5:AU$105,37,FALSE)&gt;0,IF(VLOOKUP(A46,Dividende_je_Aktie!A$3:AM$103,9,FALSE)&lt;&gt;"",VLOOKUP(A46,Dividende_je_Aktie!A$3:AM$103,9,FALSE)/VLOOKUP(A46,Schlußkurse!A$5:AU$105,37,FALSE),""),"")</f>
        <v>2.0428015564202335E-2</v>
      </c>
      <c r="F46" s="82">
        <f>IF(VLOOKUP(A46,Schlußkurse!A$5:AU$105,38,FALSE)&gt;0,IF(VLOOKUP(A46,Dividende_je_Aktie!A$3:AM$103,10,FALSE)&lt;&gt;"",VLOOKUP(A46,Dividende_je_Aktie!A$3:AM$103,10,FALSE)/VLOOKUP(A46,Schlußkurse!A$5:AU$105,38,FALSE),""),"")</f>
        <v>1.9730351857941465E-2</v>
      </c>
      <c r="G46" s="82">
        <f>IF(VLOOKUP(A46,Schlußkurse!A$5:AU$105,39,FALSE)&gt;0,IF(VLOOKUP(A46,Dividende_je_Aktie!A$3:AM$103,11,FALSE)&lt;&gt;"",VLOOKUP(A46,Dividende_je_Aktie!A$3:AM$103,11,FALSE)/VLOOKUP(A46,Schlußkurse!A$5:AU$105,39,FALSE),""),"")</f>
        <v>2.0454545454545454E-2</v>
      </c>
      <c r="H46" s="82">
        <f>IF(VLOOKUP(A46,Schlußkurse!A$5:AU$105,40,FALSE)&gt;0,IF(VLOOKUP(A46,Dividende_je_Aktie!A$3:AM$103,12,FALSE)&lt;&gt;"",VLOOKUP(A46,Dividende_je_Aktie!A$3:AM$103,12,FALSE)/VLOOKUP(A46,Schlußkurse!A$5:AU$105,40,FALSE),""),"")</f>
        <v>2.1748586341887775E-2</v>
      </c>
      <c r="I46" s="82">
        <f>IF(VLOOKUP(A46,Schlußkurse!A$5:AU$105,41,FALSE)&gt;0,IF(VLOOKUP(A46,Dividende_je_Aktie!A$3:AM$103,13,FALSE)&lt;&gt;"",VLOOKUP(A46,Dividende_je_Aktie!A$3:AM$103,13,FALSE)/VLOOKUP(A46,Schlußkurse!A$5:AU$105,41,FALSE),""),"")</f>
        <v>1.9374724790841041E-2</v>
      </c>
      <c r="J46" s="82">
        <f>IF(VLOOKUP(A46,Schlußkurse!A$5:AU$105,42,FALSE)&gt;0,IF(VLOOKUP(A46,Dividende_je_Aktie!A$3:AM$103,14,FALSE)&lt;&gt;"",VLOOKUP(A46,Dividende_je_Aktie!A$3:AM$103,14,FALSE)/VLOOKUP(A46,Schlußkurse!A$5:AU$105,42,FALSE),""),"")</f>
        <v>2.1387832699619774E-2</v>
      </c>
      <c r="K46" s="82">
        <f>IF(VLOOKUP(A46,Schlußkurse!A$5:AU$105,43,FALSE)&gt;0,IF(VLOOKUP(A46,Dividende_je_Aktie!A$3:AM$103,15,FALSE)&lt;&gt;"",VLOOKUP(A46,Dividende_je_Aktie!A$3:AM$103,15,FALSE)/VLOOKUP(A46,Schlußkurse!A$5:AU$105,43,FALSE),""),"")</f>
        <v>3.007518796992481E-2</v>
      </c>
      <c r="L46" s="82">
        <f>IF(VLOOKUP(A46,Schlußkurse!A$5:AU$105,44,FALSE)&gt;0,IF(VLOOKUP(A46,Dividende_je_Aktie!A$3:AM$103,16,FALSE)&lt;&gt;"",VLOOKUP(A46,Dividende_je_Aktie!A$3:AM$103,16,FALSE)/VLOOKUP(A46,Schlußkurse!A$5:AU$105,44,FALSE),""),"")</f>
        <v>1.8794914317302375E-2</v>
      </c>
      <c r="M46" s="82">
        <f>IF(VLOOKUP(A46,Schlußkurse!A$5:AU$105,45,FALSE)&gt;0,IF(VLOOKUP(A46,Dividende_je_Aktie!A$3:AM$103,17,FALSE)&lt;&gt;"",VLOOKUP(A46,Dividende_je_Aktie!A$3:AM$103,17,FALSE)/VLOOKUP(A46,Schlußkurse!A$5:AU$105,45,FALSE),""),"")</f>
        <v>1.9166879631995908E-2</v>
      </c>
      <c r="N46" s="82">
        <f>IF(VLOOKUP(A46,Schlußkurse!A$5:AU$105,46,FALSE)&gt;0,IF(VLOOKUP(A46,Dividende_je_Aktie!A$3:AM$103,18,FALSE)&lt;&gt;"",VLOOKUP(A46,Dividende_je_Aktie!A$3:AM$103,18,FALSE)/VLOOKUP(A46,Schlußkurse!A$5:AU$105,46,FALSE),""),"")</f>
        <v>2.1286300745020525E-2</v>
      </c>
      <c r="O46" s="83">
        <f>IF(VLOOKUP(A46,Schlußkurse!A$5:AU$105,47,FALSE)&gt;0,IF(VLOOKUP(A46,Dividende_je_Aktie!A$3:AM$103,19,FALSE)&lt;&gt;"",VLOOKUP(A46,Dividende_je_Aktie!A$3:AM$103,19,FALSE)/VLOOKUP(A46,Schlußkurse!A$5:AU$105,47,FALSE),""),"")</f>
        <v>2.7138514980460268E-2</v>
      </c>
      <c r="P46" s="5">
        <f t="shared" si="2"/>
        <v>2.1641269400663247E-2</v>
      </c>
      <c r="Q46" s="5">
        <f ca="1">VLOOKUP(A46,Dividende_je_Aktie!A$3:AM$103,24,FALSE)/VLOOKUP(A46,Schlußkurse!A$5:AU$105,35,FALSE)</f>
        <v>2.0550596666346739E-2</v>
      </c>
      <c r="R46" s="5">
        <f t="shared" ca="1" si="3"/>
        <v>-5.0397816972930554E-2</v>
      </c>
    </row>
    <row r="47" spans="1:18" x14ac:dyDescent="0.25">
      <c r="A47" t="s">
        <v>275</v>
      </c>
      <c r="B47" t="s">
        <v>280</v>
      </c>
      <c r="C47" s="81">
        <f>IF(VLOOKUP(A47,Schlußkurse!A$5:AU$105,35,FALSE)&gt;0,IF(VLOOKUP(A47,Dividende_je_Aktie!A$3:AM$103,7,FALSE)&lt;&gt;"",VLOOKUP(A47,Dividende_je_Aktie!A$3:AM$103,7,FALSE)/VLOOKUP(A47,Schlußkurse!A$5:AU$105,35,FALSE),""),"")</f>
        <v>1.8686327077747988E-2</v>
      </c>
      <c r="D47" s="82">
        <f>IF(VLOOKUP(A47,Schlußkurse!A$5:AU$105,36,FALSE)&gt;0,IF(VLOOKUP(A47,Dividende_je_Aktie!A$3:AM$103,8,FALSE)&lt;&gt;"",VLOOKUP(A47,Dividende_je_Aktie!A$3:AM$103,8,FALSE)/VLOOKUP(A47,Schlußkurse!A$5:AU$105,36,FALSE),""),"")</f>
        <v>1.5388739946380698E-2</v>
      </c>
      <c r="E47" s="82">
        <f>IF(VLOOKUP(A47,Schlußkurse!A$5:AU$105,37,FALSE)&gt;0,IF(VLOOKUP(A47,Dividende_je_Aktie!A$3:AM$103,9,FALSE)&lt;&gt;"",VLOOKUP(A47,Dividende_je_Aktie!A$3:AM$103,9,FALSE)/VLOOKUP(A47,Schlußkurse!A$5:AU$105,37,FALSE),""),"")</f>
        <v>1.921229586935639E-2</v>
      </c>
      <c r="F47" s="82">
        <f>IF(VLOOKUP(A47,Schlußkurse!A$5:AU$105,38,FALSE)&gt;0,IF(VLOOKUP(A47,Dividende_je_Aktie!A$3:AM$103,10,FALSE)&lt;&gt;"",VLOOKUP(A47,Dividende_je_Aktie!A$3:AM$103,10,FALSE)/VLOOKUP(A47,Schlußkurse!A$5:AU$105,38,FALSE),""),"")</f>
        <v>2.2641509433962263E-2</v>
      </c>
      <c r="G47" s="82">
        <f>IF(VLOOKUP(A47,Schlußkurse!A$5:AU$105,39,FALSE)&gt;0,IF(VLOOKUP(A47,Dividende_je_Aktie!A$3:AM$103,11,FALSE)&lt;&gt;"",VLOOKUP(A47,Dividende_je_Aktie!A$3:AM$103,11,FALSE)/VLOOKUP(A47,Schlußkurse!A$5:AU$105,39,FALSE),""),"")</f>
        <v>1.9123505976095617E-2</v>
      </c>
      <c r="H47" s="82">
        <f>IF(VLOOKUP(A47,Schlußkurse!A$5:AU$105,40,FALSE)&gt;0,IF(VLOOKUP(A47,Dividende_je_Aktie!A$3:AM$103,12,FALSE)&lt;&gt;"",VLOOKUP(A47,Dividende_je_Aktie!A$3:AM$103,12,FALSE)/VLOOKUP(A47,Schlußkurse!A$5:AU$105,40,FALSE),""),"")</f>
        <v>2.1116138763197585E-2</v>
      </c>
      <c r="I47" s="82">
        <f>IF(VLOOKUP(A47,Schlußkurse!A$5:AU$105,41,FALSE)&gt;0,IF(VLOOKUP(A47,Dividende_je_Aktie!A$3:AM$103,13,FALSE)&lt;&gt;"",VLOOKUP(A47,Dividende_je_Aktie!A$3:AM$103,13,FALSE)/VLOOKUP(A47,Schlußkurse!A$5:AU$105,41,FALSE),""),"")</f>
        <v>1.5779092702169626E-2</v>
      </c>
      <c r="J47" s="82">
        <f>IF(VLOOKUP(A47,Schlußkurse!A$5:AU$105,42,FALSE)&gt;0,IF(VLOOKUP(A47,Dividende_je_Aktie!A$3:AM$103,14,FALSE)&lt;&gt;"",VLOOKUP(A47,Dividende_je_Aktie!A$3:AM$103,14,FALSE)/VLOOKUP(A47,Schlußkurse!A$5:AU$105,42,FALSE),""),"")</f>
        <v>2.2585259354061582E-2</v>
      </c>
      <c r="K47" s="82" t="str">
        <f>IF(VLOOKUP(A47,Schlußkurse!A$5:AU$105,43,FALSE)&gt;0,IF(VLOOKUP(A47,Dividende_je_Aktie!A$3:AM$103,15,FALSE)&lt;&gt;"",VLOOKUP(A47,Dividende_je_Aktie!A$3:AM$103,15,FALSE)/VLOOKUP(A47,Schlußkurse!A$5:AU$105,43,FALSE),""),"")</f>
        <v/>
      </c>
      <c r="L47" s="82" t="str">
        <f>IF(VLOOKUP(A47,Schlußkurse!A$5:AU$105,44,FALSE)&gt;0,IF(VLOOKUP(A47,Dividende_je_Aktie!A$3:AM$103,16,FALSE)&lt;&gt;"",VLOOKUP(A47,Dividende_je_Aktie!A$3:AM$103,16,FALSE)/VLOOKUP(A47,Schlußkurse!A$5:AU$105,44,FALSE),""),"")</f>
        <v/>
      </c>
      <c r="M47" s="82" t="str">
        <f>IF(VLOOKUP(A47,Schlußkurse!A$5:AU$105,45,FALSE)&gt;0,IF(VLOOKUP(A47,Dividende_je_Aktie!A$3:AM$103,17,FALSE)&lt;&gt;"",VLOOKUP(A47,Dividende_je_Aktie!A$3:AM$103,17,FALSE)/VLOOKUP(A47,Schlußkurse!A$5:AU$105,45,FALSE),""),"")</f>
        <v/>
      </c>
      <c r="N47" s="82" t="str">
        <f>IF(VLOOKUP(A47,Schlußkurse!A$5:AU$105,46,FALSE)&gt;0,IF(VLOOKUP(A47,Dividende_je_Aktie!A$3:AM$103,18,FALSE)&lt;&gt;"",VLOOKUP(A47,Dividende_je_Aktie!A$3:AM$103,18,FALSE)/VLOOKUP(A47,Schlußkurse!A$5:AU$105,46,FALSE),""),"")</f>
        <v/>
      </c>
      <c r="O47" s="83" t="str">
        <f>IF(VLOOKUP(A47,Schlußkurse!A$5:AU$105,47,FALSE)&gt;0,IF(VLOOKUP(A47,Dividende_je_Aktie!A$3:AM$103,19,FALSE)&lt;&gt;"",VLOOKUP(A47,Dividende_je_Aktie!A$3:AM$103,19,FALSE)/VLOOKUP(A47,Schlußkurse!A$5:AU$105,47,FALSE),""),"")</f>
        <v/>
      </c>
      <c r="P47" s="5">
        <f t="shared" si="2"/>
        <v>1.931660864037147E-2</v>
      </c>
      <c r="Q47" s="5">
        <f ca="1">VLOOKUP(A47,Dividende_je_Aktie!A$3:AM$103,24,FALSE)/VLOOKUP(A47,Schlußkurse!A$5:AU$105,35,FALSE)</f>
        <v>1.6506255585344055E-2</v>
      </c>
      <c r="R47" s="5">
        <f t="shared" ca="1" si="3"/>
        <v>-0.14548894722409045</v>
      </c>
    </row>
    <row r="48" spans="1:18" x14ac:dyDescent="0.25">
      <c r="A48" t="s">
        <v>83</v>
      </c>
      <c r="B48" t="s">
        <v>84</v>
      </c>
      <c r="C48" s="81">
        <f>IF(VLOOKUP(A48,Schlußkurse!A$5:AU$105,35,FALSE)&gt;0,IF(VLOOKUP(A48,Dividende_je_Aktie!A$3:AM$103,7,FALSE)&lt;&gt;"",VLOOKUP(A48,Dividende_je_Aktie!A$3:AM$103,7,FALSE)/VLOOKUP(A48,Schlußkurse!A$5:AU$105,35,FALSE),""),"")</f>
        <v>1.9976359338061467E-2</v>
      </c>
      <c r="D48" s="82">
        <f>IF(VLOOKUP(A48,Schlußkurse!A$5:AU$105,36,FALSE)&gt;0,IF(VLOOKUP(A48,Dividende_je_Aktie!A$3:AM$103,8,FALSE)&lt;&gt;"",VLOOKUP(A48,Dividende_je_Aktie!A$3:AM$103,8,FALSE)/VLOOKUP(A48,Schlußkurse!A$5:AU$105,36,FALSE),""),"")</f>
        <v>1.8321513002364068E-2</v>
      </c>
      <c r="E48" s="82">
        <f>IF(VLOOKUP(A48,Schlußkurse!A$5:AU$105,37,FALSE)&gt;0,IF(VLOOKUP(A48,Dividende_je_Aktie!A$3:AM$103,9,FALSE)&lt;&gt;"",VLOOKUP(A48,Dividende_je_Aktie!A$3:AM$103,9,FALSE)/VLOOKUP(A48,Schlußkurse!A$5:AU$105,37,FALSE),""),"")</f>
        <v>1.9382627422828428E-2</v>
      </c>
      <c r="F48" s="82">
        <f>IF(VLOOKUP(A48,Schlußkurse!A$5:AU$105,38,FALSE)&gt;0,IF(VLOOKUP(A48,Dividende_je_Aktie!A$3:AM$103,10,FALSE)&lt;&gt;"",VLOOKUP(A48,Dividende_je_Aktie!A$3:AM$103,10,FALSE)/VLOOKUP(A48,Schlußkurse!A$5:AU$105,38,FALSE),""),"")</f>
        <v>1.9577133907595929E-2</v>
      </c>
      <c r="G48" s="82">
        <f>IF(VLOOKUP(A48,Schlußkurse!A$5:AU$105,39,FALSE)&gt;0,IF(VLOOKUP(A48,Dividende_je_Aktie!A$3:AM$103,11,FALSE)&lt;&gt;"",VLOOKUP(A48,Dividende_je_Aktie!A$3:AM$103,11,FALSE)/VLOOKUP(A48,Schlußkurse!A$5:AU$105,39,FALSE),""),"")</f>
        <v>2.1925643469971397E-2</v>
      </c>
      <c r="H48" s="82">
        <f>IF(VLOOKUP(A48,Schlußkurse!A$5:AU$105,40,FALSE)&gt;0,IF(VLOOKUP(A48,Dividende_je_Aktie!A$3:AM$103,12,FALSE)&lt;&gt;"",VLOOKUP(A48,Dividende_je_Aktie!A$3:AM$103,12,FALSE)/VLOOKUP(A48,Schlußkurse!A$5:AU$105,40,FALSE),""),"")</f>
        <v>2.4783147459727383E-2</v>
      </c>
      <c r="I48" s="82">
        <f>IF(VLOOKUP(A48,Schlußkurse!A$5:AU$105,41,FALSE)&gt;0,IF(VLOOKUP(A48,Dividende_je_Aktie!A$3:AM$103,13,FALSE)&lt;&gt;"",VLOOKUP(A48,Dividende_je_Aktie!A$3:AM$103,13,FALSE)/VLOOKUP(A48,Schlußkurse!A$5:AU$105,41,FALSE),""),"")</f>
        <v>2.1665864227250843E-2</v>
      </c>
      <c r="J48" s="82">
        <f>IF(VLOOKUP(A48,Schlußkurse!A$5:AU$105,42,FALSE)&gt;0,IF(VLOOKUP(A48,Dividende_je_Aktie!A$3:AM$103,14,FALSE)&lt;&gt;"",VLOOKUP(A48,Dividende_je_Aktie!A$3:AM$103,14,FALSE)/VLOOKUP(A48,Schlußkurse!A$5:AU$105,42,FALSE),""),"")</f>
        <v>1.9230769230769232E-2</v>
      </c>
      <c r="K48" s="82">
        <f>IF(VLOOKUP(A48,Schlußkurse!A$5:AU$105,43,FALSE)&gt;0,IF(VLOOKUP(A48,Dividende_je_Aktie!A$3:AM$103,15,FALSE)&lt;&gt;"",VLOOKUP(A48,Dividende_je_Aktie!A$3:AM$103,15,FALSE)/VLOOKUP(A48,Schlußkurse!A$5:AU$105,43,FALSE),""),"")</f>
        <v>2.3113964686998396E-2</v>
      </c>
      <c r="L48" s="82">
        <f>IF(VLOOKUP(A48,Schlußkurse!A$5:AU$105,44,FALSE)&gt;0,IF(VLOOKUP(A48,Dividende_je_Aktie!A$3:AM$103,16,FALSE)&lt;&gt;"",VLOOKUP(A48,Dividende_je_Aktie!A$3:AM$103,16,FALSE)/VLOOKUP(A48,Schlußkurse!A$5:AU$105,44,FALSE),""),"")</f>
        <v>1.408450704225352E-2</v>
      </c>
      <c r="M48" s="82">
        <f>IF(VLOOKUP(A48,Schlußkurse!A$5:AU$105,45,FALSE)&gt;0,IF(VLOOKUP(A48,Dividende_je_Aktie!A$3:AM$103,17,FALSE)&lt;&gt;"",VLOOKUP(A48,Dividende_je_Aktie!A$3:AM$103,17,FALSE)/VLOOKUP(A48,Schlußkurse!A$5:AU$105,45,FALSE),""),"")</f>
        <v>1.5546772068511197E-2</v>
      </c>
      <c r="N48" s="82">
        <f>IF(VLOOKUP(A48,Schlußkurse!A$5:AU$105,46,FALSE)&gt;0,IF(VLOOKUP(A48,Dividende_je_Aktie!A$3:AM$103,18,FALSE)&lt;&gt;"",VLOOKUP(A48,Dividende_je_Aktie!A$3:AM$103,18,FALSE)/VLOOKUP(A48,Schlußkurse!A$5:AU$105,46,FALSE),""),"")</f>
        <v>1.5923566878980892E-2</v>
      </c>
      <c r="O48" s="83">
        <f>IF(VLOOKUP(A48,Schlußkurse!A$5:AU$105,47,FALSE)&gt;0,IF(VLOOKUP(A48,Dividende_je_Aktie!A$3:AM$103,19,FALSE)&lt;&gt;"",VLOOKUP(A48,Dividende_je_Aktie!A$3:AM$103,19,FALSE)/VLOOKUP(A48,Schlußkurse!A$5:AU$105,47,FALSE),""),"")</f>
        <v>1.4682184422560429E-2</v>
      </c>
      <c r="P48" s="5">
        <f t="shared" si="2"/>
        <v>1.9093388704451784E-2</v>
      </c>
      <c r="Q48" s="5">
        <f ca="1">VLOOKUP(A48,Dividende_je_Aktie!A$3:AM$103,24,FALSE)/VLOOKUP(A48,Schlußkurse!A$5:AU$105,35,FALSE)</f>
        <v>1.888232203835041E-2</v>
      </c>
      <c r="R48" s="5">
        <f t="shared" ca="1" si="3"/>
        <v>-1.1054437186006849E-2</v>
      </c>
    </row>
    <row r="49" spans="1:18" x14ac:dyDescent="0.25">
      <c r="A49" t="s">
        <v>85</v>
      </c>
      <c r="B49" t="s">
        <v>86</v>
      </c>
      <c r="C49" s="81">
        <f>IF(VLOOKUP(A49,Schlußkurse!A$5:AU$105,35,FALSE)&gt;0,IF(VLOOKUP(A49,Dividende_je_Aktie!A$3:AM$103,7,FALSE)&lt;&gt;"",VLOOKUP(A49,Dividende_je_Aktie!A$3:AM$103,7,FALSE)/VLOOKUP(A49,Schlußkurse!A$5:AU$105,35,FALSE),""),"")</f>
        <v>3.45128877238969E-2</v>
      </c>
      <c r="D49" s="82">
        <f>IF(VLOOKUP(A49,Schlußkurse!A$5:AU$105,36,FALSE)&gt;0,IF(VLOOKUP(A49,Dividende_je_Aktie!A$3:AM$103,8,FALSE)&lt;&gt;"",VLOOKUP(A49,Dividende_je_Aktie!A$3:AM$103,8,FALSE)/VLOOKUP(A49,Schlußkurse!A$5:AU$105,36,FALSE),""),"")</f>
        <v>3.3093053735255569E-2</v>
      </c>
      <c r="E49" s="82">
        <f>IF(VLOOKUP(A49,Schlußkurse!A$5:AU$105,37,FALSE)&gt;0,IF(VLOOKUP(A49,Dividende_je_Aktie!A$3:AM$103,9,FALSE)&lt;&gt;"",VLOOKUP(A49,Dividende_je_Aktie!A$3:AM$103,9,FALSE)/VLOOKUP(A49,Schlußkurse!A$5:AU$105,37,FALSE),""),"")</f>
        <v>3.7007665873645255E-2</v>
      </c>
      <c r="F49" s="82">
        <f>IF(VLOOKUP(A49,Schlußkurse!A$5:AU$105,38,FALSE)&gt;0,IF(VLOOKUP(A49,Dividende_je_Aktie!A$3:AM$103,10,FALSE)&lt;&gt;"",VLOOKUP(A49,Dividende_je_Aktie!A$3:AM$103,10,FALSE)/VLOOKUP(A49,Schlußkurse!A$5:AU$105,38,FALSE),""),"")</f>
        <v>3.5918049792531118E-2</v>
      </c>
      <c r="G49" s="82">
        <f>IF(VLOOKUP(A49,Schlußkurse!A$5:AU$105,39,FALSE)&gt;0,IF(VLOOKUP(A49,Dividende_je_Aktie!A$3:AM$103,11,FALSE)&lt;&gt;"",VLOOKUP(A49,Dividende_je_Aktie!A$3:AM$103,11,FALSE)/VLOOKUP(A49,Schlußkurse!A$5:AU$105,39,FALSE),""),"")</f>
        <v>3.712004482420507E-2</v>
      </c>
      <c r="H49" s="82">
        <f>IF(VLOOKUP(A49,Schlußkurse!A$5:AU$105,40,FALSE)&gt;0,IF(VLOOKUP(A49,Dividende_je_Aktie!A$3:AM$103,12,FALSE)&lt;&gt;"",VLOOKUP(A49,Dividende_je_Aktie!A$3:AM$103,12,FALSE)/VLOOKUP(A49,Schlußkurse!A$5:AU$105,40,FALSE),""),"")</f>
        <v>4.405286343612335E-2</v>
      </c>
      <c r="I49" s="82">
        <f>IF(VLOOKUP(A49,Schlußkurse!A$5:AU$105,41,FALSE)&gt;0,IF(VLOOKUP(A49,Dividende_je_Aktie!A$3:AM$103,13,FALSE)&lt;&gt;"",VLOOKUP(A49,Dividende_je_Aktie!A$3:AM$103,13,FALSE)/VLOOKUP(A49,Schlußkurse!A$5:AU$105,41,FALSE),""),"")</f>
        <v>5.0156739811912224E-2</v>
      </c>
      <c r="J49" s="82">
        <f>IF(VLOOKUP(A49,Schlußkurse!A$5:AU$105,42,FALSE)&gt;0,IF(VLOOKUP(A49,Dividende_je_Aktie!A$3:AM$103,14,FALSE)&lt;&gt;"",VLOOKUP(A49,Dividende_je_Aktie!A$3:AM$103,14,FALSE)/VLOOKUP(A49,Schlußkurse!A$5:AU$105,42,FALSE),""),"")</f>
        <v>3.9956411187795131E-2</v>
      </c>
      <c r="K49" s="82">
        <f>IF(VLOOKUP(A49,Schlußkurse!A$5:AU$105,43,FALSE)&gt;0,IF(VLOOKUP(A49,Dividende_je_Aktie!A$3:AM$103,15,FALSE)&lt;&gt;"",VLOOKUP(A49,Dividende_je_Aktie!A$3:AM$103,15,FALSE)/VLOOKUP(A49,Schlußkurse!A$5:AU$105,43,FALSE),""),"")</f>
        <v>4.5594713656387661E-2</v>
      </c>
      <c r="L49" s="82">
        <f>IF(VLOOKUP(A49,Schlußkurse!A$5:AU$105,44,FALSE)&gt;0,IF(VLOOKUP(A49,Dividende_je_Aktie!A$3:AM$103,16,FALSE)&lt;&gt;"",VLOOKUP(A49,Dividende_je_Aktie!A$3:AM$103,16,FALSE)/VLOOKUP(A49,Schlußkurse!A$5:AU$105,44,FALSE),""),"")</f>
        <v>2.7786598920292158E-2</v>
      </c>
      <c r="M49" s="82">
        <f>IF(VLOOKUP(A49,Schlußkurse!A$5:AU$105,45,FALSE)&gt;0,IF(VLOOKUP(A49,Dividende_je_Aktie!A$3:AM$103,17,FALSE)&lt;&gt;"",VLOOKUP(A49,Dividende_je_Aktie!A$3:AM$103,17,FALSE)/VLOOKUP(A49,Schlußkurse!A$5:AU$105,45,FALSE),""),"")</f>
        <v>2.1729807005003574E-2</v>
      </c>
      <c r="N49" s="82">
        <f>IF(VLOOKUP(A49,Schlußkurse!A$5:AU$105,46,FALSE)&gt;0,IF(VLOOKUP(A49,Dividende_je_Aktie!A$3:AM$103,18,FALSE)&lt;&gt;"",VLOOKUP(A49,Dividende_je_Aktie!A$3:AM$103,18,FALSE)/VLOOKUP(A49,Schlußkurse!A$5:AU$105,46,FALSE),""),"")</f>
        <v>1.6216216216216217E-2</v>
      </c>
      <c r="O49" s="83">
        <f>IF(VLOOKUP(A49,Schlußkurse!A$5:AU$105,47,FALSE)&gt;0,IF(VLOOKUP(A49,Dividende_je_Aktie!A$3:AM$103,19,FALSE)&lt;&gt;"",VLOOKUP(A49,Dividende_je_Aktie!A$3:AM$103,19,FALSE)/VLOOKUP(A49,Schlußkurse!A$5:AU$105,47,FALSE),""),"")</f>
        <v>1.7346938775510204E-2</v>
      </c>
      <c r="P49" s="5">
        <f t="shared" si="2"/>
        <v>3.3883999304521115E-2</v>
      </c>
      <c r="Q49" s="5">
        <f ca="1">VLOOKUP(A49,Dividende_je_Aktie!A$3:AM$103,24,FALSE)/VLOOKUP(A49,Schlußkurse!A$5:AU$105,35,FALSE)</f>
        <v>3.3574219698072907E-2</v>
      </c>
      <c r="R49" s="5">
        <f t="shared" ca="1" si="3"/>
        <v>-9.1423566522996769E-3</v>
      </c>
    </row>
    <row r="50" spans="1:18" x14ac:dyDescent="0.25">
      <c r="A50" t="s">
        <v>87</v>
      </c>
      <c r="B50" t="s">
        <v>88</v>
      </c>
      <c r="C50" s="81">
        <f>IF(VLOOKUP(A50,Schlußkurse!A$5:AU$105,35,FALSE)&gt;0,IF(VLOOKUP(A50,Dividende_je_Aktie!A$3:AM$103,7,FALSE)&lt;&gt;"",VLOOKUP(A50,Dividende_je_Aktie!A$3:AM$103,7,FALSE)/VLOOKUP(A50,Schlußkurse!A$5:AU$105,35,FALSE),""),"")</f>
        <v>3.2118007236292795E-2</v>
      </c>
      <c r="D50" s="82">
        <f>IF(VLOOKUP(A50,Schlußkurse!A$5:AU$105,36,FALSE)&gt;0,IF(VLOOKUP(A50,Dividende_je_Aktie!A$3:AM$103,8,FALSE)&lt;&gt;"",VLOOKUP(A50,Dividende_je_Aktie!A$3:AM$103,8,FALSE)/VLOOKUP(A50,Schlußkurse!A$5:AU$105,36,FALSE),""),"")</f>
        <v>2.9947119398831063E-2</v>
      </c>
      <c r="E50" s="82">
        <f>IF(VLOOKUP(A50,Schlußkurse!A$5:AU$105,37,FALSE)&gt;0,IF(VLOOKUP(A50,Dividende_je_Aktie!A$3:AM$103,9,FALSE)&lt;&gt;"",VLOOKUP(A50,Dividende_je_Aktie!A$3:AM$103,9,FALSE)/VLOOKUP(A50,Schlußkurse!A$5:AU$105,37,FALSE),""),"")</f>
        <v>2.7867095391211148E-2</v>
      </c>
      <c r="F50" s="82">
        <f>IF(VLOOKUP(A50,Schlußkurse!A$5:AU$105,38,FALSE)&gt;0,IF(VLOOKUP(A50,Dividende_je_Aktie!A$3:AM$103,10,FALSE)&lt;&gt;"",VLOOKUP(A50,Dividende_je_Aktie!A$3:AM$103,10,FALSE)/VLOOKUP(A50,Schlußkurse!A$5:AU$105,38,FALSE),""),"")</f>
        <v>2.4999999999999998E-2</v>
      </c>
      <c r="G50" s="82">
        <f>IF(VLOOKUP(A50,Schlußkurse!A$5:AU$105,39,FALSE)&gt;0,IF(VLOOKUP(A50,Dividende_je_Aktie!A$3:AM$103,11,FALSE)&lt;&gt;"",VLOOKUP(A50,Dividende_je_Aktie!A$3:AM$103,11,FALSE)/VLOOKUP(A50,Schlußkurse!A$5:AU$105,39,FALSE),""),"")</f>
        <v>2.6796589524969546E-2</v>
      </c>
      <c r="H50" s="82">
        <f>IF(VLOOKUP(A50,Schlußkurse!A$5:AU$105,40,FALSE)&gt;0,IF(VLOOKUP(A50,Dividende_je_Aktie!A$3:AM$103,12,FALSE)&lt;&gt;"",VLOOKUP(A50,Dividende_je_Aktie!A$3:AM$103,12,FALSE)/VLOOKUP(A50,Schlußkurse!A$5:AU$105,40,FALSE),""),"")</f>
        <v>3.1421838177533384E-2</v>
      </c>
      <c r="I50" s="82">
        <f>IF(VLOOKUP(A50,Schlußkurse!A$5:AU$105,41,FALSE)&gt;0,IF(VLOOKUP(A50,Dividende_je_Aktie!A$3:AM$103,13,FALSE)&lt;&gt;"",VLOOKUP(A50,Dividende_je_Aktie!A$3:AM$103,13,FALSE)/VLOOKUP(A50,Schlußkurse!A$5:AU$105,41,FALSE),""),"")</f>
        <v>3.5849056603773584E-2</v>
      </c>
      <c r="J50" s="82">
        <f>IF(VLOOKUP(A50,Schlußkurse!A$5:AU$105,42,FALSE)&gt;0,IF(VLOOKUP(A50,Dividende_je_Aktie!A$3:AM$103,14,FALSE)&lt;&gt;"",VLOOKUP(A50,Dividende_je_Aktie!A$3:AM$103,14,FALSE)/VLOOKUP(A50,Schlußkurse!A$5:AU$105,42,FALSE),""),"")</f>
        <v>4.1308089500860581E-2</v>
      </c>
      <c r="K50" s="82">
        <f>IF(VLOOKUP(A50,Schlußkurse!A$5:AU$105,43,FALSE)&gt;0,IF(VLOOKUP(A50,Dividende_je_Aktie!A$3:AM$103,15,FALSE)&lt;&gt;"",VLOOKUP(A50,Dividende_je_Aktie!A$3:AM$103,15,FALSE)/VLOOKUP(A50,Schlußkurse!A$5:AU$105,43,FALSE),""),"")</f>
        <v>3.67965367965368E-2</v>
      </c>
      <c r="L50" s="82">
        <f>IF(VLOOKUP(A50,Schlußkurse!A$5:AU$105,44,FALSE)&gt;0,IF(VLOOKUP(A50,Dividende_je_Aktie!A$3:AM$103,16,FALSE)&lt;&gt;"",VLOOKUP(A50,Dividende_je_Aktie!A$3:AM$103,16,FALSE)/VLOOKUP(A50,Schlußkurse!A$5:AU$105,44,FALSE),""),"")</f>
        <v>3.1822565091610418E-2</v>
      </c>
      <c r="M50" s="82">
        <f>IF(VLOOKUP(A50,Schlußkurse!A$5:AU$105,45,FALSE)&gt;0,IF(VLOOKUP(A50,Dividende_je_Aktie!A$3:AM$103,17,FALSE)&lt;&gt;"",VLOOKUP(A50,Dividende_je_Aktie!A$3:AM$103,17,FALSE)/VLOOKUP(A50,Schlußkurse!A$5:AU$105,45,FALSE),""),"")</f>
        <v>3.4084661902144035E-2</v>
      </c>
      <c r="N50" s="82">
        <f>IF(VLOOKUP(A50,Schlußkurse!A$5:AU$105,46,FALSE)&gt;0,IF(VLOOKUP(A50,Dividende_je_Aktie!A$3:AM$103,18,FALSE)&lt;&gt;"",VLOOKUP(A50,Dividende_je_Aktie!A$3:AM$103,18,FALSE)/VLOOKUP(A50,Schlußkurse!A$5:AU$105,46,FALSE),""),"")</f>
        <v>3.6452004860267312E-2</v>
      </c>
      <c r="O50" s="83">
        <f>IF(VLOOKUP(A50,Schlußkurse!A$5:AU$105,47,FALSE)&gt;0,IF(VLOOKUP(A50,Dividende_je_Aktie!A$3:AM$103,19,FALSE)&lt;&gt;"",VLOOKUP(A50,Dividende_je_Aktie!A$3:AM$103,19,FALSE)/VLOOKUP(A50,Schlußkurse!A$5:AU$105,47,FALSE),""),"")</f>
        <v>3.7659717552118367E-2</v>
      </c>
      <c r="P50" s="5">
        <f t="shared" si="2"/>
        <v>3.2855637079703771E-2</v>
      </c>
      <c r="Q50" s="5">
        <f ca="1">VLOOKUP(A50,Dividende_je_Aktie!A$3:AM$103,24,FALSE)/VLOOKUP(A50,Schlußkurse!A$5:AU$105,35,FALSE)</f>
        <v>3.177428332869469E-2</v>
      </c>
      <c r="R50" s="5">
        <f t="shared" ca="1" si="3"/>
        <v>-3.2912274639077865E-2</v>
      </c>
    </row>
    <row r="51" spans="1:18" x14ac:dyDescent="0.25">
      <c r="A51" t="s">
        <v>89</v>
      </c>
      <c r="B51" t="s">
        <v>90</v>
      </c>
      <c r="C51" s="81">
        <f>IF(VLOOKUP(A51,Schlußkurse!A$5:AU$105,35,FALSE)&gt;0,IF(VLOOKUP(A51,Dividende_je_Aktie!A$3:AM$103,7,FALSE)&lt;&gt;"",VLOOKUP(A51,Dividende_je_Aktie!A$3:AM$103,7,FALSE)/VLOOKUP(A51,Schlußkurse!A$5:AU$105,35,FALSE),""),"")</f>
        <v>2.1718766892894332E-2</v>
      </c>
      <c r="D51" s="82">
        <f>IF(VLOOKUP(A51,Schlußkurse!A$5:AU$105,36,FALSE)&gt;0,IF(VLOOKUP(A51,Dividende_je_Aktie!A$3:AM$103,8,FALSE)&lt;&gt;"",VLOOKUP(A51,Dividende_je_Aktie!A$3:AM$103,8,FALSE)/VLOOKUP(A51,Schlußkurse!A$5:AU$105,36,FALSE),""),"")</f>
        <v>2.0929107784524566E-2</v>
      </c>
      <c r="E51" s="82">
        <f>IF(VLOOKUP(A51,Schlußkurse!A$5:AU$105,37,FALSE)&gt;0,IF(VLOOKUP(A51,Dividende_je_Aktie!A$3:AM$103,9,FALSE)&lt;&gt;"",VLOOKUP(A51,Dividende_je_Aktie!A$3:AM$103,9,FALSE)/VLOOKUP(A51,Schlußkurse!A$5:AU$105,37,FALSE),""),"")</f>
        <v>2.1068768460254274E-2</v>
      </c>
      <c r="F51" s="82">
        <f>IF(VLOOKUP(A51,Schlußkurse!A$5:AU$105,38,FALSE)&gt;0,IF(VLOOKUP(A51,Dividende_je_Aktie!A$3:AM$103,10,FALSE)&lt;&gt;"",VLOOKUP(A51,Dividende_je_Aktie!A$3:AM$103,10,FALSE)/VLOOKUP(A51,Schlußkurse!A$5:AU$105,38,FALSE),""),"")</f>
        <v>1.9184790024942507E-2</v>
      </c>
      <c r="G51" s="82">
        <f>IF(VLOOKUP(A51,Schlußkurse!A$5:AU$105,39,FALSE)&gt;0,IF(VLOOKUP(A51,Dividende_je_Aktie!A$3:AM$103,11,FALSE)&lt;&gt;"",VLOOKUP(A51,Dividende_je_Aktie!A$3:AM$103,11,FALSE)/VLOOKUP(A51,Schlußkurse!A$5:AU$105,39,FALSE),""),"")</f>
        <v>2.2648306555630732E-2</v>
      </c>
      <c r="H51" s="82">
        <f>IF(VLOOKUP(A51,Schlußkurse!A$5:AU$105,40,FALSE)&gt;0,IF(VLOOKUP(A51,Dividende_je_Aktie!A$3:AM$103,12,FALSE)&lt;&gt;"",VLOOKUP(A51,Dividende_je_Aktie!A$3:AM$103,12,FALSE)/VLOOKUP(A51,Schlußkurse!A$5:AU$105,40,FALSE),""),"")</f>
        <v>2.2885979999207471E-2</v>
      </c>
      <c r="I51" s="82">
        <f>IF(VLOOKUP(A51,Schlußkurse!A$5:AU$105,41,FALSE)&gt;0,IF(VLOOKUP(A51,Dividende_je_Aktie!A$3:AM$103,13,FALSE)&lt;&gt;"",VLOOKUP(A51,Dividende_je_Aktie!A$3:AM$103,13,FALSE)/VLOOKUP(A51,Schlußkurse!A$5:AU$105,41,FALSE),""),"")</f>
        <v>2.3183169128310113E-2</v>
      </c>
      <c r="J51" s="82">
        <f>IF(VLOOKUP(A51,Schlußkurse!A$5:AU$105,42,FALSE)&gt;0,IF(VLOOKUP(A51,Dividende_je_Aktie!A$3:AM$103,14,FALSE)&lt;&gt;"",VLOOKUP(A51,Dividende_je_Aktie!A$3:AM$103,14,FALSE)/VLOOKUP(A51,Schlußkurse!A$5:AU$105,42,FALSE),""),"")</f>
        <v>3.9000466459027286E-2</v>
      </c>
      <c r="K51" s="82">
        <f>IF(VLOOKUP(A51,Schlußkurse!A$5:AU$105,43,FALSE)&gt;0,IF(VLOOKUP(A51,Dividende_je_Aktie!A$3:AM$103,15,FALSE)&lt;&gt;"",VLOOKUP(A51,Dividende_je_Aktie!A$3:AM$103,15,FALSE)/VLOOKUP(A51,Schlußkurse!A$5:AU$105,43,FALSE),""),"")</f>
        <v>2.6469282488944968E-2</v>
      </c>
      <c r="L51" s="82">
        <f>IF(VLOOKUP(A51,Schlußkurse!A$5:AU$105,44,FALSE)&gt;0,IF(VLOOKUP(A51,Dividende_je_Aktie!A$3:AM$103,16,FALSE)&lt;&gt;"",VLOOKUP(A51,Dividende_je_Aktie!A$3:AM$103,16,FALSE)/VLOOKUP(A51,Schlußkurse!A$5:AU$105,44,FALSE),""),"")</f>
        <v>2.2787260189722172E-2</v>
      </c>
      <c r="M51" s="82" t="str">
        <f>IF(VLOOKUP(A51,Schlußkurse!A$5:AU$105,45,FALSE)&gt;0,IF(VLOOKUP(A51,Dividende_je_Aktie!A$3:AM$103,17,FALSE)&lt;&gt;"",VLOOKUP(A51,Dividende_je_Aktie!A$3:AM$103,17,FALSE)/VLOOKUP(A51,Schlußkurse!A$5:AU$105,45,FALSE),""),"")</f>
        <v/>
      </c>
      <c r="N51" s="82" t="str">
        <f>IF(VLOOKUP(A51,Schlußkurse!A$5:AU$105,46,FALSE)&gt;0,IF(VLOOKUP(A51,Dividende_je_Aktie!A$3:AM$103,18,FALSE)&lt;&gt;"",VLOOKUP(A51,Dividende_je_Aktie!A$3:AM$103,18,FALSE)/VLOOKUP(A51,Schlußkurse!A$5:AU$105,46,FALSE),""),"")</f>
        <v/>
      </c>
      <c r="O51" s="83" t="str">
        <f>IF(VLOOKUP(A51,Schlußkurse!A$5:AU$105,47,FALSE)&gt;0,IF(VLOOKUP(A51,Dividende_je_Aktie!A$3:AM$103,19,FALSE)&lt;&gt;"",VLOOKUP(A51,Dividende_je_Aktie!A$3:AM$103,19,FALSE)/VLOOKUP(A51,Schlußkurse!A$5:AU$105,47,FALSE),""),"")</f>
        <v/>
      </c>
      <c r="P51" s="5">
        <f t="shared" si="2"/>
        <v>2.3987589798345844E-2</v>
      </c>
      <c r="Q51" s="5">
        <f ca="1">VLOOKUP(A51,Dividende_je_Aktie!A$3:AM$103,24,FALSE)/VLOOKUP(A51,Schlußkurse!A$5:AU$105,35,FALSE)</f>
        <v>2.1868551492155674E-2</v>
      </c>
      <c r="R51" s="5">
        <f t="shared" ca="1" si="3"/>
        <v>-8.8338942094811745E-2</v>
      </c>
    </row>
    <row r="52" spans="1:18" x14ac:dyDescent="0.25">
      <c r="A52" t="s">
        <v>91</v>
      </c>
      <c r="B52" t="s">
        <v>92</v>
      </c>
      <c r="C52" s="81">
        <f>IF(VLOOKUP(A52,Schlußkurse!A$5:AU$105,35,FALSE)&gt;0,IF(VLOOKUP(A52,Dividende_je_Aktie!A$3:AM$103,7,FALSE)&lt;&gt;"",VLOOKUP(A52,Dividende_je_Aktie!A$3:AM$103,7,FALSE)/VLOOKUP(A52,Schlußkurse!A$5:AU$105,35,FALSE),""),"")</f>
        <v>2.3083548664944015E-2</v>
      </c>
      <c r="D52" s="82">
        <f>IF(VLOOKUP(A52,Schlußkurse!A$5:AU$105,36,FALSE)&gt;0,IF(VLOOKUP(A52,Dividende_je_Aktie!A$3:AM$103,8,FALSE)&lt;&gt;"",VLOOKUP(A52,Dividende_je_Aktie!A$3:AM$103,8,FALSE)/VLOOKUP(A52,Schlußkurse!A$5:AU$105,36,FALSE),""),"")</f>
        <v>2.1705426356589147E-2</v>
      </c>
      <c r="E52" s="82">
        <f>IF(VLOOKUP(A52,Schlußkurse!A$5:AU$105,37,FALSE)&gt;0,IF(VLOOKUP(A52,Dividende_je_Aktie!A$3:AM$103,9,FALSE)&lt;&gt;"",VLOOKUP(A52,Dividende_je_Aktie!A$3:AM$103,9,FALSE)/VLOOKUP(A52,Schlußkurse!A$5:AU$105,37,FALSE),""),"")</f>
        <v>2.6679462571976963E-2</v>
      </c>
      <c r="F52" s="82">
        <f>IF(VLOOKUP(A52,Schlußkurse!A$5:AU$105,38,FALSE)&gt;0,IF(VLOOKUP(A52,Dividende_je_Aktie!A$3:AM$103,10,FALSE)&lt;&gt;"",VLOOKUP(A52,Dividende_je_Aktie!A$3:AM$103,10,FALSE)/VLOOKUP(A52,Schlußkurse!A$5:AU$105,38,FALSE),""),"")</f>
        <v>2.9407894581498832E-2</v>
      </c>
      <c r="G52" s="82">
        <f>IF(VLOOKUP(A52,Schlußkurse!A$5:AU$105,39,FALSE)&gt;0,IF(VLOOKUP(A52,Dividende_je_Aktie!A$3:AM$103,11,FALSE)&lt;&gt;"",VLOOKUP(A52,Dividende_je_Aktie!A$3:AM$103,11,FALSE)/VLOOKUP(A52,Schlußkurse!A$5:AU$105,39,FALSE),""),"")</f>
        <v>3.5541503989135977E-2</v>
      </c>
      <c r="H52" s="82">
        <f>IF(VLOOKUP(A52,Schlußkurse!A$5:AU$105,40,FALSE)&gt;0,IF(VLOOKUP(A52,Dividende_je_Aktie!A$3:AM$103,12,FALSE)&lt;&gt;"",VLOOKUP(A52,Dividende_je_Aktie!A$3:AM$103,12,FALSE)/VLOOKUP(A52,Schlußkurse!A$5:AU$105,40,FALSE),""),"")</f>
        <v>4.0442093554533251E-2</v>
      </c>
      <c r="I52" s="82">
        <f>IF(VLOOKUP(A52,Schlußkurse!A$5:AU$105,41,FALSE)&gt;0,IF(VLOOKUP(A52,Dividende_je_Aktie!A$3:AM$103,13,FALSE)&lt;&gt;"",VLOOKUP(A52,Dividende_je_Aktie!A$3:AM$103,13,FALSE)/VLOOKUP(A52,Schlußkurse!A$5:AU$105,41,FALSE),""),"")</f>
        <v>3.3565215462414838E-2</v>
      </c>
      <c r="J52" s="82">
        <f>IF(VLOOKUP(A52,Schlußkurse!A$5:AU$105,42,FALSE)&gt;0,IF(VLOOKUP(A52,Dividende_je_Aktie!A$3:AM$103,14,FALSE)&lt;&gt;"",VLOOKUP(A52,Dividende_je_Aktie!A$3:AM$103,14,FALSE)/VLOOKUP(A52,Schlußkurse!A$5:AU$105,42,FALSE),""),"")</f>
        <v>3.0656941467314798E-2</v>
      </c>
      <c r="K52" s="82">
        <f>IF(VLOOKUP(A52,Schlußkurse!A$5:AU$105,43,FALSE)&gt;0,IF(VLOOKUP(A52,Dividende_je_Aktie!A$3:AM$103,15,FALSE)&lt;&gt;"",VLOOKUP(A52,Dividende_je_Aktie!A$3:AM$103,15,FALSE)/VLOOKUP(A52,Schlußkurse!A$5:AU$105,43,FALSE),""),"")</f>
        <v>2.4743406879784557E-2</v>
      </c>
      <c r="L52" s="82">
        <f>IF(VLOOKUP(A52,Schlußkurse!A$5:AU$105,44,FALSE)&gt;0,IF(VLOOKUP(A52,Dividende_je_Aktie!A$3:AM$103,16,FALSE)&lt;&gt;"",VLOOKUP(A52,Dividende_je_Aktie!A$3:AM$103,16,FALSE)/VLOOKUP(A52,Schlußkurse!A$5:AU$105,44,FALSE),""),"")</f>
        <v>1.7653515856564477E-2</v>
      </c>
      <c r="M52" s="82">
        <f>IF(VLOOKUP(A52,Schlußkurse!A$5:AU$105,45,FALSE)&gt;0,IF(VLOOKUP(A52,Dividende_je_Aktie!A$3:AM$103,17,FALSE)&lt;&gt;"",VLOOKUP(A52,Dividende_je_Aktie!A$3:AM$103,17,FALSE)/VLOOKUP(A52,Schlußkurse!A$5:AU$105,45,FALSE),""),"")</f>
        <v>1.8513955334641945E-2</v>
      </c>
      <c r="N52" s="82">
        <f>IF(VLOOKUP(A52,Schlußkurse!A$5:AU$105,46,FALSE)&gt;0,IF(VLOOKUP(A52,Dividende_je_Aktie!A$3:AM$103,18,FALSE)&lt;&gt;"",VLOOKUP(A52,Dividende_je_Aktie!A$3:AM$103,18,FALSE)/VLOOKUP(A52,Schlußkurse!A$5:AU$105,46,FALSE),""),"")</f>
        <v>1.9290878040389738E-2</v>
      </c>
      <c r="O52" s="83" t="str">
        <f>IF(VLOOKUP(A52,Schlußkurse!A$5:AU$105,47,FALSE)&gt;0,IF(VLOOKUP(A52,Dividende_je_Aktie!A$3:AM$103,19,FALSE)&lt;&gt;"",VLOOKUP(A52,Dividende_je_Aktie!A$3:AM$103,19,FALSE)/VLOOKUP(A52,Schlußkurse!A$5:AU$105,47,FALSE),""),"")</f>
        <v/>
      </c>
      <c r="P52" s="5">
        <f t="shared" si="2"/>
        <v>2.6773653563315718E-2</v>
      </c>
      <c r="Q52" s="5">
        <f ca="1">VLOOKUP(A52,Dividende_je_Aktie!A$3:AM$103,24,FALSE)/VLOOKUP(A52,Schlußkurse!A$5:AU$105,35,FALSE)</f>
        <v>2.2172456694420521E-2</v>
      </c>
      <c r="R52" s="5">
        <f t="shared" ca="1" si="3"/>
        <v>-0.17185539724767296</v>
      </c>
    </row>
    <row r="53" spans="1:18" x14ac:dyDescent="0.25">
      <c r="A53" t="s">
        <v>288</v>
      </c>
      <c r="B53" t="s">
        <v>289</v>
      </c>
      <c r="C53" s="81">
        <f>IF(VLOOKUP(A53,Schlußkurse!A$5:AU$105,35,FALSE)&gt;0,IF(VLOOKUP(A53,Dividende_je_Aktie!A$3:AM$103,7,FALSE)&lt;&gt;"",VLOOKUP(A53,Dividende_je_Aktie!A$3:AM$103,7,FALSE)/VLOOKUP(A53,Schlußkurse!A$5:AU$105,35,FALSE),""),"")</f>
        <v>2.3384943940202883E-2</v>
      </c>
      <c r="D53" s="82">
        <f>IF(VLOOKUP(A53,Schlußkurse!A$5:AU$105,36,FALSE)&gt;0,IF(VLOOKUP(A53,Dividende_je_Aktie!A$3:AM$103,8,FALSE)&lt;&gt;"",VLOOKUP(A53,Dividende_je_Aktie!A$3:AM$103,8,FALSE)/VLOOKUP(A53,Schlußkurse!A$5:AU$105,36,FALSE),""),"")</f>
        <v>2.1569674319273893E-2</v>
      </c>
      <c r="E53" s="82">
        <f>IF(VLOOKUP(A53,Schlußkurse!A$5:AU$105,37,FALSE)&gt;0,IF(VLOOKUP(A53,Dividende_je_Aktie!A$3:AM$103,9,FALSE)&lt;&gt;"",VLOOKUP(A53,Dividende_je_Aktie!A$3:AM$103,9,FALSE)/VLOOKUP(A53,Schlußkurse!A$5:AU$105,37,FALSE),""),"")</f>
        <v>2.2945965951147299E-2</v>
      </c>
      <c r="F53" s="82">
        <f>IF(VLOOKUP(A53,Schlußkurse!A$5:AU$105,38,FALSE)&gt;0,IF(VLOOKUP(A53,Dividende_je_Aktie!A$3:AM$103,10,FALSE)&lt;&gt;"",VLOOKUP(A53,Dividende_je_Aktie!A$3:AM$103,10,FALSE)/VLOOKUP(A53,Schlußkurse!A$5:AU$105,38,FALSE),""),"")</f>
        <v>2.2422145328719726E-2</v>
      </c>
      <c r="G53" s="82">
        <f>IF(VLOOKUP(A53,Schlußkurse!A$5:AU$105,39,FALSE)&gt;0,IF(VLOOKUP(A53,Dividende_je_Aktie!A$3:AM$103,11,FALSE)&lt;&gt;"",VLOOKUP(A53,Dividende_je_Aktie!A$3:AM$103,11,FALSE)/VLOOKUP(A53,Schlußkurse!A$5:AU$105,39,FALSE),""),"")</f>
        <v>2.1915584415584416E-2</v>
      </c>
      <c r="H53" s="82">
        <f>IF(VLOOKUP(A53,Schlußkurse!A$5:AU$105,40,FALSE)&gt;0,IF(VLOOKUP(A53,Dividende_je_Aktie!A$3:AM$103,12,FALSE)&lt;&gt;"",VLOOKUP(A53,Dividende_je_Aktie!A$3:AM$103,12,FALSE)/VLOOKUP(A53,Schlußkurse!A$5:AU$105,40,FALSE),""),"")</f>
        <v>1.6794178018286993E-2</v>
      </c>
      <c r="I53" s="82">
        <f>IF(VLOOKUP(A53,Schlußkurse!A$5:AU$105,41,FALSE)&gt;0,IF(VLOOKUP(A53,Dividende_je_Aktie!A$3:AM$103,13,FALSE)&lt;&gt;"",VLOOKUP(A53,Dividende_je_Aktie!A$3:AM$103,13,FALSE)/VLOOKUP(A53,Schlußkurse!A$5:AU$105,41,FALSE),""),"")</f>
        <v>3.0874316939890706E-2</v>
      </c>
      <c r="J53" s="82">
        <f>IF(VLOOKUP(A53,Schlußkurse!A$5:AU$105,42,FALSE)&gt;0,IF(VLOOKUP(A53,Dividende_je_Aktie!A$3:AM$103,14,FALSE)&lt;&gt;"",VLOOKUP(A53,Dividende_je_Aktie!A$3:AM$103,14,FALSE)/VLOOKUP(A53,Schlußkurse!A$5:AU$105,42,FALSE),""),"")</f>
        <v>1.5151515151515152E-2</v>
      </c>
      <c r="K53" s="82">
        <f>IF(VLOOKUP(A53,Schlußkurse!A$5:AU$105,43,FALSE)&gt;0,IF(VLOOKUP(A53,Dividende_je_Aktie!A$3:AM$103,15,FALSE)&lt;&gt;"",VLOOKUP(A53,Dividende_je_Aktie!A$3:AM$103,15,FALSE)/VLOOKUP(A53,Schlußkurse!A$5:AU$105,43,FALSE),""),"")</f>
        <v>1.0154738878143133E-2</v>
      </c>
      <c r="L53" s="82">
        <f>IF(VLOOKUP(A53,Schlußkurse!A$5:AU$105,44,FALSE)&gt;0,IF(VLOOKUP(A53,Dividende_je_Aktie!A$3:AM$103,16,FALSE)&lt;&gt;"",VLOOKUP(A53,Dividende_je_Aktie!A$3:AM$103,16,FALSE)/VLOOKUP(A53,Schlußkurse!A$5:AU$105,44,FALSE),""),"")</f>
        <v>8.493084202863382E-3</v>
      </c>
      <c r="M53" s="82">
        <f>IF(VLOOKUP(A53,Schlußkurse!A$5:AU$105,45,FALSE)&gt;0,IF(VLOOKUP(A53,Dividende_je_Aktie!A$3:AM$103,17,FALSE)&lt;&gt;"",VLOOKUP(A53,Dividende_je_Aktie!A$3:AM$103,17,FALSE)/VLOOKUP(A53,Schlußkurse!A$5:AU$105,45,FALSE),""),"")</f>
        <v>1.0114632501685771E-2</v>
      </c>
      <c r="N53" s="82">
        <f>IF(VLOOKUP(A53,Schlußkurse!A$5:AU$105,46,FALSE)&gt;0,IF(VLOOKUP(A53,Dividende_je_Aktie!A$3:AM$103,18,FALSE)&lt;&gt;"",VLOOKUP(A53,Dividende_je_Aktie!A$3:AM$103,18,FALSE)/VLOOKUP(A53,Schlußkurse!A$5:AU$105,46,FALSE),""),"")</f>
        <v>0</v>
      </c>
      <c r="O53" s="83">
        <f>IF(VLOOKUP(A53,Schlußkurse!A$5:AU$105,47,FALSE)&gt;0,IF(VLOOKUP(A53,Dividende_je_Aktie!A$3:AM$103,19,FALSE)&lt;&gt;"",VLOOKUP(A53,Dividende_je_Aktie!A$3:AM$103,19,FALSE)/VLOOKUP(A53,Schlußkurse!A$5:AU$105,47,FALSE),""),"")</f>
        <v>0</v>
      </c>
      <c r="P53" s="5">
        <f t="shared" si="2"/>
        <v>1.5678521511331797E-2</v>
      </c>
      <c r="Q53" s="5">
        <f ca="1">VLOOKUP(A53,Dividende_je_Aktie!A$3:AM$103,24,FALSE)/VLOOKUP(A53,Schlußkurse!A$5:AU$105,35,FALSE)</f>
        <v>2.2789938897787267E-2</v>
      </c>
      <c r="R53" s="5">
        <f t="shared" ca="1" si="3"/>
        <v>0.45357704049553571</v>
      </c>
    </row>
    <row r="54" spans="1:18" x14ac:dyDescent="0.25">
      <c r="A54" t="s">
        <v>257</v>
      </c>
      <c r="B54" t="s">
        <v>258</v>
      </c>
      <c r="C54" s="81">
        <f>IF(VLOOKUP(A54,Schlußkurse!A$5:AU$105,35,FALSE)&gt;0,IF(VLOOKUP(A54,Dividende_je_Aktie!A$3:AM$103,7,FALSE)&lt;&gt;"",VLOOKUP(A54,Dividende_je_Aktie!A$3:AM$103,7,FALSE)/VLOOKUP(A54,Schlußkurse!A$5:AU$105,35,FALSE),""),"")</f>
        <v>1.9421323820848196E-2</v>
      </c>
      <c r="D54" s="82">
        <f>IF(VLOOKUP(A54,Schlußkurse!A$5:AU$105,36,FALSE)&gt;0,IF(VLOOKUP(A54,Dividende_je_Aktie!A$3:AM$103,8,FALSE)&lt;&gt;"",VLOOKUP(A54,Dividende_je_Aktie!A$3:AM$103,8,FALSE)/VLOOKUP(A54,Schlußkurse!A$5:AU$105,36,FALSE),""),"")</f>
        <v>1.2357286769644057E-2</v>
      </c>
      <c r="E54" s="82">
        <f>IF(VLOOKUP(A54,Schlußkurse!A$5:AU$105,37,FALSE)&gt;0,IF(VLOOKUP(A54,Dividende_je_Aktie!A$3:AM$103,9,FALSE)&lt;&gt;"",VLOOKUP(A54,Dividende_je_Aktie!A$3:AM$103,9,FALSE)/VLOOKUP(A54,Schlußkurse!A$5:AU$105,37,FALSE),""),"")</f>
        <v>1.9041142468548114E-2</v>
      </c>
      <c r="F54" s="82">
        <f>IF(VLOOKUP(A54,Schlußkurse!A$5:AU$105,38,FALSE)&gt;0,IF(VLOOKUP(A54,Dividende_je_Aktie!A$3:AM$103,10,FALSE)&lt;&gt;"",VLOOKUP(A54,Dividende_je_Aktie!A$3:AM$103,10,FALSE)/VLOOKUP(A54,Schlußkurse!A$5:AU$105,38,FALSE),""),"")</f>
        <v>2.2269807280513917E-2</v>
      </c>
      <c r="G54" s="82">
        <f>IF(VLOOKUP(A54,Schlußkurse!A$5:AU$105,39,FALSE)&gt;0,IF(VLOOKUP(A54,Dividende_je_Aktie!A$3:AM$103,11,FALSE)&lt;&gt;"",VLOOKUP(A54,Dividende_je_Aktie!A$3:AM$103,11,FALSE)/VLOOKUP(A54,Schlußkurse!A$5:AU$105,39,FALSE),""),"")</f>
        <v>2.5392670157068059E-2</v>
      </c>
      <c r="H54" s="82">
        <f>IF(VLOOKUP(A54,Schlußkurse!A$5:AU$105,40,FALSE)&gt;0,IF(VLOOKUP(A54,Dividende_je_Aktie!A$3:AM$103,12,FALSE)&lt;&gt;"",VLOOKUP(A54,Dividende_je_Aktie!A$3:AM$103,12,FALSE)/VLOOKUP(A54,Schlußkurse!A$5:AU$105,40,FALSE),""),"")</f>
        <v>2.1556886227544911E-2</v>
      </c>
      <c r="I54" s="82">
        <f>IF(VLOOKUP(A54,Schlußkurse!A$5:AU$105,41,FALSE)&gt;0,IF(VLOOKUP(A54,Dividende_je_Aktie!A$3:AM$103,13,FALSE)&lt;&gt;"",VLOOKUP(A54,Dividende_je_Aktie!A$3:AM$103,13,FALSE)/VLOOKUP(A54,Schlußkurse!A$5:AU$105,41,FALSE),""),"")</f>
        <v>1.8768596932936598E-2</v>
      </c>
      <c r="J54" s="82">
        <f>IF(VLOOKUP(A54,Schlußkurse!A$5:AU$105,42,FALSE)&gt;0,IF(VLOOKUP(A54,Dividende_je_Aktie!A$3:AM$103,14,FALSE)&lt;&gt;"",VLOOKUP(A54,Dividende_je_Aktie!A$3:AM$103,14,FALSE)/VLOOKUP(A54,Schlußkurse!A$5:AU$105,42,FALSE),""),"")</f>
        <v>2.34375E-2</v>
      </c>
      <c r="K54" s="82">
        <f>IF(VLOOKUP(A54,Schlußkurse!A$5:AU$105,43,FALSE)&gt;0,IF(VLOOKUP(A54,Dividende_je_Aktie!A$3:AM$103,15,FALSE)&lt;&gt;"",VLOOKUP(A54,Dividende_je_Aktie!A$3:AM$103,15,FALSE)/VLOOKUP(A54,Schlußkurse!A$5:AU$105,43,FALSE),""),"")</f>
        <v>1.0271158586688579E-2</v>
      </c>
      <c r="L54" s="82">
        <f>IF(VLOOKUP(A54,Schlußkurse!A$5:AU$105,44,FALSE)&gt;0,IF(VLOOKUP(A54,Dividende_je_Aktie!A$3:AM$103,16,FALSE)&lt;&gt;"",VLOOKUP(A54,Dividende_je_Aktie!A$3:AM$103,16,FALSE)/VLOOKUP(A54,Schlußkurse!A$5:AU$105,44,FALSE),""),"")</f>
        <v>8.3065886350764586E-3</v>
      </c>
      <c r="M54" s="82">
        <f>IF(VLOOKUP(A54,Schlußkurse!A$5:AU$105,45,FALSE)&gt;0,IF(VLOOKUP(A54,Dividende_je_Aktie!A$3:AM$103,17,FALSE)&lt;&gt;"",VLOOKUP(A54,Dividende_je_Aktie!A$3:AM$103,17,FALSE)/VLOOKUP(A54,Schlußkurse!A$5:AU$105,45,FALSE),""),"")</f>
        <v>7.7813248204309663E-3</v>
      </c>
      <c r="N54" s="82">
        <f>IF(VLOOKUP(A54,Schlußkurse!A$5:AU$105,46,FALSE)&gt;0,IF(VLOOKUP(A54,Dividende_je_Aktie!A$3:AM$103,18,FALSE)&lt;&gt;"",VLOOKUP(A54,Dividende_je_Aktie!A$3:AM$103,18,FALSE)/VLOOKUP(A54,Schlußkurse!A$5:AU$105,46,FALSE),""),"")</f>
        <v>8.4158415841584164E-3</v>
      </c>
      <c r="O54" s="83">
        <f>IF(VLOOKUP(A54,Schlußkurse!A$5:AU$105,47,FALSE)&gt;0,IF(VLOOKUP(A54,Dividende_je_Aktie!A$3:AM$103,19,FALSE)&lt;&gt;"",VLOOKUP(A54,Dividende_je_Aktie!A$3:AM$103,19,FALSE)/VLOOKUP(A54,Schlußkurse!A$5:AU$105,47,FALSE),""),"")</f>
        <v>6.8557919621749413E-3</v>
      </c>
      <c r="P54" s="5">
        <f t="shared" si="2"/>
        <v>1.5682763018894867E-2</v>
      </c>
      <c r="Q54" s="5">
        <f ca="1">VLOOKUP(A54,Dividende_je_Aktie!A$3:AM$103,24,FALSE)/VLOOKUP(A54,Schlußkurse!A$5:AU$105,35,FALSE)</f>
        <v>1.9433434623684326E-2</v>
      </c>
      <c r="R54" s="5">
        <f t="shared" ca="1" si="3"/>
        <v>0.23915885231898137</v>
      </c>
    </row>
    <row r="55" spans="1:18" x14ac:dyDescent="0.25">
      <c r="A55" t="s">
        <v>93</v>
      </c>
      <c r="B55" t="s">
        <v>94</v>
      </c>
      <c r="C55" s="81">
        <f>IF(VLOOKUP(A55,Schlußkurse!A$5:AU$105,35,FALSE)&gt;0,IF(VLOOKUP(A55,Dividende_je_Aktie!A$3:AM$103,7,FALSE)&lt;&gt;"",VLOOKUP(A55,Dividende_je_Aktie!A$3:AM$103,7,FALSE)/VLOOKUP(A55,Schlußkurse!A$5:AU$105,35,FALSE),""),"")</f>
        <v>4.6812749003984064E-2</v>
      </c>
      <c r="D55" s="82">
        <f>IF(VLOOKUP(A55,Schlußkurse!A$5:AU$105,36,FALSE)&gt;0,IF(VLOOKUP(A55,Dividende_je_Aktie!A$3:AM$103,8,FALSE)&lt;&gt;"",VLOOKUP(A55,Dividende_je_Aktie!A$3:AM$103,8,FALSE)/VLOOKUP(A55,Schlußkurse!A$5:AU$105,36,FALSE),""),"")</f>
        <v>4.3227091633466129E-2</v>
      </c>
      <c r="E55" s="82">
        <f>IF(VLOOKUP(A55,Schlußkurse!A$5:AU$105,37,FALSE)&gt;0,IF(VLOOKUP(A55,Dividende_je_Aktie!A$3:AM$103,9,FALSE)&lt;&gt;"",VLOOKUP(A55,Dividende_je_Aktie!A$3:AM$103,9,FALSE)/VLOOKUP(A55,Schlußkurse!A$5:AU$105,37,FALSE),""),"")</f>
        <v>3.4503754820377507E-2</v>
      </c>
      <c r="F55" s="82">
        <f>IF(VLOOKUP(A55,Schlußkurse!A$5:AU$105,38,FALSE)&gt;0,IF(VLOOKUP(A55,Dividende_je_Aktie!A$3:AM$103,10,FALSE)&lt;&gt;"",VLOOKUP(A55,Dividende_je_Aktie!A$3:AM$103,10,FALSE)/VLOOKUP(A55,Schlußkurse!A$5:AU$105,38,FALSE),""),"")</f>
        <v>4.7929148215681165E-2</v>
      </c>
      <c r="G55" s="82">
        <f>IF(VLOOKUP(A55,Schlußkurse!A$5:AU$105,39,FALSE)&gt;0,IF(VLOOKUP(A55,Dividende_je_Aktie!A$3:AM$103,11,FALSE)&lt;&gt;"",VLOOKUP(A55,Dividende_je_Aktie!A$3:AM$103,11,FALSE)/VLOOKUP(A55,Schlußkurse!A$5:AU$105,39,FALSE),""),"")</f>
        <v>5.407124681933842E-2</v>
      </c>
      <c r="H55" s="82">
        <f>IF(VLOOKUP(A55,Schlußkurse!A$5:AU$105,40,FALSE)&gt;0,IF(VLOOKUP(A55,Dividende_je_Aktie!A$3:AM$103,12,FALSE)&lt;&gt;"",VLOOKUP(A55,Dividende_je_Aktie!A$3:AM$103,12,FALSE)/VLOOKUP(A55,Schlußkurse!A$5:AU$105,40,FALSE),""),"")</f>
        <v>5.3288364249578418E-2</v>
      </c>
      <c r="I55" s="82">
        <f>IF(VLOOKUP(A55,Schlußkurse!A$5:AU$105,41,FALSE)&gt;0,IF(VLOOKUP(A55,Dividende_je_Aktie!A$3:AM$103,13,FALSE)&lt;&gt;"",VLOOKUP(A55,Dividende_je_Aktie!A$3:AM$103,13,FALSE)/VLOOKUP(A55,Schlußkurse!A$5:AU$105,41,FALSE),""),"")</f>
        <v>5.9301380991064169E-2</v>
      </c>
      <c r="J55" s="82">
        <f>IF(VLOOKUP(A55,Schlußkurse!A$5:AU$105,42,FALSE)&gt;0,IF(VLOOKUP(A55,Dividende_je_Aktie!A$3:AM$103,14,FALSE)&lt;&gt;"",VLOOKUP(A55,Dividende_je_Aktie!A$3:AM$103,14,FALSE)/VLOOKUP(A55,Schlußkurse!A$5:AU$105,42,FALSE),""),"")</f>
        <v>6.7244014263881824E-2</v>
      </c>
      <c r="K55" s="82">
        <f>IF(VLOOKUP(A55,Schlußkurse!A$5:AU$105,43,FALSE)&gt;0,IF(VLOOKUP(A55,Dividende_je_Aktie!A$3:AM$103,15,FALSE)&lt;&gt;"",VLOOKUP(A55,Dividende_je_Aktie!A$3:AM$103,15,FALSE)/VLOOKUP(A55,Schlußkurse!A$5:AU$105,43,FALSE),""),"")</f>
        <v>0.11154011154011155</v>
      </c>
      <c r="L55" s="82">
        <f>IF(VLOOKUP(A55,Schlußkurse!A$5:AU$105,44,FALSE)&gt;0,IF(VLOOKUP(A55,Dividende_je_Aktie!A$3:AM$103,16,FALSE)&lt;&gt;"",VLOOKUP(A55,Dividende_je_Aktie!A$3:AM$103,16,FALSE)/VLOOKUP(A55,Schlußkurse!A$5:AU$105,44,FALSE),""),"")</f>
        <v>3.9289289289289292E-2</v>
      </c>
      <c r="M55" s="82">
        <f>IF(VLOOKUP(A55,Schlußkurse!A$5:AU$105,45,FALSE)&gt;0,IF(VLOOKUP(A55,Dividende_je_Aktie!A$3:AM$103,17,FALSE)&lt;&gt;"",VLOOKUP(A55,Dividende_je_Aktie!A$3:AM$103,17,FALSE)/VLOOKUP(A55,Schlußkurse!A$5:AU$105,45,FALSE),""),"")</f>
        <v>3.7112760567136312E-2</v>
      </c>
      <c r="N55" s="82">
        <f>IF(VLOOKUP(A55,Schlußkurse!A$5:AU$105,46,FALSE)&gt;0,IF(VLOOKUP(A55,Dividende_je_Aktie!A$3:AM$103,18,FALSE)&lt;&gt;"",VLOOKUP(A55,Dividende_je_Aktie!A$3:AM$103,18,FALSE)/VLOOKUP(A55,Schlußkurse!A$5:AU$105,46,FALSE),""),"")</f>
        <v>3.9266725742135578E-2</v>
      </c>
      <c r="O55" s="83">
        <f>IF(VLOOKUP(A55,Schlußkurse!A$5:AU$105,47,FALSE)&gt;0,IF(VLOOKUP(A55,Dividende_je_Aktie!A$3:AM$103,19,FALSE)&lt;&gt;"",VLOOKUP(A55,Dividende_je_Aktie!A$3:AM$103,19,FALSE)/VLOOKUP(A55,Schlußkurse!A$5:AU$105,47,FALSE),""),"")</f>
        <v>4.6496240601503758E-2</v>
      </c>
      <c r="P55" s="5">
        <f t="shared" si="2"/>
        <v>5.2314067518272944E-2</v>
      </c>
      <c r="Q55" s="5">
        <f ca="1">VLOOKUP(A55,Dividende_je_Aktie!A$3:AM$103,24,FALSE)/VLOOKUP(A55,Schlußkurse!A$5:AU$105,35,FALSE)</f>
        <v>4.4442231075697204E-2</v>
      </c>
      <c r="R55" s="5">
        <f t="shared" ca="1" si="3"/>
        <v>-0.15047265135379051</v>
      </c>
    </row>
    <row r="56" spans="1:18" x14ac:dyDescent="0.25">
      <c r="A56" t="s">
        <v>274</v>
      </c>
      <c r="B56" t="s">
        <v>279</v>
      </c>
      <c r="C56" s="81">
        <f>IF(VLOOKUP(A56,Schlußkurse!A$5:AU$105,35,FALSE)&gt;0,IF(VLOOKUP(A56,Dividende_je_Aktie!A$3:AM$103,7,FALSE)&lt;&gt;"",VLOOKUP(A56,Dividende_je_Aktie!A$3:AM$103,7,FALSE)/VLOOKUP(A56,Schlußkurse!A$5:AU$105,35,FALSE),""),"")</f>
        <v>1.5794179000695342E-2</v>
      </c>
      <c r="D56" s="82">
        <f>IF(VLOOKUP(A56,Schlußkurse!A$5:AU$105,36,FALSE)&gt;0,IF(VLOOKUP(A56,Dividende_je_Aktie!A$3:AM$103,8,FALSE)&lt;&gt;"",VLOOKUP(A56,Dividende_je_Aktie!A$3:AM$103,8,FALSE)/VLOOKUP(A56,Schlußkurse!A$5:AU$105,36,FALSE),""),"")</f>
        <v>1.3112148604350849E-2</v>
      </c>
      <c r="E56" s="82">
        <f>IF(VLOOKUP(A56,Schlußkurse!A$5:AU$105,37,FALSE)&gt;0,IF(VLOOKUP(A56,Dividende_je_Aktie!A$3:AM$103,9,FALSE)&lt;&gt;"",VLOOKUP(A56,Dividende_je_Aktie!A$3:AM$103,9,FALSE)/VLOOKUP(A56,Schlußkurse!A$5:AU$105,37,FALSE),""),"")</f>
        <v>1.1421451562662237E-2</v>
      </c>
      <c r="F56" s="82">
        <f>IF(VLOOKUP(A56,Schlußkurse!A$5:AU$105,38,FALSE)&gt;0,IF(VLOOKUP(A56,Dividende_je_Aktie!A$3:AM$103,10,FALSE)&lt;&gt;"",VLOOKUP(A56,Dividende_je_Aktie!A$3:AM$103,10,FALSE)/VLOOKUP(A56,Schlußkurse!A$5:AU$105,38,FALSE),""),"")</f>
        <v>1.2575101299427136E-2</v>
      </c>
      <c r="G56" s="82">
        <f>IF(VLOOKUP(A56,Schlußkurse!A$5:AU$105,39,FALSE)&gt;0,IF(VLOOKUP(A56,Dividende_je_Aktie!A$3:AM$103,11,FALSE)&lt;&gt;"",VLOOKUP(A56,Dividende_je_Aktie!A$3:AM$103,11,FALSE)/VLOOKUP(A56,Schlußkurse!A$5:AU$105,39,FALSE),""),"")</f>
        <v>1.344364012409514E-2</v>
      </c>
      <c r="H56" s="82">
        <f>IF(VLOOKUP(A56,Schlußkurse!A$5:AU$105,40,FALSE)&gt;0,IF(VLOOKUP(A56,Dividende_je_Aktie!A$3:AM$103,12,FALSE)&lt;&gt;"",VLOOKUP(A56,Dividende_je_Aktie!A$3:AM$103,12,FALSE)/VLOOKUP(A56,Schlußkurse!A$5:AU$105,40,FALSE),""),"")</f>
        <v>1.2260912211868563E-2</v>
      </c>
      <c r="I56" s="82">
        <f>IF(VLOOKUP(A56,Schlußkurse!A$5:AU$105,41,FALSE)&gt;0,IF(VLOOKUP(A56,Dividende_je_Aktie!A$3:AM$103,13,FALSE)&lt;&gt;"",VLOOKUP(A56,Dividende_je_Aktie!A$3:AM$103,13,FALSE)/VLOOKUP(A56,Schlußkurse!A$5:AU$105,41,FALSE),""),"")</f>
        <v>1.0066148979004888E-2</v>
      </c>
      <c r="J56" s="82">
        <f>IF(VLOOKUP(A56,Schlußkurse!A$5:AU$105,42,FALSE)&gt;0,IF(VLOOKUP(A56,Dividende_je_Aktie!A$3:AM$103,14,FALSE)&lt;&gt;"",VLOOKUP(A56,Dividende_je_Aktie!A$3:AM$103,14,FALSE)/VLOOKUP(A56,Schlußkurse!A$5:AU$105,42,FALSE),""),"")</f>
        <v>9.624340266997827E-3</v>
      </c>
      <c r="K56" s="82">
        <f>IF(VLOOKUP(A56,Schlußkurse!A$5:AU$105,43,FALSE)&gt;0,IF(VLOOKUP(A56,Dividende_je_Aktie!A$3:AM$103,15,FALSE)&lt;&gt;"",VLOOKUP(A56,Dividende_je_Aktie!A$3:AM$103,15,FALSE)/VLOOKUP(A56,Schlußkurse!A$5:AU$105,43,FALSE),""),"")</f>
        <v>9.046624913013222E-3</v>
      </c>
      <c r="L56" s="82">
        <f>IF(VLOOKUP(A56,Schlußkurse!A$5:AU$105,44,FALSE)&gt;0,IF(VLOOKUP(A56,Dividende_je_Aktie!A$3:AM$103,16,FALSE)&lt;&gt;"",VLOOKUP(A56,Dividende_je_Aktie!A$3:AM$103,16,FALSE)/VLOOKUP(A56,Schlußkurse!A$5:AU$105,44,FALSE),""),"")</f>
        <v>5.7861635220125785E-3</v>
      </c>
      <c r="M56" s="82">
        <f>IF(VLOOKUP(A56,Schlußkurse!A$5:AU$105,45,FALSE)&gt;0,IF(VLOOKUP(A56,Dividende_je_Aktie!A$3:AM$103,17,FALSE)&lt;&gt;"",VLOOKUP(A56,Dividende_je_Aktie!A$3:AM$103,17,FALSE)/VLOOKUP(A56,Schlußkurse!A$5:AU$105,45,FALSE),""),"")</f>
        <v>5.1763183435781304E-3</v>
      </c>
      <c r="N56" s="82">
        <f>IF(VLOOKUP(A56,Schlußkurse!A$5:AU$105,46,FALSE)&gt;0,IF(VLOOKUP(A56,Dividende_je_Aktie!A$3:AM$103,18,FALSE)&lt;&gt;"",VLOOKUP(A56,Dividende_je_Aktie!A$3:AM$103,18,FALSE)/VLOOKUP(A56,Schlußkurse!A$5:AU$105,46,FALSE),""),"")</f>
        <v>5.3090633295411454E-3</v>
      </c>
      <c r="O56" s="83">
        <f>IF(VLOOKUP(A56,Schlußkurse!A$5:AU$105,47,FALSE)&gt;0,IF(VLOOKUP(A56,Dividende_je_Aktie!A$3:AM$103,19,FALSE)&lt;&gt;"",VLOOKUP(A56,Dividende_je_Aktie!A$3:AM$103,19,FALSE)/VLOOKUP(A56,Schlußkurse!A$5:AU$105,47,FALSE),""),"")</f>
        <v>5.7598582188746125E-3</v>
      </c>
      <c r="P56" s="5">
        <f t="shared" si="2"/>
        <v>9.9519961827785903E-3</v>
      </c>
      <c r="Q56" s="5">
        <f ca="1">VLOOKUP(A56,Dividende_je_Aktie!A$3:AM$103,24,FALSE)/VLOOKUP(A56,Schlußkurse!A$5:AU$105,35,FALSE)</f>
        <v>1.4021058905334262E-2</v>
      </c>
      <c r="R56" s="5">
        <f t="shared" ca="1" si="3"/>
        <v>0.40886899952764977</v>
      </c>
    </row>
    <row r="57" spans="1:18" x14ac:dyDescent="0.25">
      <c r="A57" t="s">
        <v>291</v>
      </c>
      <c r="B57" t="s">
        <v>292</v>
      </c>
      <c r="C57" s="81">
        <f>IF(VLOOKUP(A57,Schlußkurse!A$5:AU$105,35,FALSE)&gt;0,IF(VLOOKUP(A57,Dividende_je_Aktie!A$3:AM$103,7,FALSE)&lt;&gt;"",VLOOKUP(A57,Dividende_je_Aktie!A$3:AM$103,7,FALSE)/VLOOKUP(A57,Schlußkurse!A$5:AU$105,35,FALSE),""),"")</f>
        <v>2.8915662650602407E-2</v>
      </c>
      <c r="D57" s="82">
        <f>IF(VLOOKUP(A57,Schlußkurse!A$5:AU$105,36,FALSE)&gt;0,IF(VLOOKUP(A57,Dividende_je_Aktie!A$3:AM$103,8,FALSE)&lt;&gt;"",VLOOKUP(A57,Dividende_je_Aktie!A$3:AM$103,8,FALSE)/VLOOKUP(A57,Schlußkurse!A$5:AU$105,36,FALSE),""),"")</f>
        <v>2.7194492254733218E-2</v>
      </c>
      <c r="E57" s="82">
        <f>IF(VLOOKUP(A57,Schlußkurse!A$5:AU$105,37,FALSE)&gt;0,IF(VLOOKUP(A57,Dividende_je_Aktie!A$3:AM$103,9,FALSE)&lt;&gt;"",VLOOKUP(A57,Dividende_je_Aktie!A$3:AM$103,9,FALSE)/VLOOKUP(A57,Schlußkurse!A$5:AU$105,37,FALSE),""),"")</f>
        <v>2.8537455410225919E-2</v>
      </c>
      <c r="F57" s="82">
        <f>IF(VLOOKUP(A57,Schlußkurse!A$5:AU$105,38,FALSE)&gt;0,IF(VLOOKUP(A57,Dividende_je_Aktie!A$3:AM$103,10,FALSE)&lt;&gt;"",VLOOKUP(A57,Dividende_je_Aktie!A$3:AM$103,10,FALSE)/VLOOKUP(A57,Schlußkurse!A$5:AU$105,38,FALSE),""),"")</f>
        <v>2.4228214146150839E-2</v>
      </c>
      <c r="G57" s="82">
        <f>IF(VLOOKUP(A57,Schlußkurse!A$5:AU$105,39,FALSE)&gt;0,IF(VLOOKUP(A57,Dividende_je_Aktie!A$3:AM$103,11,FALSE)&lt;&gt;"",VLOOKUP(A57,Dividende_je_Aktie!A$3:AM$103,11,FALSE)/VLOOKUP(A57,Schlußkurse!A$5:AU$105,39,FALSE),""),"")</f>
        <v>1.7554858934169283E-2</v>
      </c>
      <c r="H57" s="82">
        <f>IF(VLOOKUP(A57,Schlußkurse!A$5:AU$105,40,FALSE)&gt;0,IF(VLOOKUP(A57,Dividende_je_Aktie!A$3:AM$103,12,FALSE)&lt;&gt;"",VLOOKUP(A57,Dividende_je_Aktie!A$3:AM$103,12,FALSE)/VLOOKUP(A57,Schlußkurse!A$5:AU$105,40,FALSE),""),"")</f>
        <v>7.514088916718847E-3</v>
      </c>
      <c r="I57" s="82">
        <f>IF(VLOOKUP(A57,Schlußkurse!A$5:AU$105,41,FALSE)&gt;0,IF(VLOOKUP(A57,Dividende_je_Aktie!A$3:AM$103,13,FALSE)&lt;&gt;"",VLOOKUP(A57,Dividende_je_Aktie!A$3:AM$103,13,FALSE)/VLOOKUP(A57,Schlußkurse!A$5:AU$105,41,FALSE),""),"")</f>
        <v>0</v>
      </c>
      <c r="J57" s="82">
        <f>IF(VLOOKUP(A57,Schlußkurse!A$5:AU$105,42,FALSE)&gt;0,IF(VLOOKUP(A57,Dividende_je_Aktie!A$3:AM$103,14,FALSE)&lt;&gt;"",VLOOKUP(A57,Dividende_je_Aktie!A$3:AM$103,14,FALSE)/VLOOKUP(A57,Schlußkurse!A$5:AU$105,42,FALSE),""),"")</f>
        <v>0</v>
      </c>
      <c r="K57" s="82">
        <f>IF(VLOOKUP(A57,Schlußkurse!A$5:AU$105,43,FALSE)&gt;0,IF(VLOOKUP(A57,Dividende_je_Aktie!A$3:AM$103,15,FALSE)&lt;&gt;"",VLOOKUP(A57,Dividende_je_Aktie!A$3:AM$103,15,FALSE)/VLOOKUP(A57,Schlußkurse!A$5:AU$105,43,FALSE),""),"")</f>
        <v>0</v>
      </c>
      <c r="L57" s="82">
        <f>IF(VLOOKUP(A57,Schlußkurse!A$5:AU$105,44,FALSE)&gt;0,IF(VLOOKUP(A57,Dividende_je_Aktie!A$3:AM$103,16,FALSE)&lt;&gt;"",VLOOKUP(A57,Dividende_je_Aktie!A$3:AM$103,16,FALSE)/VLOOKUP(A57,Schlußkurse!A$5:AU$105,44,FALSE),""),"")</f>
        <v>0</v>
      </c>
      <c r="M57" s="82">
        <f>IF(VLOOKUP(A57,Schlußkurse!A$5:AU$105,45,FALSE)&gt;0,IF(VLOOKUP(A57,Dividende_je_Aktie!A$3:AM$103,17,FALSE)&lt;&gt;"",VLOOKUP(A57,Dividende_je_Aktie!A$3:AM$103,17,FALSE)/VLOOKUP(A57,Schlußkurse!A$5:AU$105,45,FALSE),""),"")</f>
        <v>0</v>
      </c>
      <c r="N57" s="82">
        <f>IF(VLOOKUP(A57,Schlußkurse!A$5:AU$105,46,FALSE)&gt;0,IF(VLOOKUP(A57,Dividende_je_Aktie!A$3:AM$103,18,FALSE)&lt;&gt;"",VLOOKUP(A57,Dividende_je_Aktie!A$3:AM$103,18,FALSE)/VLOOKUP(A57,Schlußkurse!A$5:AU$105,46,FALSE),""),"")</f>
        <v>0</v>
      </c>
      <c r="O57" s="83">
        <f>IF(VLOOKUP(A57,Schlußkurse!A$5:AU$105,47,FALSE)&gt;0,IF(VLOOKUP(A57,Dividende_je_Aktie!A$3:AM$103,19,FALSE)&lt;&gt;"",VLOOKUP(A57,Dividende_je_Aktie!A$3:AM$103,19,FALSE)/VLOOKUP(A57,Schlußkurse!A$5:AU$105,47,FALSE),""),"")</f>
        <v>0</v>
      </c>
      <c r="P57" s="5">
        <f t="shared" si="2"/>
        <v>1.0303444024046192E-2</v>
      </c>
      <c r="Q57" s="5">
        <f ca="1">VLOOKUP(A57,Dividende_je_Aktie!A$3:AM$103,24,FALSE)/VLOOKUP(A57,Schlußkurse!A$5:AU$105,35,FALSE)</f>
        <v>2.8494932109389939E-2</v>
      </c>
      <c r="R57" s="5">
        <f t="shared" ca="1" si="3"/>
        <v>1.7655735347218293</v>
      </c>
    </row>
    <row r="58" spans="1:18" x14ac:dyDescent="0.25">
      <c r="A58" t="s">
        <v>272</v>
      </c>
      <c r="B58" t="s">
        <v>277</v>
      </c>
      <c r="C58" s="81">
        <f>IF(VLOOKUP(A58,Schlußkurse!A$5:AU$105,35,FALSE)&gt;0,IF(VLOOKUP(A58,Dividende_je_Aktie!A$3:AM$103,7,FALSE)&lt;&gt;"",VLOOKUP(A58,Dividende_je_Aktie!A$3:AM$103,7,FALSE)/VLOOKUP(A58,Schlußkurse!A$5:AU$105,35,FALSE),""),"")</f>
        <v>2.7365866810461034E-2</v>
      </c>
      <c r="D58" s="82">
        <f>IF(VLOOKUP(A58,Schlußkurse!A$5:AU$105,36,FALSE)&gt;0,IF(VLOOKUP(A58,Dividende_je_Aktie!A$3:AM$103,8,FALSE)&lt;&gt;"",VLOOKUP(A58,Dividende_je_Aktie!A$3:AM$103,8,FALSE)/VLOOKUP(A58,Schlußkurse!A$5:AU$105,36,FALSE),""),"")</f>
        <v>2.6017794553788078E-2</v>
      </c>
      <c r="E58" s="82">
        <f>IF(VLOOKUP(A58,Schlußkurse!A$5:AU$105,37,FALSE)&gt;0,IF(VLOOKUP(A58,Dividende_je_Aktie!A$3:AM$103,9,FALSE)&lt;&gt;"",VLOOKUP(A58,Dividende_je_Aktie!A$3:AM$103,9,FALSE)/VLOOKUP(A58,Schlußkurse!A$5:AU$105,37,FALSE),""),"")</f>
        <v>2.4885041925885854E-2</v>
      </c>
      <c r="F58" s="82">
        <f>IF(VLOOKUP(A58,Schlußkurse!A$5:AU$105,38,FALSE)&gt;0,IF(VLOOKUP(A58,Dividende_je_Aktie!A$3:AM$103,10,FALSE)&lt;&gt;"",VLOOKUP(A58,Dividende_je_Aktie!A$3:AM$103,10,FALSE)/VLOOKUP(A58,Schlußkurse!A$5:AU$105,38,FALSE),""),"")</f>
        <v>2.7397260273972605E-2</v>
      </c>
      <c r="G58" s="82">
        <f>IF(VLOOKUP(A58,Schlußkurse!A$5:AU$105,39,FALSE)&gt;0,IF(VLOOKUP(A58,Dividende_je_Aktie!A$3:AM$103,11,FALSE)&lt;&gt;"",VLOOKUP(A58,Dividende_je_Aktie!A$3:AM$103,11,FALSE)/VLOOKUP(A58,Schlußkurse!A$5:AU$105,39,FALSE),""),"")</f>
        <v>3.7795835788209921E-2</v>
      </c>
      <c r="H58" s="82">
        <f>IF(VLOOKUP(A58,Schlußkurse!A$5:AU$105,40,FALSE)&gt;0,IF(VLOOKUP(A58,Dividende_je_Aktie!A$3:AM$103,12,FALSE)&lt;&gt;"",VLOOKUP(A58,Dividende_je_Aktie!A$3:AM$103,12,FALSE)/VLOOKUP(A58,Schlußkurse!A$5:AU$105,40,FALSE),""),"")</f>
        <v>3.5823503713411968E-2</v>
      </c>
      <c r="I58" s="82">
        <f>IF(VLOOKUP(A58,Schlußkurse!A$5:AU$105,41,FALSE)&gt;0,IF(VLOOKUP(A58,Dividende_je_Aktie!A$3:AM$103,13,FALSE)&lt;&gt;"",VLOOKUP(A58,Dividende_je_Aktie!A$3:AM$103,13,FALSE)/VLOOKUP(A58,Schlußkurse!A$5:AU$105,41,FALSE),""),"")</f>
        <v>3.2878909382518043E-2</v>
      </c>
      <c r="J58" s="82">
        <f>IF(VLOOKUP(A58,Schlußkurse!A$5:AU$105,42,FALSE)&gt;0,IF(VLOOKUP(A58,Dividende_je_Aktie!A$3:AM$103,14,FALSE)&lt;&gt;"",VLOOKUP(A58,Dividende_je_Aktie!A$3:AM$103,14,FALSE)/VLOOKUP(A58,Schlußkurse!A$5:AU$105,42,FALSE),""),"")</f>
        <v>4.87080487080487E-2</v>
      </c>
      <c r="K58" s="82">
        <f>IF(VLOOKUP(A58,Schlußkurse!A$5:AU$105,43,FALSE)&gt;0,IF(VLOOKUP(A58,Dividende_je_Aktie!A$3:AM$103,15,FALSE)&lt;&gt;"",VLOOKUP(A58,Dividende_je_Aktie!A$3:AM$103,15,FALSE)/VLOOKUP(A58,Schlußkurse!A$5:AU$105,43,FALSE),""),"")</f>
        <v>6.4822134387351779E-2</v>
      </c>
      <c r="L58" s="82">
        <f>IF(VLOOKUP(A58,Schlußkurse!A$5:AU$105,44,FALSE)&gt;0,IF(VLOOKUP(A58,Dividende_je_Aktie!A$3:AM$103,16,FALSE)&lt;&gt;"",VLOOKUP(A58,Dividende_je_Aktie!A$3:AM$103,16,FALSE)/VLOOKUP(A58,Schlußkurse!A$5:AU$105,44,FALSE),""),"")</f>
        <v>3.447493762757995E-2</v>
      </c>
      <c r="M58" s="82">
        <f>IF(VLOOKUP(A58,Schlußkurse!A$5:AU$105,45,FALSE)&gt;0,IF(VLOOKUP(A58,Dividende_je_Aktie!A$3:AM$103,17,FALSE)&lt;&gt;"",VLOOKUP(A58,Dividende_je_Aktie!A$3:AM$103,17,FALSE)/VLOOKUP(A58,Schlußkurse!A$5:AU$105,45,FALSE),""),"")</f>
        <v>3.0327868852459017E-2</v>
      </c>
      <c r="N58" s="82">
        <f>IF(VLOOKUP(A58,Schlußkurse!A$5:AU$105,46,FALSE)&gt;0,IF(VLOOKUP(A58,Dividende_je_Aktie!A$3:AM$103,18,FALSE)&lt;&gt;"",VLOOKUP(A58,Dividende_je_Aktie!A$3:AM$103,18,FALSE)/VLOOKUP(A58,Schlußkurse!A$5:AU$105,46,FALSE),""),"")</f>
        <v>3.4352941176470586E-2</v>
      </c>
      <c r="O58" s="83">
        <f>IF(VLOOKUP(A58,Schlußkurse!A$5:AU$105,47,FALSE)&gt;0,IF(VLOOKUP(A58,Dividende_je_Aktie!A$3:AM$103,19,FALSE)&lt;&gt;"",VLOOKUP(A58,Dividende_je_Aktie!A$3:AM$103,19,FALSE)/VLOOKUP(A58,Schlußkurse!A$5:AU$105,47,FALSE),""),"")</f>
        <v>2.8542303771661569E-2</v>
      </c>
      <c r="P58" s="5">
        <f t="shared" si="2"/>
        <v>3.4876342074755318E-2</v>
      </c>
      <c r="Q58" s="5">
        <f ca="1">VLOOKUP(A58,Dividende_je_Aktie!A$3:AM$103,24,FALSE)/VLOOKUP(A58,Schlußkurse!A$5:AU$105,35,FALSE)</f>
        <v>2.6474641262993912E-2</v>
      </c>
      <c r="R58" s="5">
        <f t="shared" ca="1" si="3"/>
        <v>-0.24089971344336714</v>
      </c>
    </row>
    <row r="59" spans="1:18" x14ac:dyDescent="0.25">
      <c r="A59" t="s">
        <v>97</v>
      </c>
      <c r="B59" t="s">
        <v>98</v>
      </c>
      <c r="C59" s="81">
        <f>IF(VLOOKUP(A59,Schlußkurse!A$5:AU$105,35,FALSE)&gt;0,IF(VLOOKUP(A59,Dividende_je_Aktie!A$3:AM$103,7,FALSE)&lt;&gt;"",VLOOKUP(A59,Dividende_je_Aktie!A$3:AM$103,7,FALSE)/VLOOKUP(A59,Schlußkurse!A$5:AU$105,35,FALSE),""),"")</f>
        <v>3.1671765341011335E-2</v>
      </c>
      <c r="D59" s="82">
        <f>IF(VLOOKUP(A59,Schlußkurse!A$5:AU$105,36,FALSE)&gt;0,IF(VLOOKUP(A59,Dividende_je_Aktie!A$3:AM$103,8,FALSE)&lt;&gt;"",VLOOKUP(A59,Dividende_je_Aktie!A$3:AM$103,8,FALSE)/VLOOKUP(A59,Schlußkurse!A$5:AU$105,36,FALSE),""),"")</f>
        <v>2.9512326795033291E-2</v>
      </c>
      <c r="E59" s="82">
        <f>IF(VLOOKUP(A59,Schlußkurse!A$5:AU$105,37,FALSE)&gt;0,IF(VLOOKUP(A59,Dividende_je_Aktie!A$3:AM$103,9,FALSE)&lt;&gt;"",VLOOKUP(A59,Dividende_je_Aktie!A$3:AM$103,9,FALSE)/VLOOKUP(A59,Schlußkurse!A$5:AU$105,37,FALSE),""),"")</f>
        <v>2.8217731658474424E-2</v>
      </c>
      <c r="F59" s="82">
        <f>IF(VLOOKUP(A59,Schlußkurse!A$5:AU$105,38,FALSE)&gt;0,IF(VLOOKUP(A59,Dividende_je_Aktie!A$3:AM$103,10,FALSE)&lt;&gt;"",VLOOKUP(A59,Dividende_je_Aktie!A$3:AM$103,10,FALSE)/VLOOKUP(A59,Schlußkurse!A$5:AU$105,38,FALSE),""),"")</f>
        <v>2.8037383177570097E-2</v>
      </c>
      <c r="G59" s="82">
        <f>IF(VLOOKUP(A59,Schlußkurse!A$5:AU$105,39,FALSE)&gt;0,IF(VLOOKUP(A59,Dividende_je_Aktie!A$3:AM$103,11,FALSE)&lt;&gt;"",VLOOKUP(A59,Dividende_je_Aktie!A$3:AM$103,11,FALSE)/VLOOKUP(A59,Schlußkurse!A$5:AU$105,39,FALSE),""),"")</f>
        <v>3.1833007175472924E-2</v>
      </c>
      <c r="H59" s="82">
        <f>IF(VLOOKUP(A59,Schlußkurse!A$5:AU$105,40,FALSE)&gt;0,IF(VLOOKUP(A59,Dividende_je_Aktie!A$3:AM$103,12,FALSE)&lt;&gt;"",VLOOKUP(A59,Dividende_je_Aktie!A$3:AM$103,12,FALSE)/VLOOKUP(A59,Schlußkurse!A$5:AU$105,40,FALSE),""),"")</f>
        <v>2.8161931103847123E-2</v>
      </c>
      <c r="I59" s="82">
        <f>IF(VLOOKUP(A59,Schlußkurse!A$5:AU$105,41,FALSE)&gt;0,IF(VLOOKUP(A59,Dividende_je_Aktie!A$3:AM$103,13,FALSE)&lt;&gt;"",VLOOKUP(A59,Dividende_je_Aktie!A$3:AM$103,13,FALSE)/VLOOKUP(A59,Schlußkurse!A$5:AU$105,41,FALSE),""),"")</f>
        <v>2.6954934718517475E-2</v>
      </c>
      <c r="J59" s="82">
        <f>IF(VLOOKUP(A59,Schlußkurse!A$5:AU$105,42,FALSE)&gt;0,IF(VLOOKUP(A59,Dividende_je_Aktie!A$3:AM$103,14,FALSE)&lt;&gt;"",VLOOKUP(A59,Dividende_je_Aktie!A$3:AM$103,14,FALSE)/VLOOKUP(A59,Schlußkurse!A$5:AU$105,42,FALSE),""),"")</f>
        <v>3.3606877686596329E-2</v>
      </c>
      <c r="K59" s="82">
        <f>IF(VLOOKUP(A59,Schlußkurse!A$5:AU$105,43,FALSE)&gt;0,IF(VLOOKUP(A59,Dividende_je_Aktie!A$3:AM$103,15,FALSE)&lt;&gt;"",VLOOKUP(A59,Dividende_je_Aktie!A$3:AM$103,15,FALSE)/VLOOKUP(A59,Schlußkurse!A$5:AU$105,43,FALSE),""),"")</f>
        <v>2.5000000000000001E-2</v>
      </c>
      <c r="L59" s="82">
        <f>IF(VLOOKUP(A59,Schlußkurse!A$5:AU$105,44,FALSE)&gt;0,IF(VLOOKUP(A59,Dividende_je_Aktie!A$3:AM$103,16,FALSE)&lt;&gt;"",VLOOKUP(A59,Dividende_je_Aktie!A$3:AM$103,16,FALSE)/VLOOKUP(A59,Schlußkurse!A$5:AU$105,44,FALSE),""),"")</f>
        <v>2.3529411764705882E-2</v>
      </c>
      <c r="M59" s="82">
        <f>IF(VLOOKUP(A59,Schlußkurse!A$5:AU$105,45,FALSE)&gt;0,IF(VLOOKUP(A59,Dividende_je_Aktie!A$3:AM$103,17,FALSE)&lt;&gt;"",VLOOKUP(A59,Dividende_je_Aktie!A$3:AM$103,17,FALSE)/VLOOKUP(A59,Schlußkurse!A$5:AU$105,45,FALSE),""),"")</f>
        <v>2.5823858161495471E-2</v>
      </c>
      <c r="N59" s="82">
        <f>IF(VLOOKUP(A59,Schlußkurse!A$5:AU$105,46,FALSE)&gt;0,IF(VLOOKUP(A59,Dividende_je_Aktie!A$3:AM$103,18,FALSE)&lt;&gt;"",VLOOKUP(A59,Dividende_je_Aktie!A$3:AM$103,18,FALSE)/VLOOKUP(A59,Schlußkurse!A$5:AU$105,46,FALSE),""),"")</f>
        <v>2.5050505050505049E-2</v>
      </c>
      <c r="O59" s="83">
        <f>IF(VLOOKUP(A59,Schlußkurse!A$5:AU$105,47,FALSE)&gt;0,IF(VLOOKUP(A59,Dividende_je_Aktie!A$3:AM$103,19,FALSE)&lt;&gt;"",VLOOKUP(A59,Dividende_je_Aktie!A$3:AM$103,19,FALSE)/VLOOKUP(A59,Schlußkurse!A$5:AU$105,47,FALSE),""),"")</f>
        <v>2.3887079261672099E-2</v>
      </c>
      <c r="P59" s="5">
        <f t="shared" si="2"/>
        <v>2.7791293222684737E-2</v>
      </c>
      <c r="Q59" s="5">
        <f ca="1">VLOOKUP(A59,Dividende_je_Aktie!A$3:AM$103,24,FALSE)/VLOOKUP(A59,Schlußkurse!A$5:AU$105,35,FALSE)</f>
        <v>3.1503809009657491E-2</v>
      </c>
      <c r="R59" s="5">
        <f t="shared" ca="1" si="3"/>
        <v>0.13358557146748384</v>
      </c>
    </row>
    <row r="60" spans="1:18" x14ac:dyDescent="0.25">
      <c r="A60" t="s">
        <v>259</v>
      </c>
      <c r="B60" t="s">
        <v>260</v>
      </c>
      <c r="C60" s="81">
        <f>IF(VLOOKUP(A60,Schlußkurse!A$5:AU$105,35,FALSE)&gt;0,IF(VLOOKUP(A60,Dividende_je_Aktie!A$3:AM$103,7,FALSE)&lt;&gt;"",VLOOKUP(A60,Dividende_je_Aktie!A$3:AM$103,7,FALSE)/VLOOKUP(A60,Schlußkurse!A$5:AU$105,35,FALSE),""),"")</f>
        <v>3.1871252761123382E-2</v>
      </c>
      <c r="D60" s="82">
        <f>IF(VLOOKUP(A60,Schlußkurse!A$5:AU$105,36,FALSE)&gt;0,IF(VLOOKUP(A60,Dividende_je_Aktie!A$3:AM$103,8,FALSE)&lt;&gt;"",VLOOKUP(A60,Dividende_je_Aktie!A$3:AM$103,8,FALSE)/VLOOKUP(A60,Schlußkurse!A$5:AU$105,36,FALSE),""),"")</f>
        <v>3.0609024928999681E-2</v>
      </c>
      <c r="E60" s="82">
        <f>IF(VLOOKUP(A60,Schlußkurse!A$5:AU$105,37,FALSE)&gt;0,IF(VLOOKUP(A60,Dividende_je_Aktie!A$3:AM$103,9,FALSE)&lt;&gt;"",VLOOKUP(A60,Dividende_je_Aktie!A$3:AM$103,9,FALSE)/VLOOKUP(A60,Schlußkurse!A$5:AU$105,37,FALSE),""),"")</f>
        <v>2.9034229828850854E-2</v>
      </c>
      <c r="F60" s="82">
        <f>IF(VLOOKUP(A60,Schlußkurse!A$5:AU$105,38,FALSE)&gt;0,IF(VLOOKUP(A60,Dividende_je_Aktie!A$3:AM$103,10,FALSE)&lt;&gt;"",VLOOKUP(A60,Dividende_je_Aktie!A$3:AM$103,10,FALSE)/VLOOKUP(A60,Schlußkurse!A$5:AU$105,38,FALSE),""),"")</f>
        <v>2.9474373669559524E-2</v>
      </c>
      <c r="G60" s="82">
        <f>IF(VLOOKUP(A60,Schlußkurse!A$5:AU$105,39,FALSE)&gt;0,IF(VLOOKUP(A60,Dividende_je_Aktie!A$3:AM$103,11,FALSE)&lt;&gt;"",VLOOKUP(A60,Dividende_je_Aktie!A$3:AM$103,11,FALSE)/VLOOKUP(A60,Schlußkurse!A$5:AU$105,39,FALSE),""),"")</f>
        <v>3.1154879140555057E-2</v>
      </c>
      <c r="H60" s="82">
        <f>IF(VLOOKUP(A60,Schlußkurse!A$5:AU$105,40,FALSE)&gt;0,IF(VLOOKUP(A60,Dividende_je_Aktie!A$3:AM$103,12,FALSE)&lt;&gt;"",VLOOKUP(A60,Dividende_je_Aktie!A$3:AM$103,12,FALSE)/VLOOKUP(A60,Schlußkurse!A$5:AU$105,40,FALSE),""),"")</f>
        <v>3.3023531738184696E-2</v>
      </c>
      <c r="I60" s="82">
        <f>IF(VLOOKUP(A60,Schlußkurse!A$5:AU$105,41,FALSE)&gt;0,IF(VLOOKUP(A60,Dividende_je_Aktie!A$3:AM$103,13,FALSE)&lt;&gt;"",VLOOKUP(A60,Dividende_je_Aktie!A$3:AM$103,13,FALSE)/VLOOKUP(A60,Schlußkurse!A$5:AU$105,41,FALSE),""),"")</f>
        <v>3.054032889584965E-2</v>
      </c>
      <c r="J60" s="82">
        <f>IF(VLOOKUP(A60,Schlußkurse!A$5:AU$105,42,FALSE)&gt;0,IF(VLOOKUP(A60,Dividende_je_Aktie!A$3:AM$103,14,FALSE)&lt;&gt;"",VLOOKUP(A60,Dividende_je_Aktie!A$3:AM$103,14,FALSE)/VLOOKUP(A60,Schlußkurse!A$5:AU$105,42,FALSE),""),"")</f>
        <v>2.6879699248120299E-2</v>
      </c>
      <c r="K60" s="82">
        <f>IF(VLOOKUP(A60,Schlußkurse!A$5:AU$105,43,FALSE)&gt;0,IF(VLOOKUP(A60,Dividende_je_Aktie!A$3:AM$103,15,FALSE)&lt;&gt;"",VLOOKUP(A60,Dividende_je_Aktie!A$3:AM$103,15,FALSE)/VLOOKUP(A60,Schlußkurse!A$5:AU$105,43,FALSE),""),"")</f>
        <v>2.9646522234891677E-2</v>
      </c>
      <c r="L60" s="82">
        <f>IF(VLOOKUP(A60,Schlußkurse!A$5:AU$105,44,FALSE)&gt;0,IF(VLOOKUP(A60,Dividende_je_Aktie!A$3:AM$103,16,FALSE)&lt;&gt;"",VLOOKUP(A60,Dividende_je_Aktie!A$3:AM$103,16,FALSE)/VLOOKUP(A60,Schlußkurse!A$5:AU$105,44,FALSE),""),"")</f>
        <v>2.2887659736791913E-2</v>
      </c>
      <c r="M60" s="82">
        <f>IF(VLOOKUP(A60,Schlußkurse!A$5:AU$105,45,FALSE)&gt;0,IF(VLOOKUP(A60,Dividende_je_Aktie!A$3:AM$103,17,FALSE)&lt;&gt;"",VLOOKUP(A60,Dividende_je_Aktie!A$3:AM$103,17,FALSE)/VLOOKUP(A60,Schlußkurse!A$5:AU$105,45,FALSE),""),"")</f>
        <v>2.27363382528919E-2</v>
      </c>
      <c r="N60" s="82">
        <f>IF(VLOOKUP(A60,Schlußkurse!A$5:AU$105,46,FALSE)&gt;0,IF(VLOOKUP(A60,Dividende_je_Aktie!A$3:AM$103,18,FALSE)&lt;&gt;"",VLOOKUP(A60,Dividende_je_Aktie!A$3:AM$103,18,FALSE)/VLOOKUP(A60,Schlußkurse!A$5:AU$105,46,FALSE),""),"")</f>
        <v>2.4217500571167467E-2</v>
      </c>
      <c r="O60" s="83" t="str">
        <f>IF(VLOOKUP(A60,Schlußkurse!A$5:AU$105,47,FALSE)&gt;0,IF(VLOOKUP(A60,Dividende_je_Aktie!A$3:AM$103,19,FALSE)&lt;&gt;"",VLOOKUP(A60,Dividende_je_Aktie!A$3:AM$103,19,FALSE)/VLOOKUP(A60,Schlußkurse!A$5:AU$105,47,FALSE),""),"")</f>
        <v/>
      </c>
      <c r="P60" s="5">
        <f t="shared" si="2"/>
        <v>2.8506278417248843E-2</v>
      </c>
      <c r="Q60" s="5">
        <f ca="1">VLOOKUP(A60,Dividende_je_Aktie!A$3:AM$103,24,FALSE)/VLOOKUP(A60,Schlußkurse!A$5:AU$105,35,FALSE)</f>
        <v>3.1036779916552713E-2</v>
      </c>
      <c r="R60" s="5">
        <f t="shared" ca="1" si="3"/>
        <v>8.8769970680307786E-2</v>
      </c>
    </row>
    <row r="61" spans="1:18" x14ac:dyDescent="0.25">
      <c r="A61" t="s">
        <v>99</v>
      </c>
      <c r="B61" t="s">
        <v>100</v>
      </c>
      <c r="C61" s="81">
        <f>IF(VLOOKUP(A61,Schlußkurse!A$5:AU$105,35,FALSE)&gt;0,IF(VLOOKUP(A61,Dividende_je_Aktie!A$3:AM$103,7,FALSE)&lt;&gt;"",VLOOKUP(A61,Dividende_je_Aktie!A$3:AM$103,7,FALSE)/VLOOKUP(A61,Schlußkurse!A$5:AU$105,35,FALSE),""),"")</f>
        <v>3.2966040462427744E-2</v>
      </c>
      <c r="D61" s="82">
        <f>IF(VLOOKUP(A61,Schlußkurse!A$5:AU$105,36,FALSE)&gt;0,IF(VLOOKUP(A61,Dividende_je_Aktie!A$3:AM$103,8,FALSE)&lt;&gt;"",VLOOKUP(A61,Dividende_je_Aktie!A$3:AM$103,8,FALSE)/VLOOKUP(A61,Schlußkurse!A$5:AU$105,36,FALSE),""),"")</f>
        <v>3.1159682080924858E-2</v>
      </c>
      <c r="E61" s="82">
        <f>IF(VLOOKUP(A61,Schlußkurse!A$5:AU$105,37,FALSE)&gt;0,IF(VLOOKUP(A61,Dividende_je_Aktie!A$3:AM$103,9,FALSE)&lt;&gt;"",VLOOKUP(A61,Dividende_je_Aktie!A$3:AM$103,9,FALSE)/VLOOKUP(A61,Schlußkurse!A$5:AU$105,37,FALSE),""),"")</f>
        <v>2.9080837805089143E-2</v>
      </c>
      <c r="F61" s="82">
        <f>IF(VLOOKUP(A61,Schlußkurse!A$5:AU$105,38,FALSE)&gt;0,IF(VLOOKUP(A61,Dividende_je_Aktie!A$3:AM$103,10,FALSE)&lt;&gt;"",VLOOKUP(A61,Dividende_je_Aktie!A$3:AM$103,10,FALSE)/VLOOKUP(A61,Schlußkurse!A$5:AU$105,38,FALSE),""),"")</f>
        <v>3.1016657093624358E-2</v>
      </c>
      <c r="G61" s="82">
        <f>IF(VLOOKUP(A61,Schlußkurse!A$5:AU$105,39,FALSE)&gt;0,IF(VLOOKUP(A61,Dividende_je_Aktie!A$3:AM$103,11,FALSE)&lt;&gt;"",VLOOKUP(A61,Dividende_je_Aktie!A$3:AM$103,11,FALSE)/VLOOKUP(A61,Schlußkurse!A$5:AU$105,39,FALSE),""),"")</f>
        <v>3.5058628449603217E-2</v>
      </c>
      <c r="H61" s="82">
        <f>IF(VLOOKUP(A61,Schlußkurse!A$5:AU$105,40,FALSE)&gt;0,IF(VLOOKUP(A61,Dividende_je_Aktie!A$3:AM$103,12,FALSE)&lt;&gt;"",VLOOKUP(A61,Dividende_je_Aktie!A$3:AM$103,12,FALSE)/VLOOKUP(A61,Schlußkurse!A$5:AU$105,40,FALSE),""),"")</f>
        <v>3.8064165307232188E-2</v>
      </c>
      <c r="I61" s="82">
        <f>IF(VLOOKUP(A61,Schlußkurse!A$5:AU$105,41,FALSE)&gt;0,IF(VLOOKUP(A61,Dividende_je_Aktie!A$3:AM$103,13,FALSE)&lt;&gt;"",VLOOKUP(A61,Dividende_je_Aktie!A$3:AM$103,13,FALSE)/VLOOKUP(A61,Schlußkurse!A$5:AU$105,41,FALSE),""),"")</f>
        <v>4.1878172588832488E-2</v>
      </c>
      <c r="J61" s="82">
        <f>IF(VLOOKUP(A61,Schlußkurse!A$5:AU$105,42,FALSE)&gt;0,IF(VLOOKUP(A61,Dividende_je_Aktie!A$3:AM$103,14,FALSE)&lt;&gt;"",VLOOKUP(A61,Dividende_je_Aktie!A$3:AM$103,14,FALSE)/VLOOKUP(A61,Schlußkurse!A$5:AU$105,42,FALSE),""),"")</f>
        <v>3.7670695338251452E-2</v>
      </c>
      <c r="K61" s="82">
        <f>IF(VLOOKUP(A61,Schlußkurse!A$5:AU$105,43,FALSE)&gt;0,IF(VLOOKUP(A61,Dividende_je_Aktie!A$3:AM$103,15,FALSE)&lt;&gt;"",VLOOKUP(A61,Dividende_je_Aktie!A$3:AM$103,15,FALSE)/VLOOKUP(A61,Schlußkurse!A$5:AU$105,43,FALSE),""),"")</f>
        <v>4.3989381873340914E-2</v>
      </c>
      <c r="L61" s="82">
        <f>IF(VLOOKUP(A61,Schlußkurse!A$5:AU$105,44,FALSE)&gt;0,IF(VLOOKUP(A61,Dividende_je_Aktie!A$3:AM$103,16,FALSE)&lt;&gt;"",VLOOKUP(A61,Dividende_je_Aktie!A$3:AM$103,16,FALSE)/VLOOKUP(A61,Schlußkurse!A$5:AU$105,44,FALSE),""),"")</f>
        <v>3.0573983270839343E-2</v>
      </c>
      <c r="M61" s="82">
        <f>IF(VLOOKUP(A61,Schlußkurse!A$5:AU$105,45,FALSE)&gt;0,IF(VLOOKUP(A61,Dividende_je_Aktie!A$3:AM$103,17,FALSE)&lt;&gt;"",VLOOKUP(A61,Dividende_je_Aktie!A$3:AM$103,17,FALSE)/VLOOKUP(A61,Schlußkurse!A$5:AU$105,45,FALSE),""),"")</f>
        <v>2.8844738778513613E-2</v>
      </c>
      <c r="N61" s="82">
        <f>IF(VLOOKUP(A61,Schlußkurse!A$5:AU$105,46,FALSE)&gt;0,IF(VLOOKUP(A61,Dividende_je_Aktie!A$3:AM$103,18,FALSE)&lt;&gt;"",VLOOKUP(A61,Dividende_je_Aktie!A$3:AM$103,18,FALSE)/VLOOKUP(A61,Schlußkurse!A$5:AU$105,46,FALSE),""),"")</f>
        <v>2.967848309975268E-2</v>
      </c>
      <c r="O61" s="83">
        <f>IF(VLOOKUP(A61,Schlußkurse!A$5:AU$105,47,FALSE)&gt;0,IF(VLOOKUP(A61,Dividende_je_Aktie!A$3:AM$103,19,FALSE)&lt;&gt;"",VLOOKUP(A61,Dividende_je_Aktie!A$3:AM$103,19,FALSE)/VLOOKUP(A61,Schlußkurse!A$5:AU$105,47,FALSE),""),"")</f>
        <v>2.4312414526667679E-2</v>
      </c>
      <c r="P61" s="5">
        <f t="shared" si="2"/>
        <v>3.3407221590392285E-2</v>
      </c>
      <c r="Q61" s="5">
        <f ca="1">VLOOKUP(A61,Dividende_je_Aktie!A$3:AM$103,24,FALSE)/VLOOKUP(A61,Schlußkurse!A$5:AU$105,35,FALSE)</f>
        <v>3.1771836865767504E-2</v>
      </c>
      <c r="R61" s="5">
        <f t="shared" ca="1" si="3"/>
        <v>-4.8953030116551388E-2</v>
      </c>
    </row>
    <row r="62" spans="1:18" x14ac:dyDescent="0.25">
      <c r="A62" t="s">
        <v>261</v>
      </c>
      <c r="B62" t="s">
        <v>262</v>
      </c>
      <c r="C62" s="81">
        <f>IF(VLOOKUP(A62,Schlußkurse!A$5:AU$105,35,FALSE)&gt;0,IF(VLOOKUP(A62,Dividende_je_Aktie!A$3:AM$103,7,FALSE)&lt;&gt;"",VLOOKUP(A62,Dividende_je_Aktie!A$3:AM$103,7,FALSE)/VLOOKUP(A62,Schlußkurse!A$5:AU$105,35,FALSE),""),"")</f>
        <v>6.4265927977839327E-3</v>
      </c>
      <c r="D62" s="82">
        <f>IF(VLOOKUP(A62,Schlußkurse!A$5:AU$105,36,FALSE)&gt;0,IF(VLOOKUP(A62,Dividende_je_Aktie!A$3:AM$103,8,FALSE)&lt;&gt;"",VLOOKUP(A62,Dividende_je_Aktie!A$3:AM$103,8,FALSE)/VLOOKUP(A62,Schlußkurse!A$5:AU$105,36,FALSE),""),"")</f>
        <v>6.204986149584488E-3</v>
      </c>
      <c r="E62" s="82">
        <f>IF(VLOOKUP(A62,Schlußkurse!A$5:AU$105,37,FALSE)&gt;0,IF(VLOOKUP(A62,Dividende_je_Aktie!A$3:AM$103,9,FALSE)&lt;&gt;"",VLOOKUP(A62,Dividende_je_Aktie!A$3:AM$103,9,FALSE)/VLOOKUP(A62,Schlußkurse!A$5:AU$105,37,FALSE),""),"")</f>
        <v>5.1067780872794798E-3</v>
      </c>
      <c r="F62" s="82">
        <f>IF(VLOOKUP(A62,Schlußkurse!A$5:AU$105,38,FALSE)&gt;0,IF(VLOOKUP(A62,Dividende_je_Aktie!A$3:AM$103,10,FALSE)&lt;&gt;"",VLOOKUP(A62,Dividende_je_Aktie!A$3:AM$103,10,FALSE)/VLOOKUP(A62,Schlußkurse!A$5:AU$105,38,FALSE),""),"")</f>
        <v>2.5135853302372343E-3</v>
      </c>
      <c r="G62" s="82">
        <f>IF(VLOOKUP(A62,Schlußkurse!A$5:AU$105,39,FALSE)&gt;0,IF(VLOOKUP(A62,Dividende_je_Aktie!A$3:AM$103,11,FALSE)&lt;&gt;"",VLOOKUP(A62,Dividende_je_Aktie!A$3:AM$103,11,FALSE)/VLOOKUP(A62,Schlußkurse!A$5:AU$105,39,FALSE),""),"")</f>
        <v>2.4425989252564728E-3</v>
      </c>
      <c r="H62" s="82">
        <f>IF(VLOOKUP(A62,Schlußkurse!A$5:AU$105,40,FALSE)&gt;0,IF(VLOOKUP(A62,Dividende_je_Aktie!A$3:AM$103,12,FALSE)&lt;&gt;"",VLOOKUP(A62,Dividende_je_Aktie!A$3:AM$103,12,FALSE)/VLOOKUP(A62,Schlußkurse!A$5:AU$105,40,FALSE),""),"")</f>
        <v>1.6093557212595892E-3</v>
      </c>
      <c r="I62" s="82">
        <f>IF(VLOOKUP(A62,Schlußkurse!A$5:AU$105,41,FALSE)&gt;0,IF(VLOOKUP(A62,Dividende_je_Aktie!A$3:AM$103,13,FALSE)&lt;&gt;"",VLOOKUP(A62,Dividende_je_Aktie!A$3:AM$103,13,FALSE)/VLOOKUP(A62,Schlußkurse!A$5:AU$105,41,FALSE),""),"")</f>
        <v>2.6772567042969968E-3</v>
      </c>
      <c r="J62" s="82">
        <f>IF(VLOOKUP(A62,Schlußkurse!A$5:AU$105,42,FALSE)&gt;0,IF(VLOOKUP(A62,Dividende_je_Aktie!A$3:AM$103,14,FALSE)&lt;&gt;"",VLOOKUP(A62,Dividende_je_Aktie!A$3:AM$103,14,FALSE)/VLOOKUP(A62,Schlußkurse!A$5:AU$105,42,FALSE),""),"")</f>
        <v>2.3439331197749823E-3</v>
      </c>
      <c r="K62" s="82">
        <f>IF(VLOOKUP(A62,Schlußkurse!A$5:AU$105,43,FALSE)&gt;0,IF(VLOOKUP(A62,Dividende_je_Aktie!A$3:AM$103,15,FALSE)&lt;&gt;"",VLOOKUP(A62,Dividende_je_Aktie!A$3:AM$103,15,FALSE)/VLOOKUP(A62,Schlußkurse!A$5:AU$105,43,FALSE),""),"")</f>
        <v>4.1978590918631499E-3</v>
      </c>
      <c r="L62" s="82" t="str">
        <f>IF(VLOOKUP(A62,Schlußkurse!A$5:AU$105,44,FALSE)&gt;0,IF(VLOOKUP(A62,Dividende_je_Aktie!A$3:AM$103,16,FALSE)&lt;&gt;"",VLOOKUP(A62,Dividende_je_Aktie!A$3:AM$103,16,FALSE)/VLOOKUP(A62,Schlußkurse!A$5:AU$105,44,FALSE),""),"")</f>
        <v/>
      </c>
      <c r="M62" s="82" t="str">
        <f>IF(VLOOKUP(A62,Schlußkurse!A$5:AU$105,45,FALSE)&gt;0,IF(VLOOKUP(A62,Dividende_je_Aktie!A$3:AM$103,17,FALSE)&lt;&gt;"",VLOOKUP(A62,Dividende_je_Aktie!A$3:AM$103,17,FALSE)/VLOOKUP(A62,Schlußkurse!A$5:AU$105,45,FALSE),""),"")</f>
        <v/>
      </c>
      <c r="N62" s="82" t="str">
        <f>IF(VLOOKUP(A62,Schlußkurse!A$5:AU$105,46,FALSE)&gt;0,IF(VLOOKUP(A62,Dividende_je_Aktie!A$3:AM$103,18,FALSE)&lt;&gt;"",VLOOKUP(A62,Dividende_je_Aktie!A$3:AM$103,18,FALSE)/VLOOKUP(A62,Schlußkurse!A$5:AU$105,46,FALSE),""),"")</f>
        <v/>
      </c>
      <c r="O62" s="83" t="str">
        <f>IF(VLOOKUP(A62,Schlußkurse!A$5:AU$105,47,FALSE)&gt;0,IF(VLOOKUP(A62,Dividende_je_Aktie!A$3:AM$103,19,FALSE)&lt;&gt;"",VLOOKUP(A62,Dividende_je_Aktie!A$3:AM$103,19,FALSE)/VLOOKUP(A62,Schlußkurse!A$5:AU$105,47,FALSE),""),"")</f>
        <v/>
      </c>
      <c r="P62" s="5">
        <f t="shared" si="2"/>
        <v>3.7247717697040362E-3</v>
      </c>
      <c r="Q62" s="5">
        <f ca="1">VLOOKUP(A62,Dividende_je_Aktie!A$3:AM$103,24,FALSE)/VLOOKUP(A62,Schlußkurse!A$5:AU$105,35,FALSE)</f>
        <v>6.2800861803631895E-3</v>
      </c>
      <c r="R62" s="5">
        <f t="shared" ca="1" si="3"/>
        <v>0.68603247894090269</v>
      </c>
    </row>
    <row r="63" spans="1:18" x14ac:dyDescent="0.25">
      <c r="A63" t="s">
        <v>263</v>
      </c>
      <c r="B63" t="s">
        <v>264</v>
      </c>
      <c r="C63" s="81">
        <f>IF(VLOOKUP(A63,Schlußkurse!A$5:AU$105,35,FALSE)&gt;0,IF(VLOOKUP(A63,Dividende_je_Aktie!A$3:AM$103,7,FALSE)&lt;&gt;"",VLOOKUP(A63,Dividende_je_Aktie!A$3:AM$103,7,FALSE)/VLOOKUP(A63,Schlußkurse!A$5:AU$105,35,FALSE),""),"")</f>
        <v>1.330851558864588E-2</v>
      </c>
      <c r="D63" s="82">
        <f>IF(VLOOKUP(A63,Schlußkurse!A$5:AU$105,36,FALSE)&gt;0,IF(VLOOKUP(A63,Dividende_je_Aktie!A$3:AM$103,8,FALSE)&lt;&gt;"",VLOOKUP(A63,Dividende_je_Aktie!A$3:AM$103,8,FALSE)/VLOOKUP(A63,Schlußkurse!A$5:AU$105,36,FALSE),""),"")</f>
        <v>1.2284783620288507E-2</v>
      </c>
      <c r="E63" s="82">
        <f>IF(VLOOKUP(A63,Schlußkurse!A$5:AU$105,37,FALSE)&gt;0,IF(VLOOKUP(A63,Dividende_je_Aktie!A$3:AM$103,9,FALSE)&lt;&gt;"",VLOOKUP(A63,Dividende_je_Aktie!A$3:AM$103,9,FALSE)/VLOOKUP(A63,Schlußkurse!A$5:AU$105,37,FALSE),""),"")</f>
        <v>1.2316042166788435E-2</v>
      </c>
      <c r="F63" s="82">
        <f>IF(VLOOKUP(A63,Schlußkurse!A$5:AU$105,38,FALSE)&gt;0,IF(VLOOKUP(A63,Dividende_je_Aktie!A$3:AM$103,10,FALSE)&lt;&gt;"",VLOOKUP(A63,Dividende_je_Aktie!A$3:AM$103,10,FALSE)/VLOOKUP(A63,Schlußkurse!A$5:AU$105,38,FALSE),""),"")</f>
        <v>1.2488849241748439E-2</v>
      </c>
      <c r="G63" s="82">
        <f>IF(VLOOKUP(A63,Schlußkurse!A$5:AU$105,39,FALSE)&gt;0,IF(VLOOKUP(A63,Dividende_je_Aktie!A$3:AM$103,11,FALSE)&lt;&gt;"",VLOOKUP(A63,Dividende_je_Aktie!A$3:AM$103,11,FALSE)/VLOOKUP(A63,Schlußkurse!A$5:AU$105,39,FALSE),""),"")</f>
        <v>1.2718600953895072E-2</v>
      </c>
      <c r="H63" s="82">
        <f>IF(VLOOKUP(A63,Schlußkurse!A$5:AU$105,40,FALSE)&gt;0,IF(VLOOKUP(A63,Dividende_je_Aktie!A$3:AM$103,12,FALSE)&lt;&gt;"",VLOOKUP(A63,Dividende_je_Aktie!A$3:AM$103,12,FALSE)/VLOOKUP(A63,Schlußkurse!A$5:AU$105,40,FALSE),""),"")</f>
        <v>1.6033254156769598E-2</v>
      </c>
      <c r="I63" s="82">
        <f>IF(VLOOKUP(A63,Schlußkurse!A$5:AU$105,41,FALSE)&gt;0,IF(VLOOKUP(A63,Dividende_je_Aktie!A$3:AM$103,13,FALSE)&lt;&gt;"",VLOOKUP(A63,Dividende_je_Aktie!A$3:AM$103,13,FALSE)/VLOOKUP(A63,Schlußkurse!A$5:AU$105,41,FALSE),""),"")</f>
        <v>1.5825169555388093E-2</v>
      </c>
      <c r="J63" s="82">
        <f>IF(VLOOKUP(A63,Schlußkurse!A$5:AU$105,42,FALSE)&gt;0,IF(VLOOKUP(A63,Dividende_je_Aktie!A$3:AM$103,14,FALSE)&lt;&gt;"",VLOOKUP(A63,Dividende_je_Aktie!A$3:AM$103,14,FALSE)/VLOOKUP(A63,Schlußkurse!A$5:AU$105,42,FALSE),""),"")</f>
        <v>1.4925373134328358E-2</v>
      </c>
      <c r="K63" s="82">
        <f>IF(VLOOKUP(A63,Schlußkurse!A$5:AU$105,43,FALSE)&gt;0,IF(VLOOKUP(A63,Dividende_je_Aktie!A$3:AM$103,15,FALSE)&lt;&gt;"",VLOOKUP(A63,Dividende_je_Aktie!A$3:AM$103,15,FALSE)/VLOOKUP(A63,Schlußkurse!A$5:AU$105,43,FALSE),""),"")</f>
        <v>1.9910403185664512E-2</v>
      </c>
      <c r="L63" s="82">
        <f>IF(VLOOKUP(A63,Schlußkurse!A$5:AU$105,44,FALSE)&gt;0,IF(VLOOKUP(A63,Dividende_je_Aktie!A$3:AM$103,16,FALSE)&lt;&gt;"",VLOOKUP(A63,Dividende_je_Aktie!A$3:AM$103,16,FALSE)/VLOOKUP(A63,Schlußkurse!A$5:AU$105,44,FALSE),""),"")</f>
        <v>9.5238095238095229E-3</v>
      </c>
      <c r="M63" s="82">
        <f>IF(VLOOKUP(A63,Schlußkurse!A$5:AU$105,45,FALSE)&gt;0,IF(VLOOKUP(A63,Dividende_je_Aktie!A$3:AM$103,17,FALSE)&lt;&gt;"",VLOOKUP(A63,Dividende_je_Aktie!A$3:AM$103,17,FALSE)/VLOOKUP(A63,Schlußkurse!A$5:AU$105,45,FALSE),""),"")</f>
        <v>4.1992470315667533E-3</v>
      </c>
      <c r="N63" s="82">
        <f>IF(VLOOKUP(A63,Schlußkurse!A$5:AU$105,46,FALSE)&gt;0,IF(VLOOKUP(A63,Dividende_je_Aktie!A$3:AM$103,18,FALSE)&lt;&gt;"",VLOOKUP(A63,Dividende_je_Aktie!A$3:AM$103,18,FALSE)/VLOOKUP(A63,Schlußkurse!A$5:AU$105,46,FALSE),""),"")</f>
        <v>3.8797284190106693E-3</v>
      </c>
      <c r="O63" s="83" t="str">
        <f>IF(VLOOKUP(A63,Schlußkurse!A$5:AU$105,47,FALSE)&gt;0,IF(VLOOKUP(A63,Dividende_je_Aktie!A$3:AM$103,19,FALSE)&lt;&gt;"",VLOOKUP(A63,Dividende_je_Aktie!A$3:AM$103,19,FALSE)/VLOOKUP(A63,Schlußkurse!A$5:AU$105,47,FALSE),""),"")</f>
        <v/>
      </c>
      <c r="P63" s="5">
        <f t="shared" si="2"/>
        <v>1.2284481381491985E-2</v>
      </c>
      <c r="Q63" s="5">
        <f ca="1">VLOOKUP(A63,Dividende_je_Aktie!A$3:AM$103,24,FALSE)/VLOOKUP(A63,Schlußkurse!A$5:AU$105,35,FALSE)</f>
        <v>1.2631715009565172E-2</v>
      </c>
      <c r="R63" s="5">
        <f t="shared" ca="1" si="3"/>
        <v>2.8266038857475362E-2</v>
      </c>
    </row>
    <row r="64" spans="1:18" x14ac:dyDescent="0.25">
      <c r="A64" t="s">
        <v>276</v>
      </c>
      <c r="B64" t="s">
        <v>281</v>
      </c>
      <c r="C64" s="81">
        <f>IF(VLOOKUP(A64,Schlußkurse!A$5:AU$105,35,FALSE)&gt;0,IF(VLOOKUP(A64,Dividende_je_Aktie!A$3:AM$103,7,FALSE)&lt;&gt;"",VLOOKUP(A64,Dividende_je_Aktie!A$3:AM$103,7,FALSE)/VLOOKUP(A64,Schlußkurse!A$5:AU$105,35,FALSE),""),"")</f>
        <v>1.3379103952116892E-2</v>
      </c>
      <c r="D64" s="82">
        <f>IF(VLOOKUP(A64,Schlußkurse!A$5:AU$105,36,FALSE)&gt;0,IF(VLOOKUP(A64,Dividende_je_Aktie!A$3:AM$103,8,FALSE)&lt;&gt;"",VLOOKUP(A64,Dividende_je_Aktie!A$3:AM$103,8,FALSE)/VLOOKUP(A64,Schlußkurse!A$5:AU$105,36,FALSE),""),"")</f>
        <v>1.2586920165478391E-2</v>
      </c>
      <c r="E64" s="82">
        <f>IF(VLOOKUP(A64,Schlußkurse!A$5:AU$105,37,FALSE)&gt;0,IF(VLOOKUP(A64,Dividende_je_Aktie!A$3:AM$103,9,FALSE)&lt;&gt;"",VLOOKUP(A64,Dividende_je_Aktie!A$3:AM$103,9,FALSE)/VLOOKUP(A64,Schlußkurse!A$5:AU$105,37,FALSE),""),"")</f>
        <v>1.3947967157978037E-2</v>
      </c>
      <c r="F64" s="82">
        <f>IF(VLOOKUP(A64,Schlußkurse!A$5:AU$105,38,FALSE)&gt;0,IF(VLOOKUP(A64,Dividende_je_Aktie!A$3:AM$103,10,FALSE)&lt;&gt;"",VLOOKUP(A64,Dividende_je_Aktie!A$3:AM$103,10,FALSE)/VLOOKUP(A64,Schlußkurse!A$5:AU$105,38,FALSE),""),"")</f>
        <v>1.3944223107569723E-2</v>
      </c>
      <c r="G64" s="82">
        <f>IF(VLOOKUP(A64,Schlußkurse!A$5:AU$105,39,FALSE)&gt;0,IF(VLOOKUP(A64,Dividende_je_Aktie!A$3:AM$103,11,FALSE)&lt;&gt;"",VLOOKUP(A64,Dividende_je_Aktie!A$3:AM$103,11,FALSE)/VLOOKUP(A64,Schlußkurse!A$5:AU$105,39,FALSE),""),"")</f>
        <v>1.4749262536873156E-2</v>
      </c>
      <c r="H64" s="82">
        <f>IF(VLOOKUP(A64,Schlußkurse!A$5:AU$105,40,FALSE)&gt;0,IF(VLOOKUP(A64,Dividende_je_Aktie!A$3:AM$103,12,FALSE)&lt;&gt;"",VLOOKUP(A64,Dividende_je_Aktie!A$3:AM$103,12,FALSE)/VLOOKUP(A64,Schlußkurse!A$5:AU$105,40,FALSE),""),"")</f>
        <v>1.2036306235201263E-2</v>
      </c>
      <c r="I64" s="82">
        <f>IF(VLOOKUP(A64,Schlußkurse!A$5:AU$105,41,FALSE)&gt;0,IF(VLOOKUP(A64,Dividende_je_Aktie!A$3:AM$103,13,FALSE)&lt;&gt;"",VLOOKUP(A64,Dividende_je_Aktie!A$3:AM$103,13,FALSE)/VLOOKUP(A64,Schlußkurse!A$5:AU$105,41,FALSE),""),"")</f>
        <v>1.1215729714760455E-2</v>
      </c>
      <c r="J64" s="82">
        <f>IF(VLOOKUP(A64,Schlußkurse!A$5:AU$105,42,FALSE)&gt;0,IF(VLOOKUP(A64,Dividende_je_Aktie!A$3:AM$103,14,FALSE)&lt;&gt;"",VLOOKUP(A64,Dividende_je_Aktie!A$3:AM$103,14,FALSE)/VLOOKUP(A64,Schlußkurse!A$5:AU$105,42,FALSE),""),"")</f>
        <v>9.8425196850393699E-4</v>
      </c>
      <c r="K64" s="82">
        <f>IF(VLOOKUP(A64,Schlußkurse!A$5:AU$105,43,FALSE)&gt;0,IF(VLOOKUP(A64,Dividende_je_Aktie!A$3:AM$103,15,FALSE)&lt;&gt;"",VLOOKUP(A64,Dividende_je_Aktie!A$3:AM$103,15,FALSE)/VLOOKUP(A64,Schlußkurse!A$5:AU$105,43,FALSE),""),"")</f>
        <v>1.1278195488721803E-3</v>
      </c>
      <c r="L64" s="82">
        <f>IF(VLOOKUP(A64,Schlußkurse!A$5:AU$105,44,FALSE)&gt;0,IF(VLOOKUP(A64,Dividende_je_Aktie!A$3:AM$103,16,FALSE)&lt;&gt;"",VLOOKUP(A64,Dividende_je_Aktie!A$3:AM$103,16,FALSE)/VLOOKUP(A64,Schlußkurse!A$5:AU$105,44,FALSE),""),"")</f>
        <v>5.154639175257731E-4</v>
      </c>
      <c r="M64" s="82">
        <f>IF(VLOOKUP(A64,Schlußkurse!A$5:AU$105,45,FALSE)&gt;0,IF(VLOOKUP(A64,Dividende_je_Aktie!A$3:AM$103,17,FALSE)&lt;&gt;"",VLOOKUP(A64,Dividende_je_Aktie!A$3:AM$103,17,FALSE)/VLOOKUP(A64,Schlußkurse!A$5:AU$105,45,FALSE),""),"")</f>
        <v>5.5762081784386619E-4</v>
      </c>
      <c r="N64" s="82">
        <f>IF(VLOOKUP(A64,Schlußkurse!A$5:AU$105,46,FALSE)&gt;0,IF(VLOOKUP(A64,Dividende_je_Aktie!A$3:AM$103,18,FALSE)&lt;&gt;"",VLOOKUP(A64,Dividende_je_Aktie!A$3:AM$103,18,FALSE)/VLOOKUP(A64,Schlußkurse!A$5:AU$105,46,FALSE),""),"")</f>
        <v>3.2195750160978755E-4</v>
      </c>
      <c r="O64" s="83">
        <f>IF(VLOOKUP(A64,Schlußkurse!A$5:AU$105,47,FALSE)&gt;0,IF(VLOOKUP(A64,Dividende_je_Aktie!A$3:AM$103,19,FALSE)&lt;&gt;"",VLOOKUP(A64,Dividende_je_Aktie!A$3:AM$103,19,FALSE)/VLOOKUP(A64,Schlußkurse!A$5:AU$105,47,FALSE),""),"")</f>
        <v>4.5361760036289407E-4</v>
      </c>
      <c r="P64" s="5">
        <f t="shared" si="2"/>
        <v>7.3707880172843351E-3</v>
      </c>
      <c r="Q64" s="5">
        <f ca="1">VLOOKUP(A64,Dividende_je_Aktie!A$3:AM$103,24,FALSE)/VLOOKUP(A64,Schlußkurse!A$5:AU$105,35,FALSE)</f>
        <v>1.2855382448728105E-2</v>
      </c>
      <c r="R64" s="5">
        <f t="shared" ca="1" si="3"/>
        <v>0.74409878815976227</v>
      </c>
    </row>
    <row r="65" spans="1:18" x14ac:dyDescent="0.25">
      <c r="A65" t="s">
        <v>265</v>
      </c>
      <c r="B65" t="s">
        <v>266</v>
      </c>
      <c r="C65" s="81">
        <f>IF(VLOOKUP(A65,Schlußkurse!A$5:AU$105,35,FALSE)&gt;0,IF(VLOOKUP(A65,Dividende_je_Aktie!A$3:AM$103,7,FALSE)&lt;&gt;"",VLOOKUP(A65,Dividende_je_Aktie!A$3:AM$103,7,FALSE)/VLOOKUP(A65,Schlußkurse!A$5:AU$105,35,FALSE),""),"")</f>
        <v>7.8705078705078712E-3</v>
      </c>
      <c r="D65" s="82">
        <f>IF(VLOOKUP(A65,Schlußkurse!A$5:AU$105,36,FALSE)&gt;0,IF(VLOOKUP(A65,Dividende_je_Aktie!A$3:AM$103,8,FALSE)&lt;&gt;"",VLOOKUP(A65,Dividende_je_Aktie!A$3:AM$103,8,FALSE)/VLOOKUP(A65,Schlußkurse!A$5:AU$105,36,FALSE),""),"")</f>
        <v>7.128007128007127E-3</v>
      </c>
      <c r="E65" s="82">
        <f>IF(VLOOKUP(A65,Schlußkurse!A$5:AU$105,37,FALSE)&gt;0,IF(VLOOKUP(A65,Dividende_je_Aktie!A$3:AM$103,9,FALSE)&lt;&gt;"",VLOOKUP(A65,Dividende_je_Aktie!A$3:AM$103,9,FALSE)/VLOOKUP(A65,Schlußkurse!A$5:AU$105,37,FALSE),""),"")</f>
        <v>7.498711159019544E-3</v>
      </c>
      <c r="F65" s="82">
        <f>IF(VLOOKUP(A65,Schlußkurse!A$5:AU$105,38,FALSE)&gt;0,IF(VLOOKUP(A65,Dividende_je_Aktie!A$3:AM$103,10,FALSE)&lt;&gt;"",VLOOKUP(A65,Dividende_je_Aktie!A$3:AM$103,10,FALSE)/VLOOKUP(A65,Schlußkurse!A$5:AU$105,38,FALSE),""),"")</f>
        <v>7.326007326007326E-3</v>
      </c>
      <c r="G65" s="82">
        <f>IF(VLOOKUP(A65,Schlußkurse!A$5:AU$105,39,FALSE)&gt;0,IF(VLOOKUP(A65,Dividende_je_Aktie!A$3:AM$103,11,FALSE)&lt;&gt;"",VLOOKUP(A65,Dividende_je_Aktie!A$3:AM$103,11,FALSE)/VLOOKUP(A65,Schlußkurse!A$5:AU$105,39,FALSE),""),"")</f>
        <v>7.4471254095918975E-3</v>
      </c>
      <c r="H65" s="82">
        <f>IF(VLOOKUP(A65,Schlußkurse!A$5:AU$105,40,FALSE)&gt;0,IF(VLOOKUP(A65,Dividende_je_Aktie!A$3:AM$103,12,FALSE)&lt;&gt;"",VLOOKUP(A65,Dividende_je_Aktie!A$3:AM$103,12,FALSE)/VLOOKUP(A65,Schlußkurse!A$5:AU$105,40,FALSE),""),"")</f>
        <v>6.99953336444237E-3</v>
      </c>
      <c r="I65" s="82">
        <f>IF(VLOOKUP(A65,Schlußkurse!A$5:AU$105,41,FALSE)&gt;0,IF(VLOOKUP(A65,Dividende_je_Aktie!A$3:AM$103,13,FALSE)&lt;&gt;"",VLOOKUP(A65,Dividende_je_Aktie!A$3:AM$103,13,FALSE)/VLOOKUP(A65,Schlußkurse!A$5:AU$105,41,FALSE),""),"")</f>
        <v>7.0024239159709126E-3</v>
      </c>
      <c r="J65" s="82">
        <f>IF(VLOOKUP(A65,Schlußkurse!A$5:AU$105,42,FALSE)&gt;0,IF(VLOOKUP(A65,Dividende_je_Aktie!A$3:AM$103,14,FALSE)&lt;&gt;"",VLOOKUP(A65,Dividende_je_Aktie!A$3:AM$103,14,FALSE)/VLOOKUP(A65,Schlußkurse!A$5:AU$105,42,FALSE),""),"")</f>
        <v>6.3666618434379974E-3</v>
      </c>
      <c r="K65" s="82">
        <f>IF(VLOOKUP(A65,Schlußkurse!A$5:AU$105,43,FALSE)&gt;0,IF(VLOOKUP(A65,Dividende_je_Aktie!A$3:AM$103,15,FALSE)&lt;&gt;"",VLOOKUP(A65,Dividende_je_Aktie!A$3:AM$103,15,FALSE)/VLOOKUP(A65,Schlußkurse!A$5:AU$105,43,FALSE),""),"")</f>
        <v>1.6940869848509528E-3</v>
      </c>
      <c r="L65" s="82" t="str">
        <f>IF(VLOOKUP(A65,Schlußkurse!A$5:AU$105,44,FALSE)&gt;0,IF(VLOOKUP(A65,Dividende_je_Aktie!A$3:AM$103,16,FALSE)&lt;&gt;"",VLOOKUP(A65,Dividende_je_Aktie!A$3:AM$103,16,FALSE)/VLOOKUP(A65,Schlußkurse!A$5:AU$105,44,FALSE),""),"")</f>
        <v/>
      </c>
      <c r="M65" s="82" t="str">
        <f>IF(VLOOKUP(A65,Schlußkurse!A$5:AU$105,45,FALSE)&gt;0,IF(VLOOKUP(A65,Dividende_je_Aktie!A$3:AM$103,17,FALSE)&lt;&gt;"",VLOOKUP(A65,Dividende_je_Aktie!A$3:AM$103,17,FALSE)/VLOOKUP(A65,Schlußkurse!A$5:AU$105,45,FALSE),""),"")</f>
        <v/>
      </c>
      <c r="N65" s="82" t="str">
        <f>IF(VLOOKUP(A65,Schlußkurse!A$5:AU$105,46,FALSE)&gt;0,IF(VLOOKUP(A65,Dividende_je_Aktie!A$3:AM$103,18,FALSE)&lt;&gt;"",VLOOKUP(A65,Dividende_je_Aktie!A$3:AM$103,18,FALSE)/VLOOKUP(A65,Schlußkurse!A$5:AU$105,46,FALSE),""),"")</f>
        <v/>
      </c>
      <c r="O65" s="83" t="str">
        <f>IF(VLOOKUP(A65,Schlußkurse!A$5:AU$105,47,FALSE)&gt;0,IF(VLOOKUP(A65,Dividende_je_Aktie!A$3:AM$103,19,FALSE)&lt;&gt;"",VLOOKUP(A65,Dividende_je_Aktie!A$3:AM$103,19,FALSE)/VLOOKUP(A65,Schlußkurse!A$5:AU$105,47,FALSE),""),"")</f>
        <v/>
      </c>
      <c r="P65" s="5">
        <f t="shared" si="2"/>
        <v>6.5925627779817768E-3</v>
      </c>
      <c r="Q65" s="5">
        <f ca="1">VLOOKUP(A65,Dividende_je_Aktie!A$3:AM$103,24,FALSE)/VLOOKUP(A65,Schlußkurse!A$5:AU$105,35,FALSE)</f>
        <v>7.567320067320066E-3</v>
      </c>
      <c r="R65" s="5">
        <f t="shared" ca="1" si="3"/>
        <v>0.14785711143985458</v>
      </c>
    </row>
    <row r="66" spans="1:18" x14ac:dyDescent="0.25">
      <c r="C66" s="81" t="e">
        <f>IF(VLOOKUP(A66,Schlußkurse!A$5:AU$105,35,FALSE)&gt;0,IF(VLOOKUP(A66,Dividende_je_Aktie!A$3:AM$103,7,FALSE)&lt;&gt;"",VLOOKUP(A66,Dividende_je_Aktie!A$3:AM$103,7,FALSE)/VLOOKUP(A66,Schlußkurse!A$5:AU$105,35,FALSE),""),"")</f>
        <v>#N/A</v>
      </c>
      <c r="D66" s="82" t="e">
        <f>IF(VLOOKUP(A66,Schlußkurse!A$5:AU$105,36,FALSE)&gt;0,IF(VLOOKUP(A66,Dividende_je_Aktie!A$3:AM$103,8,FALSE)&lt;&gt;"",VLOOKUP(A66,Dividende_je_Aktie!A$3:AM$103,8,FALSE)/VLOOKUP(A66,Schlußkurse!A$5:AU$105,36,FALSE),""),"")</f>
        <v>#N/A</v>
      </c>
      <c r="E66" s="82" t="e">
        <f>IF(VLOOKUP(A66,Schlußkurse!A$5:AU$105,37,FALSE)&gt;0,IF(VLOOKUP(A66,Dividende_je_Aktie!A$3:AM$103,9,FALSE)&lt;&gt;"",VLOOKUP(A66,Dividende_je_Aktie!A$3:AM$103,9,FALSE)/VLOOKUP(A66,Schlußkurse!A$5:AU$105,37,FALSE),""),"")</f>
        <v>#N/A</v>
      </c>
      <c r="F66" s="82" t="e">
        <f>IF(VLOOKUP(A66,Schlußkurse!A$5:AU$105,38,FALSE)&gt;0,IF(VLOOKUP(A66,Dividende_je_Aktie!A$3:AM$103,10,FALSE)&lt;&gt;"",VLOOKUP(A66,Dividende_je_Aktie!A$3:AM$103,10,FALSE)/VLOOKUP(A66,Schlußkurse!A$5:AU$105,38,FALSE),""),"")</f>
        <v>#N/A</v>
      </c>
      <c r="G66" s="82" t="e">
        <f>IF(VLOOKUP(A66,Schlußkurse!A$5:AU$105,39,FALSE)&gt;0,IF(VLOOKUP(A66,Dividende_je_Aktie!A$3:AM$103,11,FALSE)&lt;&gt;"",VLOOKUP(A66,Dividende_je_Aktie!A$3:AM$103,11,FALSE)/VLOOKUP(A66,Schlußkurse!A$5:AU$105,39,FALSE),""),"")</f>
        <v>#N/A</v>
      </c>
      <c r="H66" s="82" t="e">
        <f>IF(VLOOKUP(A66,Schlußkurse!A$5:AU$105,40,FALSE)&gt;0,IF(VLOOKUP(A66,Dividende_je_Aktie!A$3:AM$103,12,FALSE)&lt;&gt;"",VLOOKUP(A66,Dividende_je_Aktie!A$3:AM$103,12,FALSE)/VLOOKUP(A66,Schlußkurse!A$5:AU$105,40,FALSE),""),"")</f>
        <v>#N/A</v>
      </c>
      <c r="I66" s="82" t="e">
        <f>IF(VLOOKUP(A66,Schlußkurse!A$5:AU$105,41,FALSE)&gt;0,IF(VLOOKUP(A66,Dividende_je_Aktie!A$3:AM$103,13,FALSE)&lt;&gt;"",VLOOKUP(A66,Dividende_je_Aktie!A$3:AM$103,13,FALSE)/VLOOKUP(A66,Schlußkurse!A$5:AU$105,41,FALSE),""),"")</f>
        <v>#N/A</v>
      </c>
      <c r="J66" s="82" t="e">
        <f>IF(VLOOKUP(A66,Schlußkurse!A$5:AU$105,42,FALSE)&gt;0,IF(VLOOKUP(A66,Dividende_je_Aktie!A$3:AM$103,14,FALSE)&lt;&gt;"",VLOOKUP(A66,Dividende_je_Aktie!A$3:AM$103,14,FALSE)/VLOOKUP(A66,Schlußkurse!A$5:AU$105,42,FALSE),""),"")</f>
        <v>#N/A</v>
      </c>
      <c r="K66" s="82" t="e">
        <f>IF(VLOOKUP(A66,Schlußkurse!A$5:AU$105,43,FALSE)&gt;0,IF(VLOOKUP(A66,Dividende_je_Aktie!A$3:AM$103,15,FALSE)&lt;&gt;"",VLOOKUP(A66,Dividende_je_Aktie!A$3:AM$103,15,FALSE)/VLOOKUP(A66,Schlußkurse!A$5:AU$105,43,FALSE),""),"")</f>
        <v>#N/A</v>
      </c>
      <c r="L66" s="82" t="e">
        <f>IF(VLOOKUP(A66,Schlußkurse!A$5:AU$105,44,FALSE)&gt;0,IF(VLOOKUP(A66,Dividende_je_Aktie!A$3:AM$103,16,FALSE)&lt;&gt;"",VLOOKUP(A66,Dividende_je_Aktie!A$3:AM$103,16,FALSE)/VLOOKUP(A66,Schlußkurse!A$5:AU$105,44,FALSE),""),"")</f>
        <v>#N/A</v>
      </c>
      <c r="M66" s="82" t="e">
        <f>IF(VLOOKUP(A66,Schlußkurse!A$5:AU$105,45,FALSE)&gt;0,IF(VLOOKUP(A66,Dividende_je_Aktie!A$3:AM$103,17,FALSE)&lt;&gt;"",VLOOKUP(A66,Dividende_je_Aktie!A$3:AM$103,17,FALSE)/VLOOKUP(A66,Schlußkurse!A$5:AU$105,45,FALSE),""),"")</f>
        <v>#N/A</v>
      </c>
      <c r="N66" s="82" t="e">
        <f>IF(VLOOKUP(A66,Schlußkurse!A$5:AU$105,46,FALSE)&gt;0,IF(VLOOKUP(A66,Dividende_je_Aktie!A$3:AM$103,18,FALSE)&lt;&gt;"",VLOOKUP(A66,Dividende_je_Aktie!A$3:AM$103,18,FALSE)/VLOOKUP(A66,Schlußkurse!A$5:AU$105,46,FALSE),""),"")</f>
        <v>#N/A</v>
      </c>
      <c r="O66" s="83" t="e">
        <f>IF(VLOOKUP(A66,Schlußkurse!A$5:AU$105,47,FALSE)&gt;0,IF(VLOOKUP(A66,Dividende_je_Aktie!A$3:AM$103,19,FALSE)&lt;&gt;"",VLOOKUP(A66,Dividende_je_Aktie!A$3:AM$103,19,FALSE)/VLOOKUP(A66,Schlußkurse!A$5:AU$105,47,FALSE),""),"")</f>
        <v>#N/A</v>
      </c>
      <c r="P66" s="5" t="e">
        <f t="shared" si="2"/>
        <v>#N/A</v>
      </c>
      <c r="Q66" s="5" t="e">
        <f>VLOOKUP(A66,Dividende_je_Aktie!A$3:AM$103,24,FALSE)/VLOOKUP(A66,Schlußkurse!A$5:AU$105,35,FALSE)</f>
        <v>#N/A</v>
      </c>
      <c r="R66" s="5" t="e">
        <f t="shared" si="3"/>
        <v>#N/A</v>
      </c>
    </row>
    <row r="67" spans="1:18" x14ac:dyDescent="0.25">
      <c r="C67" s="81" t="e">
        <f>IF(VLOOKUP(A67,Schlußkurse!A$5:AU$105,35,FALSE)&gt;0,IF(VLOOKUP(A67,Dividende_je_Aktie!A$3:AM$103,7,FALSE)&lt;&gt;"",VLOOKUP(A67,Dividende_je_Aktie!A$3:AM$103,7,FALSE)/VLOOKUP(A67,Schlußkurse!A$5:AU$105,35,FALSE),""),"")</f>
        <v>#N/A</v>
      </c>
      <c r="D67" s="82" t="e">
        <f>IF(VLOOKUP(A67,Schlußkurse!A$5:AU$105,36,FALSE)&gt;0,IF(VLOOKUP(A67,Dividende_je_Aktie!A$3:AM$103,8,FALSE)&lt;&gt;"",VLOOKUP(A67,Dividende_je_Aktie!A$3:AM$103,8,FALSE)/VLOOKUP(A67,Schlußkurse!A$5:AU$105,36,FALSE),""),"")</f>
        <v>#N/A</v>
      </c>
      <c r="E67" s="82" t="e">
        <f>IF(VLOOKUP(A67,Schlußkurse!A$5:AU$105,37,FALSE)&gt;0,IF(VLOOKUP(A67,Dividende_je_Aktie!A$3:AM$103,9,FALSE)&lt;&gt;"",VLOOKUP(A67,Dividende_je_Aktie!A$3:AM$103,9,FALSE)/VLOOKUP(A67,Schlußkurse!A$5:AU$105,37,FALSE),""),"")</f>
        <v>#N/A</v>
      </c>
      <c r="F67" s="82" t="e">
        <f>IF(VLOOKUP(A67,Schlußkurse!A$5:AU$105,38,FALSE)&gt;0,IF(VLOOKUP(A67,Dividende_je_Aktie!A$3:AM$103,10,FALSE)&lt;&gt;"",VLOOKUP(A67,Dividende_je_Aktie!A$3:AM$103,10,FALSE)/VLOOKUP(A67,Schlußkurse!A$5:AU$105,38,FALSE),""),"")</f>
        <v>#N/A</v>
      </c>
      <c r="G67" s="82" t="e">
        <f>IF(VLOOKUP(A67,Schlußkurse!A$5:AU$105,39,FALSE)&gt;0,IF(VLOOKUP(A67,Dividende_je_Aktie!A$3:AM$103,11,FALSE)&lt;&gt;"",VLOOKUP(A67,Dividende_je_Aktie!A$3:AM$103,11,FALSE)/VLOOKUP(A67,Schlußkurse!A$5:AU$105,39,FALSE),""),"")</f>
        <v>#N/A</v>
      </c>
      <c r="H67" s="82" t="e">
        <f>IF(VLOOKUP(A67,Schlußkurse!A$5:AU$105,40,FALSE)&gt;0,IF(VLOOKUP(A67,Dividende_je_Aktie!A$3:AM$103,12,FALSE)&lt;&gt;"",VLOOKUP(A67,Dividende_je_Aktie!A$3:AM$103,12,FALSE)/VLOOKUP(A67,Schlußkurse!A$5:AU$105,40,FALSE),""),"")</f>
        <v>#N/A</v>
      </c>
      <c r="I67" s="82" t="e">
        <f>IF(VLOOKUP(A67,Schlußkurse!A$5:AU$105,41,FALSE)&gt;0,IF(VLOOKUP(A67,Dividende_je_Aktie!A$3:AM$103,13,FALSE)&lt;&gt;"",VLOOKUP(A67,Dividende_je_Aktie!A$3:AM$103,13,FALSE)/VLOOKUP(A67,Schlußkurse!A$5:AU$105,41,FALSE),""),"")</f>
        <v>#N/A</v>
      </c>
      <c r="J67" s="82" t="e">
        <f>IF(VLOOKUP(A67,Schlußkurse!A$5:AU$105,42,FALSE)&gt;0,IF(VLOOKUP(A67,Dividende_je_Aktie!A$3:AM$103,14,FALSE)&lt;&gt;"",VLOOKUP(A67,Dividende_je_Aktie!A$3:AM$103,14,FALSE)/VLOOKUP(A67,Schlußkurse!A$5:AU$105,42,FALSE),""),"")</f>
        <v>#N/A</v>
      </c>
      <c r="K67" s="82" t="e">
        <f>IF(VLOOKUP(A67,Schlußkurse!A$5:AU$105,43,FALSE)&gt;0,IF(VLOOKUP(A67,Dividende_je_Aktie!A$3:AM$103,15,FALSE)&lt;&gt;"",VLOOKUP(A67,Dividende_je_Aktie!A$3:AM$103,15,FALSE)/VLOOKUP(A67,Schlußkurse!A$5:AU$105,43,FALSE),""),"")</f>
        <v>#N/A</v>
      </c>
      <c r="L67" s="82" t="e">
        <f>IF(VLOOKUP(A67,Schlußkurse!A$5:AU$105,44,FALSE)&gt;0,IF(VLOOKUP(A67,Dividende_je_Aktie!A$3:AM$103,16,FALSE)&lt;&gt;"",VLOOKUP(A67,Dividende_je_Aktie!A$3:AM$103,16,FALSE)/VLOOKUP(A67,Schlußkurse!A$5:AU$105,44,FALSE),""),"")</f>
        <v>#N/A</v>
      </c>
      <c r="M67" s="82" t="e">
        <f>IF(VLOOKUP(A67,Schlußkurse!A$5:AU$105,45,FALSE)&gt;0,IF(VLOOKUP(A67,Dividende_je_Aktie!A$3:AM$103,17,FALSE)&lt;&gt;"",VLOOKUP(A67,Dividende_je_Aktie!A$3:AM$103,17,FALSE)/VLOOKUP(A67,Schlußkurse!A$5:AU$105,45,FALSE),""),"")</f>
        <v>#N/A</v>
      </c>
      <c r="N67" s="82" t="e">
        <f>IF(VLOOKUP(A67,Schlußkurse!A$5:AU$105,46,FALSE)&gt;0,IF(VLOOKUP(A67,Dividende_je_Aktie!A$3:AM$103,18,FALSE)&lt;&gt;"",VLOOKUP(A67,Dividende_je_Aktie!A$3:AM$103,18,FALSE)/VLOOKUP(A67,Schlußkurse!A$5:AU$105,46,FALSE),""),"")</f>
        <v>#N/A</v>
      </c>
      <c r="O67" s="83" t="e">
        <f>IF(VLOOKUP(A67,Schlußkurse!A$5:AU$105,47,FALSE)&gt;0,IF(VLOOKUP(A67,Dividende_je_Aktie!A$3:AM$103,19,FALSE)&lt;&gt;"",VLOOKUP(A67,Dividende_je_Aktie!A$3:AM$103,19,FALSE)/VLOOKUP(A67,Schlußkurse!A$5:AU$105,47,FALSE),""),"")</f>
        <v>#N/A</v>
      </c>
      <c r="P67" s="5" t="e">
        <f t="shared" si="2"/>
        <v>#N/A</v>
      </c>
      <c r="Q67" s="5" t="e">
        <f>VLOOKUP(A67,Dividende_je_Aktie!A$3:AM$103,24,FALSE)/VLOOKUP(A67,Schlußkurse!A$5:AU$105,35,FALSE)</f>
        <v>#N/A</v>
      </c>
      <c r="R67" s="5" t="e">
        <f t="shared" si="3"/>
        <v>#N/A</v>
      </c>
    </row>
    <row r="68" spans="1:18" x14ac:dyDescent="0.25">
      <c r="C68" s="81" t="e">
        <f>IF(VLOOKUP(A68,Schlußkurse!A$5:AU$105,35,FALSE)&gt;0,IF(VLOOKUP(A68,Dividende_je_Aktie!A$3:AM$103,7,FALSE)&lt;&gt;"",VLOOKUP(A68,Dividende_je_Aktie!A$3:AM$103,7,FALSE)/VLOOKUP(A68,Schlußkurse!A$5:AU$105,35,FALSE),""),"")</f>
        <v>#N/A</v>
      </c>
      <c r="D68" s="82" t="e">
        <f>IF(VLOOKUP(A68,Schlußkurse!A$5:AU$105,36,FALSE)&gt;0,IF(VLOOKUP(A68,Dividende_je_Aktie!A$3:AM$103,8,FALSE)&lt;&gt;"",VLOOKUP(A68,Dividende_je_Aktie!A$3:AM$103,8,FALSE)/VLOOKUP(A68,Schlußkurse!A$5:AU$105,36,FALSE),""),"")</f>
        <v>#N/A</v>
      </c>
      <c r="E68" s="82" t="e">
        <f>IF(VLOOKUP(A68,Schlußkurse!A$5:AU$105,37,FALSE)&gt;0,IF(VLOOKUP(A68,Dividende_je_Aktie!A$3:AM$103,9,FALSE)&lt;&gt;"",VLOOKUP(A68,Dividende_je_Aktie!A$3:AM$103,9,FALSE)/VLOOKUP(A68,Schlußkurse!A$5:AU$105,37,FALSE),""),"")</f>
        <v>#N/A</v>
      </c>
      <c r="F68" s="82" t="e">
        <f>IF(VLOOKUP(A68,Schlußkurse!A$5:AU$105,38,FALSE)&gt;0,IF(VLOOKUP(A68,Dividende_je_Aktie!A$3:AM$103,10,FALSE)&lt;&gt;"",VLOOKUP(A68,Dividende_je_Aktie!A$3:AM$103,10,FALSE)/VLOOKUP(A68,Schlußkurse!A$5:AU$105,38,FALSE),""),"")</f>
        <v>#N/A</v>
      </c>
      <c r="G68" s="82" t="e">
        <f>IF(VLOOKUP(A68,Schlußkurse!A$5:AU$105,39,FALSE)&gt;0,IF(VLOOKUP(A68,Dividende_je_Aktie!A$3:AM$103,11,FALSE)&lt;&gt;"",VLOOKUP(A68,Dividende_je_Aktie!A$3:AM$103,11,FALSE)/VLOOKUP(A68,Schlußkurse!A$5:AU$105,39,FALSE),""),"")</f>
        <v>#N/A</v>
      </c>
      <c r="H68" s="82" t="e">
        <f>IF(VLOOKUP(A68,Schlußkurse!A$5:AU$105,40,FALSE)&gt;0,IF(VLOOKUP(A68,Dividende_je_Aktie!A$3:AM$103,12,FALSE)&lt;&gt;"",VLOOKUP(A68,Dividende_je_Aktie!A$3:AM$103,12,FALSE)/VLOOKUP(A68,Schlußkurse!A$5:AU$105,40,FALSE),""),"")</f>
        <v>#N/A</v>
      </c>
      <c r="I68" s="82" t="e">
        <f>IF(VLOOKUP(A68,Schlußkurse!A$5:AU$105,41,FALSE)&gt;0,IF(VLOOKUP(A68,Dividende_je_Aktie!A$3:AM$103,13,FALSE)&lt;&gt;"",VLOOKUP(A68,Dividende_je_Aktie!A$3:AM$103,13,FALSE)/VLOOKUP(A68,Schlußkurse!A$5:AU$105,41,FALSE),""),"")</f>
        <v>#N/A</v>
      </c>
      <c r="J68" s="82" t="e">
        <f>IF(VLOOKUP(A68,Schlußkurse!A$5:AU$105,42,FALSE)&gt;0,IF(VLOOKUP(A68,Dividende_je_Aktie!A$3:AM$103,14,FALSE)&lt;&gt;"",VLOOKUP(A68,Dividende_je_Aktie!A$3:AM$103,14,FALSE)/VLOOKUP(A68,Schlußkurse!A$5:AU$105,42,FALSE),""),"")</f>
        <v>#N/A</v>
      </c>
      <c r="K68" s="82" t="e">
        <f>IF(VLOOKUP(A68,Schlußkurse!A$5:AU$105,43,FALSE)&gt;0,IF(VLOOKUP(A68,Dividende_je_Aktie!A$3:AM$103,15,FALSE)&lt;&gt;"",VLOOKUP(A68,Dividende_je_Aktie!A$3:AM$103,15,FALSE)/VLOOKUP(A68,Schlußkurse!A$5:AU$105,43,FALSE),""),"")</f>
        <v>#N/A</v>
      </c>
      <c r="L68" s="82" t="e">
        <f>IF(VLOOKUP(A68,Schlußkurse!A$5:AU$105,44,FALSE)&gt;0,IF(VLOOKUP(A68,Dividende_je_Aktie!A$3:AM$103,16,FALSE)&lt;&gt;"",VLOOKUP(A68,Dividende_je_Aktie!A$3:AM$103,16,FALSE)/VLOOKUP(A68,Schlußkurse!A$5:AU$105,44,FALSE),""),"")</f>
        <v>#N/A</v>
      </c>
      <c r="M68" s="82" t="e">
        <f>IF(VLOOKUP(A68,Schlußkurse!A$5:AU$105,45,FALSE)&gt;0,IF(VLOOKUP(A68,Dividende_je_Aktie!A$3:AM$103,17,FALSE)&lt;&gt;"",VLOOKUP(A68,Dividende_je_Aktie!A$3:AM$103,17,FALSE)/VLOOKUP(A68,Schlußkurse!A$5:AU$105,45,FALSE),""),"")</f>
        <v>#N/A</v>
      </c>
      <c r="N68" s="82" t="e">
        <f>IF(VLOOKUP(A68,Schlußkurse!A$5:AU$105,46,FALSE)&gt;0,IF(VLOOKUP(A68,Dividende_je_Aktie!A$3:AM$103,18,FALSE)&lt;&gt;"",VLOOKUP(A68,Dividende_je_Aktie!A$3:AM$103,18,FALSE)/VLOOKUP(A68,Schlußkurse!A$5:AU$105,46,FALSE),""),"")</f>
        <v>#N/A</v>
      </c>
      <c r="O68" s="83" t="e">
        <f>IF(VLOOKUP(A68,Schlußkurse!A$5:AU$105,47,FALSE)&gt;0,IF(VLOOKUP(A68,Dividende_je_Aktie!A$3:AM$103,19,FALSE)&lt;&gt;"",VLOOKUP(A68,Dividende_je_Aktie!A$3:AM$103,19,FALSE)/VLOOKUP(A68,Schlußkurse!A$5:AU$105,47,FALSE),""),"")</f>
        <v>#N/A</v>
      </c>
      <c r="P68" s="5" t="e">
        <f t="shared" si="2"/>
        <v>#N/A</v>
      </c>
      <c r="Q68" s="5" t="e">
        <f>VLOOKUP(A68,Dividende_je_Aktie!A$3:AM$103,24,FALSE)/VLOOKUP(A68,Schlußkurse!A$5:AU$105,35,FALSE)</f>
        <v>#N/A</v>
      </c>
      <c r="R68" s="5" t="e">
        <f t="shared" si="3"/>
        <v>#N/A</v>
      </c>
    </row>
    <row r="69" spans="1:18" x14ac:dyDescent="0.25">
      <c r="C69" s="81" t="e">
        <f>IF(VLOOKUP(A69,Schlußkurse!A$5:AU$105,35,FALSE)&gt;0,IF(VLOOKUP(A69,Dividende_je_Aktie!A$3:AM$103,7,FALSE)&lt;&gt;"",VLOOKUP(A69,Dividende_je_Aktie!A$3:AM$103,7,FALSE)/VLOOKUP(A69,Schlußkurse!A$5:AU$105,35,FALSE),""),"")</f>
        <v>#N/A</v>
      </c>
      <c r="D69" s="82" t="e">
        <f>IF(VLOOKUP(A69,Schlußkurse!A$5:AU$105,36,FALSE)&gt;0,IF(VLOOKUP(A69,Dividende_je_Aktie!A$3:AM$103,8,FALSE)&lt;&gt;"",VLOOKUP(A69,Dividende_je_Aktie!A$3:AM$103,8,FALSE)/VLOOKUP(A69,Schlußkurse!A$5:AU$105,36,FALSE),""),"")</f>
        <v>#N/A</v>
      </c>
      <c r="E69" s="82" t="e">
        <f>IF(VLOOKUP(A69,Schlußkurse!A$5:AU$105,37,FALSE)&gt;0,IF(VLOOKUP(A69,Dividende_je_Aktie!A$3:AM$103,9,FALSE)&lt;&gt;"",VLOOKUP(A69,Dividende_je_Aktie!A$3:AM$103,9,FALSE)/VLOOKUP(A69,Schlußkurse!A$5:AU$105,37,FALSE),""),"")</f>
        <v>#N/A</v>
      </c>
      <c r="F69" s="82" t="e">
        <f>IF(VLOOKUP(A69,Schlußkurse!A$5:AU$105,38,FALSE)&gt;0,IF(VLOOKUP(A69,Dividende_je_Aktie!A$3:AM$103,10,FALSE)&lt;&gt;"",VLOOKUP(A69,Dividende_je_Aktie!A$3:AM$103,10,FALSE)/VLOOKUP(A69,Schlußkurse!A$5:AU$105,38,FALSE),""),"")</f>
        <v>#N/A</v>
      </c>
      <c r="G69" s="82" t="e">
        <f>IF(VLOOKUP(A69,Schlußkurse!A$5:AU$105,39,FALSE)&gt;0,IF(VLOOKUP(A69,Dividende_je_Aktie!A$3:AM$103,11,FALSE)&lt;&gt;"",VLOOKUP(A69,Dividende_je_Aktie!A$3:AM$103,11,FALSE)/VLOOKUP(A69,Schlußkurse!A$5:AU$105,39,FALSE),""),"")</f>
        <v>#N/A</v>
      </c>
      <c r="H69" s="82" t="e">
        <f>IF(VLOOKUP(A69,Schlußkurse!A$5:AU$105,40,FALSE)&gt;0,IF(VLOOKUP(A69,Dividende_je_Aktie!A$3:AM$103,12,FALSE)&lt;&gt;"",VLOOKUP(A69,Dividende_je_Aktie!A$3:AM$103,12,FALSE)/VLOOKUP(A69,Schlußkurse!A$5:AU$105,40,FALSE),""),"")</f>
        <v>#N/A</v>
      </c>
      <c r="I69" s="82" t="e">
        <f>IF(VLOOKUP(A69,Schlußkurse!A$5:AU$105,41,FALSE)&gt;0,IF(VLOOKUP(A69,Dividende_je_Aktie!A$3:AM$103,13,FALSE)&lt;&gt;"",VLOOKUP(A69,Dividende_je_Aktie!A$3:AM$103,13,FALSE)/VLOOKUP(A69,Schlußkurse!A$5:AU$105,41,FALSE),""),"")</f>
        <v>#N/A</v>
      </c>
      <c r="J69" s="82" t="e">
        <f>IF(VLOOKUP(A69,Schlußkurse!A$5:AU$105,42,FALSE)&gt;0,IF(VLOOKUP(A69,Dividende_je_Aktie!A$3:AM$103,14,FALSE)&lt;&gt;"",VLOOKUP(A69,Dividende_je_Aktie!A$3:AM$103,14,FALSE)/VLOOKUP(A69,Schlußkurse!A$5:AU$105,42,FALSE),""),"")</f>
        <v>#N/A</v>
      </c>
      <c r="K69" s="82" t="e">
        <f>IF(VLOOKUP(A69,Schlußkurse!A$5:AU$105,43,FALSE)&gt;0,IF(VLOOKUP(A69,Dividende_je_Aktie!A$3:AM$103,15,FALSE)&lt;&gt;"",VLOOKUP(A69,Dividende_je_Aktie!A$3:AM$103,15,FALSE)/VLOOKUP(A69,Schlußkurse!A$5:AU$105,43,FALSE),""),"")</f>
        <v>#N/A</v>
      </c>
      <c r="L69" s="82" t="e">
        <f>IF(VLOOKUP(A69,Schlußkurse!A$5:AU$105,44,FALSE)&gt;0,IF(VLOOKUP(A69,Dividende_je_Aktie!A$3:AM$103,16,FALSE)&lt;&gt;"",VLOOKUP(A69,Dividende_je_Aktie!A$3:AM$103,16,FALSE)/VLOOKUP(A69,Schlußkurse!A$5:AU$105,44,FALSE),""),"")</f>
        <v>#N/A</v>
      </c>
      <c r="M69" s="82" t="e">
        <f>IF(VLOOKUP(A69,Schlußkurse!A$5:AU$105,45,FALSE)&gt;0,IF(VLOOKUP(A69,Dividende_je_Aktie!A$3:AM$103,17,FALSE)&lt;&gt;"",VLOOKUP(A69,Dividende_je_Aktie!A$3:AM$103,17,FALSE)/VLOOKUP(A69,Schlußkurse!A$5:AU$105,45,FALSE),""),"")</f>
        <v>#N/A</v>
      </c>
      <c r="N69" s="82" t="e">
        <f>IF(VLOOKUP(A69,Schlußkurse!A$5:AU$105,46,FALSE)&gt;0,IF(VLOOKUP(A69,Dividende_je_Aktie!A$3:AM$103,18,FALSE)&lt;&gt;"",VLOOKUP(A69,Dividende_je_Aktie!A$3:AM$103,18,FALSE)/VLOOKUP(A69,Schlußkurse!A$5:AU$105,46,FALSE),""),"")</f>
        <v>#N/A</v>
      </c>
      <c r="O69" s="83" t="e">
        <f>IF(VLOOKUP(A69,Schlußkurse!A$5:AU$105,47,FALSE)&gt;0,IF(VLOOKUP(A69,Dividende_je_Aktie!A$3:AM$103,19,FALSE)&lt;&gt;"",VLOOKUP(A69,Dividende_je_Aktie!A$3:AM$103,19,FALSE)/VLOOKUP(A69,Schlußkurse!A$5:AU$105,47,FALSE),""),"")</f>
        <v>#N/A</v>
      </c>
      <c r="P69" s="5" t="e">
        <f t="shared" si="2"/>
        <v>#N/A</v>
      </c>
      <c r="Q69" s="5" t="e">
        <f>VLOOKUP(A69,Dividende_je_Aktie!A$3:AM$103,24,FALSE)/VLOOKUP(A69,Schlußkurse!A$5:AU$105,35,FALSE)</f>
        <v>#N/A</v>
      </c>
      <c r="R69" s="5" t="e">
        <f t="shared" si="3"/>
        <v>#N/A</v>
      </c>
    </row>
    <row r="70" spans="1:18" x14ac:dyDescent="0.25">
      <c r="C70" s="81" t="e">
        <f>IF(VLOOKUP(A70,Schlußkurse!A$5:AU$105,35,FALSE)&gt;0,IF(VLOOKUP(A70,Dividende_je_Aktie!A$3:AM$103,7,FALSE)&lt;&gt;"",VLOOKUP(A70,Dividende_je_Aktie!A$3:AM$103,7,FALSE)/VLOOKUP(A70,Schlußkurse!A$5:AU$105,35,FALSE),""),"")</f>
        <v>#N/A</v>
      </c>
      <c r="D70" s="82" t="e">
        <f>IF(VLOOKUP(A70,Schlußkurse!A$5:AU$105,36,FALSE)&gt;0,IF(VLOOKUP(A70,Dividende_je_Aktie!A$3:AM$103,8,FALSE)&lt;&gt;"",VLOOKUP(A70,Dividende_je_Aktie!A$3:AM$103,8,FALSE)/VLOOKUP(A70,Schlußkurse!A$5:AU$105,36,FALSE),""),"")</f>
        <v>#N/A</v>
      </c>
      <c r="E70" s="82" t="e">
        <f>IF(VLOOKUP(A70,Schlußkurse!A$5:AU$105,37,FALSE)&gt;0,IF(VLOOKUP(A70,Dividende_je_Aktie!A$3:AM$103,9,FALSE)&lt;&gt;"",VLOOKUP(A70,Dividende_je_Aktie!A$3:AM$103,9,FALSE)/VLOOKUP(A70,Schlußkurse!A$5:AU$105,37,FALSE),""),"")</f>
        <v>#N/A</v>
      </c>
      <c r="F70" s="82" t="e">
        <f>IF(VLOOKUP(A70,Schlußkurse!A$5:AU$105,38,FALSE)&gt;0,IF(VLOOKUP(A70,Dividende_je_Aktie!A$3:AM$103,10,FALSE)&lt;&gt;"",VLOOKUP(A70,Dividende_je_Aktie!A$3:AM$103,10,FALSE)/VLOOKUP(A70,Schlußkurse!A$5:AU$105,38,FALSE),""),"")</f>
        <v>#N/A</v>
      </c>
      <c r="G70" s="82" t="e">
        <f>IF(VLOOKUP(A70,Schlußkurse!A$5:AU$105,39,FALSE)&gt;0,IF(VLOOKUP(A70,Dividende_je_Aktie!A$3:AM$103,11,FALSE)&lt;&gt;"",VLOOKUP(A70,Dividende_je_Aktie!A$3:AM$103,11,FALSE)/VLOOKUP(A70,Schlußkurse!A$5:AU$105,39,FALSE),""),"")</f>
        <v>#N/A</v>
      </c>
      <c r="H70" s="82" t="e">
        <f>IF(VLOOKUP(A70,Schlußkurse!A$5:AU$105,40,FALSE)&gt;0,IF(VLOOKUP(A70,Dividende_je_Aktie!A$3:AM$103,12,FALSE)&lt;&gt;"",VLOOKUP(A70,Dividende_je_Aktie!A$3:AM$103,12,FALSE)/VLOOKUP(A70,Schlußkurse!A$5:AU$105,40,FALSE),""),"")</f>
        <v>#N/A</v>
      </c>
      <c r="I70" s="82" t="e">
        <f>IF(VLOOKUP(A70,Schlußkurse!A$5:AU$105,41,FALSE)&gt;0,IF(VLOOKUP(A70,Dividende_je_Aktie!A$3:AM$103,13,FALSE)&lt;&gt;"",VLOOKUP(A70,Dividende_je_Aktie!A$3:AM$103,13,FALSE)/VLOOKUP(A70,Schlußkurse!A$5:AU$105,41,FALSE),""),"")</f>
        <v>#N/A</v>
      </c>
      <c r="J70" s="82" t="e">
        <f>IF(VLOOKUP(A70,Schlußkurse!A$5:AU$105,42,FALSE)&gt;0,IF(VLOOKUP(A70,Dividende_je_Aktie!A$3:AM$103,14,FALSE)&lt;&gt;"",VLOOKUP(A70,Dividende_je_Aktie!A$3:AM$103,14,FALSE)/VLOOKUP(A70,Schlußkurse!A$5:AU$105,42,FALSE),""),"")</f>
        <v>#N/A</v>
      </c>
      <c r="K70" s="82" t="e">
        <f>IF(VLOOKUP(A70,Schlußkurse!A$5:AU$105,43,FALSE)&gt;0,IF(VLOOKUP(A70,Dividende_je_Aktie!A$3:AM$103,15,FALSE)&lt;&gt;"",VLOOKUP(A70,Dividende_je_Aktie!A$3:AM$103,15,FALSE)/VLOOKUP(A70,Schlußkurse!A$5:AU$105,43,FALSE),""),"")</f>
        <v>#N/A</v>
      </c>
      <c r="L70" s="82" t="e">
        <f>IF(VLOOKUP(A70,Schlußkurse!A$5:AU$105,44,FALSE)&gt;0,IF(VLOOKUP(A70,Dividende_je_Aktie!A$3:AM$103,16,FALSE)&lt;&gt;"",VLOOKUP(A70,Dividende_je_Aktie!A$3:AM$103,16,FALSE)/VLOOKUP(A70,Schlußkurse!A$5:AU$105,44,FALSE),""),"")</f>
        <v>#N/A</v>
      </c>
      <c r="M70" s="82" t="e">
        <f>IF(VLOOKUP(A70,Schlußkurse!A$5:AU$105,45,FALSE)&gt;0,IF(VLOOKUP(A70,Dividende_je_Aktie!A$3:AM$103,17,FALSE)&lt;&gt;"",VLOOKUP(A70,Dividende_je_Aktie!A$3:AM$103,17,FALSE)/VLOOKUP(A70,Schlußkurse!A$5:AU$105,45,FALSE),""),"")</f>
        <v>#N/A</v>
      </c>
      <c r="N70" s="82" t="e">
        <f>IF(VLOOKUP(A70,Schlußkurse!A$5:AU$105,46,FALSE)&gt;0,IF(VLOOKUP(A70,Dividende_je_Aktie!A$3:AM$103,18,FALSE)&lt;&gt;"",VLOOKUP(A70,Dividende_je_Aktie!A$3:AM$103,18,FALSE)/VLOOKUP(A70,Schlußkurse!A$5:AU$105,46,FALSE),""),"")</f>
        <v>#N/A</v>
      </c>
      <c r="O70" s="83" t="e">
        <f>IF(VLOOKUP(A70,Schlußkurse!A$5:AU$105,47,FALSE)&gt;0,IF(VLOOKUP(A70,Dividende_je_Aktie!A$3:AM$103,19,FALSE)&lt;&gt;"",VLOOKUP(A70,Dividende_je_Aktie!A$3:AM$103,19,FALSE)/VLOOKUP(A70,Schlußkurse!A$5:AU$105,47,FALSE),""),"")</f>
        <v>#N/A</v>
      </c>
      <c r="P70" s="5" t="e">
        <f t="shared" si="2"/>
        <v>#N/A</v>
      </c>
      <c r="Q70" s="5" t="e">
        <f>VLOOKUP(A70,Dividende_je_Aktie!A$3:AM$103,24,FALSE)/VLOOKUP(A70,Schlußkurse!A$5:AU$105,35,FALSE)</f>
        <v>#N/A</v>
      </c>
      <c r="R70" s="5" t="e">
        <f t="shared" si="3"/>
        <v>#N/A</v>
      </c>
    </row>
    <row r="71" spans="1:18" x14ac:dyDescent="0.25">
      <c r="C71" s="81" t="e">
        <f>IF(VLOOKUP(A71,Schlußkurse!A$5:AU$105,35,FALSE)&gt;0,IF(VLOOKUP(A71,Dividende_je_Aktie!A$3:AM$103,7,FALSE)&lt;&gt;"",VLOOKUP(A71,Dividende_je_Aktie!A$3:AM$103,7,FALSE)/VLOOKUP(A71,Schlußkurse!A$5:AU$105,35,FALSE),""),"")</f>
        <v>#N/A</v>
      </c>
      <c r="D71" s="82" t="e">
        <f>IF(VLOOKUP(A71,Schlußkurse!A$5:AU$105,36,FALSE)&gt;0,IF(VLOOKUP(A71,Dividende_je_Aktie!A$3:AM$103,8,FALSE)&lt;&gt;"",VLOOKUP(A71,Dividende_je_Aktie!A$3:AM$103,8,FALSE)/VLOOKUP(A71,Schlußkurse!A$5:AU$105,36,FALSE),""),"")</f>
        <v>#N/A</v>
      </c>
      <c r="E71" s="82" t="e">
        <f>IF(VLOOKUP(A71,Schlußkurse!A$5:AU$105,37,FALSE)&gt;0,IF(VLOOKUP(A71,Dividende_je_Aktie!A$3:AM$103,9,FALSE)&lt;&gt;"",VLOOKUP(A71,Dividende_je_Aktie!A$3:AM$103,9,FALSE)/VLOOKUP(A71,Schlußkurse!A$5:AU$105,37,FALSE),""),"")</f>
        <v>#N/A</v>
      </c>
      <c r="F71" s="82" t="e">
        <f>IF(VLOOKUP(A71,Schlußkurse!A$5:AU$105,38,FALSE)&gt;0,IF(VLOOKUP(A71,Dividende_je_Aktie!A$3:AM$103,10,FALSE)&lt;&gt;"",VLOOKUP(A71,Dividende_je_Aktie!A$3:AM$103,10,FALSE)/VLOOKUP(A71,Schlußkurse!A$5:AU$105,38,FALSE),""),"")</f>
        <v>#N/A</v>
      </c>
      <c r="G71" s="82" t="e">
        <f>IF(VLOOKUP(A71,Schlußkurse!A$5:AU$105,39,FALSE)&gt;0,IF(VLOOKUP(A71,Dividende_je_Aktie!A$3:AM$103,11,FALSE)&lt;&gt;"",VLOOKUP(A71,Dividende_je_Aktie!A$3:AM$103,11,FALSE)/VLOOKUP(A71,Schlußkurse!A$5:AU$105,39,FALSE),""),"")</f>
        <v>#N/A</v>
      </c>
      <c r="H71" s="82" t="e">
        <f>IF(VLOOKUP(A71,Schlußkurse!A$5:AU$105,40,FALSE)&gt;0,IF(VLOOKUP(A71,Dividende_je_Aktie!A$3:AM$103,12,FALSE)&lt;&gt;"",VLOOKUP(A71,Dividende_je_Aktie!A$3:AM$103,12,FALSE)/VLOOKUP(A71,Schlußkurse!A$5:AU$105,40,FALSE),""),"")</f>
        <v>#N/A</v>
      </c>
      <c r="I71" s="82" t="e">
        <f>IF(VLOOKUP(A71,Schlußkurse!A$5:AU$105,41,FALSE)&gt;0,IF(VLOOKUP(A71,Dividende_je_Aktie!A$3:AM$103,13,FALSE)&lt;&gt;"",VLOOKUP(A71,Dividende_je_Aktie!A$3:AM$103,13,FALSE)/VLOOKUP(A71,Schlußkurse!A$5:AU$105,41,FALSE),""),"")</f>
        <v>#N/A</v>
      </c>
      <c r="J71" s="82" t="e">
        <f>IF(VLOOKUP(A71,Schlußkurse!A$5:AU$105,42,FALSE)&gt;0,IF(VLOOKUP(A71,Dividende_je_Aktie!A$3:AM$103,14,FALSE)&lt;&gt;"",VLOOKUP(A71,Dividende_je_Aktie!A$3:AM$103,14,FALSE)/VLOOKUP(A71,Schlußkurse!A$5:AU$105,42,FALSE),""),"")</f>
        <v>#N/A</v>
      </c>
      <c r="K71" s="82" t="e">
        <f>IF(VLOOKUP(A71,Schlußkurse!A$5:AU$105,43,FALSE)&gt;0,IF(VLOOKUP(A71,Dividende_je_Aktie!A$3:AM$103,15,FALSE)&lt;&gt;"",VLOOKUP(A71,Dividende_je_Aktie!A$3:AM$103,15,FALSE)/VLOOKUP(A71,Schlußkurse!A$5:AU$105,43,FALSE),""),"")</f>
        <v>#N/A</v>
      </c>
      <c r="L71" s="82" t="e">
        <f>IF(VLOOKUP(A71,Schlußkurse!A$5:AU$105,44,FALSE)&gt;0,IF(VLOOKUP(A71,Dividende_je_Aktie!A$3:AM$103,16,FALSE)&lt;&gt;"",VLOOKUP(A71,Dividende_je_Aktie!A$3:AM$103,16,FALSE)/VLOOKUP(A71,Schlußkurse!A$5:AU$105,44,FALSE),""),"")</f>
        <v>#N/A</v>
      </c>
      <c r="M71" s="82" t="e">
        <f>IF(VLOOKUP(A71,Schlußkurse!A$5:AU$105,45,FALSE)&gt;0,IF(VLOOKUP(A71,Dividende_je_Aktie!A$3:AM$103,17,FALSE)&lt;&gt;"",VLOOKUP(A71,Dividende_je_Aktie!A$3:AM$103,17,FALSE)/VLOOKUP(A71,Schlußkurse!A$5:AU$105,45,FALSE),""),"")</f>
        <v>#N/A</v>
      </c>
      <c r="N71" s="82" t="e">
        <f>IF(VLOOKUP(A71,Schlußkurse!A$5:AU$105,46,FALSE)&gt;0,IF(VLOOKUP(A71,Dividende_je_Aktie!A$3:AM$103,18,FALSE)&lt;&gt;"",VLOOKUP(A71,Dividende_je_Aktie!A$3:AM$103,18,FALSE)/VLOOKUP(A71,Schlußkurse!A$5:AU$105,46,FALSE),""),"")</f>
        <v>#N/A</v>
      </c>
      <c r="O71" s="83" t="e">
        <f>IF(VLOOKUP(A71,Schlußkurse!A$5:AU$105,47,FALSE)&gt;0,IF(VLOOKUP(A71,Dividende_je_Aktie!A$3:AM$103,19,FALSE)&lt;&gt;"",VLOOKUP(A71,Dividende_je_Aktie!A$3:AM$103,19,FALSE)/VLOOKUP(A71,Schlußkurse!A$5:AU$105,47,FALSE),""),"")</f>
        <v>#N/A</v>
      </c>
      <c r="P71" s="5" t="e">
        <f t="shared" si="2"/>
        <v>#N/A</v>
      </c>
      <c r="Q71" s="5" t="e">
        <f>VLOOKUP(A71,Dividende_je_Aktie!A$3:AM$103,24,FALSE)/VLOOKUP(A71,Schlußkurse!A$5:AU$105,35,FALSE)</f>
        <v>#N/A</v>
      </c>
      <c r="R71" s="5" t="e">
        <f t="shared" si="3"/>
        <v>#N/A</v>
      </c>
    </row>
    <row r="72" spans="1:18" x14ac:dyDescent="0.25">
      <c r="C72" s="81" t="e">
        <f>IF(VLOOKUP(A72,Schlußkurse!A$5:AU$105,35,FALSE)&gt;0,IF(VLOOKUP(A72,Dividende_je_Aktie!A$3:AM$103,7,FALSE)&lt;&gt;"",VLOOKUP(A72,Dividende_je_Aktie!A$3:AM$103,7,FALSE)/VLOOKUP(A72,Schlußkurse!A$5:AU$105,35,FALSE),""),"")</f>
        <v>#N/A</v>
      </c>
      <c r="D72" s="82" t="e">
        <f>IF(VLOOKUP(A72,Schlußkurse!A$5:AU$105,36,FALSE)&gt;0,IF(VLOOKUP(A72,Dividende_je_Aktie!A$3:AM$103,8,FALSE)&lt;&gt;"",VLOOKUP(A72,Dividende_je_Aktie!A$3:AM$103,8,FALSE)/VLOOKUP(A72,Schlußkurse!A$5:AU$105,36,FALSE),""),"")</f>
        <v>#N/A</v>
      </c>
      <c r="E72" s="82" t="e">
        <f>IF(VLOOKUP(A72,Schlußkurse!A$5:AU$105,37,FALSE)&gt;0,IF(VLOOKUP(A72,Dividende_je_Aktie!A$3:AM$103,9,FALSE)&lt;&gt;"",VLOOKUP(A72,Dividende_je_Aktie!A$3:AM$103,9,FALSE)/VLOOKUP(A72,Schlußkurse!A$5:AU$105,37,FALSE),""),"")</f>
        <v>#N/A</v>
      </c>
      <c r="F72" s="82" t="e">
        <f>IF(VLOOKUP(A72,Schlußkurse!A$5:AU$105,38,FALSE)&gt;0,IF(VLOOKUP(A72,Dividende_je_Aktie!A$3:AM$103,10,FALSE)&lt;&gt;"",VLOOKUP(A72,Dividende_je_Aktie!A$3:AM$103,10,FALSE)/VLOOKUP(A72,Schlußkurse!A$5:AU$105,38,FALSE),""),"")</f>
        <v>#N/A</v>
      </c>
      <c r="G72" s="82" t="e">
        <f>IF(VLOOKUP(A72,Schlußkurse!A$5:AU$105,39,FALSE)&gt;0,IF(VLOOKUP(A72,Dividende_je_Aktie!A$3:AM$103,11,FALSE)&lt;&gt;"",VLOOKUP(A72,Dividende_je_Aktie!A$3:AM$103,11,FALSE)/VLOOKUP(A72,Schlußkurse!A$5:AU$105,39,FALSE),""),"")</f>
        <v>#N/A</v>
      </c>
      <c r="H72" s="82" t="e">
        <f>IF(VLOOKUP(A72,Schlußkurse!A$5:AU$105,40,FALSE)&gt;0,IF(VLOOKUP(A72,Dividende_je_Aktie!A$3:AM$103,12,FALSE)&lt;&gt;"",VLOOKUP(A72,Dividende_je_Aktie!A$3:AM$103,12,FALSE)/VLOOKUP(A72,Schlußkurse!A$5:AU$105,40,FALSE),""),"")</f>
        <v>#N/A</v>
      </c>
      <c r="I72" s="82" t="e">
        <f>IF(VLOOKUP(A72,Schlußkurse!A$5:AU$105,41,FALSE)&gt;0,IF(VLOOKUP(A72,Dividende_je_Aktie!A$3:AM$103,13,FALSE)&lt;&gt;"",VLOOKUP(A72,Dividende_je_Aktie!A$3:AM$103,13,FALSE)/VLOOKUP(A72,Schlußkurse!A$5:AU$105,41,FALSE),""),"")</f>
        <v>#N/A</v>
      </c>
      <c r="J72" s="82" t="e">
        <f>IF(VLOOKUP(A72,Schlußkurse!A$5:AU$105,42,FALSE)&gt;0,IF(VLOOKUP(A72,Dividende_je_Aktie!A$3:AM$103,14,FALSE)&lt;&gt;"",VLOOKUP(A72,Dividende_je_Aktie!A$3:AM$103,14,FALSE)/VLOOKUP(A72,Schlußkurse!A$5:AU$105,42,FALSE),""),"")</f>
        <v>#N/A</v>
      </c>
      <c r="K72" s="82" t="e">
        <f>IF(VLOOKUP(A72,Schlußkurse!A$5:AU$105,43,FALSE)&gt;0,IF(VLOOKUP(A72,Dividende_je_Aktie!A$3:AM$103,15,FALSE)&lt;&gt;"",VLOOKUP(A72,Dividende_je_Aktie!A$3:AM$103,15,FALSE)/VLOOKUP(A72,Schlußkurse!A$5:AU$105,43,FALSE),""),"")</f>
        <v>#N/A</v>
      </c>
      <c r="L72" s="82" t="e">
        <f>IF(VLOOKUP(A72,Schlußkurse!A$5:AU$105,44,FALSE)&gt;0,IF(VLOOKUP(A72,Dividende_je_Aktie!A$3:AM$103,16,FALSE)&lt;&gt;"",VLOOKUP(A72,Dividende_je_Aktie!A$3:AM$103,16,FALSE)/VLOOKUP(A72,Schlußkurse!A$5:AU$105,44,FALSE),""),"")</f>
        <v>#N/A</v>
      </c>
      <c r="M72" s="82" t="e">
        <f>IF(VLOOKUP(A72,Schlußkurse!A$5:AU$105,45,FALSE)&gt;0,IF(VLOOKUP(A72,Dividende_je_Aktie!A$3:AM$103,17,FALSE)&lt;&gt;"",VLOOKUP(A72,Dividende_je_Aktie!A$3:AM$103,17,FALSE)/VLOOKUP(A72,Schlußkurse!A$5:AU$105,45,FALSE),""),"")</f>
        <v>#N/A</v>
      </c>
      <c r="N72" s="82" t="e">
        <f>IF(VLOOKUP(A72,Schlußkurse!A$5:AU$105,46,FALSE)&gt;0,IF(VLOOKUP(A72,Dividende_je_Aktie!A$3:AM$103,18,FALSE)&lt;&gt;"",VLOOKUP(A72,Dividende_je_Aktie!A$3:AM$103,18,FALSE)/VLOOKUP(A72,Schlußkurse!A$5:AU$105,46,FALSE),""),"")</f>
        <v>#N/A</v>
      </c>
      <c r="O72" s="83" t="e">
        <f>IF(VLOOKUP(A72,Schlußkurse!A$5:AU$105,47,FALSE)&gt;0,IF(VLOOKUP(A72,Dividende_je_Aktie!A$3:AM$103,19,FALSE)&lt;&gt;"",VLOOKUP(A72,Dividende_je_Aktie!A$3:AM$103,19,FALSE)/VLOOKUP(A72,Schlußkurse!A$5:AU$105,47,FALSE),""),"")</f>
        <v>#N/A</v>
      </c>
      <c r="P72" s="5" t="e">
        <f t="shared" si="2"/>
        <v>#N/A</v>
      </c>
      <c r="Q72" s="5" t="e">
        <f>VLOOKUP(A72,Dividende_je_Aktie!A$3:AM$103,24,FALSE)/VLOOKUP(A72,Schlußkurse!A$5:AU$105,35,FALSE)</f>
        <v>#N/A</v>
      </c>
      <c r="R72" s="5" t="e">
        <f t="shared" si="3"/>
        <v>#N/A</v>
      </c>
    </row>
    <row r="73" spans="1:18" x14ac:dyDescent="0.25">
      <c r="C73" s="81" t="e">
        <f>IF(VLOOKUP(A73,Schlußkurse!A$5:AU$105,35,FALSE)&gt;0,IF(VLOOKUP(A73,Dividende_je_Aktie!A$3:AM$103,7,FALSE)&lt;&gt;"",VLOOKUP(A73,Dividende_je_Aktie!A$3:AM$103,7,FALSE)/VLOOKUP(A73,Schlußkurse!A$5:AU$105,35,FALSE),""),"")</f>
        <v>#N/A</v>
      </c>
      <c r="D73" s="82" t="e">
        <f>IF(VLOOKUP(A73,Schlußkurse!A$5:AU$105,36,FALSE)&gt;0,IF(VLOOKUP(A73,Dividende_je_Aktie!A$3:AM$103,8,FALSE)&lt;&gt;"",VLOOKUP(A73,Dividende_je_Aktie!A$3:AM$103,8,FALSE)/VLOOKUP(A73,Schlußkurse!A$5:AU$105,36,FALSE),""),"")</f>
        <v>#N/A</v>
      </c>
      <c r="E73" s="82" t="e">
        <f>IF(VLOOKUP(A73,Schlußkurse!A$5:AU$105,37,FALSE)&gt;0,IF(VLOOKUP(A73,Dividende_je_Aktie!A$3:AM$103,9,FALSE)&lt;&gt;"",VLOOKUP(A73,Dividende_je_Aktie!A$3:AM$103,9,FALSE)/VLOOKUP(A73,Schlußkurse!A$5:AU$105,37,FALSE),""),"")</f>
        <v>#N/A</v>
      </c>
      <c r="F73" s="82" t="e">
        <f>IF(VLOOKUP(A73,Schlußkurse!A$5:AU$105,38,FALSE)&gt;0,IF(VLOOKUP(A73,Dividende_je_Aktie!A$3:AM$103,10,FALSE)&lt;&gt;"",VLOOKUP(A73,Dividende_je_Aktie!A$3:AM$103,10,FALSE)/VLOOKUP(A73,Schlußkurse!A$5:AU$105,38,FALSE),""),"")</f>
        <v>#N/A</v>
      </c>
      <c r="G73" s="82" t="e">
        <f>IF(VLOOKUP(A73,Schlußkurse!A$5:AU$105,39,FALSE)&gt;0,IF(VLOOKUP(A73,Dividende_je_Aktie!A$3:AM$103,11,FALSE)&lt;&gt;"",VLOOKUP(A73,Dividende_je_Aktie!A$3:AM$103,11,FALSE)/VLOOKUP(A73,Schlußkurse!A$5:AU$105,39,FALSE),""),"")</f>
        <v>#N/A</v>
      </c>
      <c r="H73" s="82" t="e">
        <f>IF(VLOOKUP(A73,Schlußkurse!A$5:AU$105,40,FALSE)&gt;0,IF(VLOOKUP(A73,Dividende_je_Aktie!A$3:AM$103,12,FALSE)&lt;&gt;"",VLOOKUP(A73,Dividende_je_Aktie!A$3:AM$103,12,FALSE)/VLOOKUP(A73,Schlußkurse!A$5:AU$105,40,FALSE),""),"")</f>
        <v>#N/A</v>
      </c>
      <c r="I73" s="82" t="e">
        <f>IF(VLOOKUP(A73,Schlußkurse!A$5:AU$105,41,FALSE)&gt;0,IF(VLOOKUP(A73,Dividende_je_Aktie!A$3:AM$103,13,FALSE)&lt;&gt;"",VLOOKUP(A73,Dividende_je_Aktie!A$3:AM$103,13,FALSE)/VLOOKUP(A73,Schlußkurse!A$5:AU$105,41,FALSE),""),"")</f>
        <v>#N/A</v>
      </c>
      <c r="J73" s="82" t="e">
        <f>IF(VLOOKUP(A73,Schlußkurse!A$5:AU$105,42,FALSE)&gt;0,IF(VLOOKUP(A73,Dividende_je_Aktie!A$3:AM$103,14,FALSE)&lt;&gt;"",VLOOKUP(A73,Dividende_je_Aktie!A$3:AM$103,14,FALSE)/VLOOKUP(A73,Schlußkurse!A$5:AU$105,42,FALSE),""),"")</f>
        <v>#N/A</v>
      </c>
      <c r="K73" s="82" t="e">
        <f>IF(VLOOKUP(A73,Schlußkurse!A$5:AU$105,43,FALSE)&gt;0,IF(VLOOKUP(A73,Dividende_je_Aktie!A$3:AM$103,15,FALSE)&lt;&gt;"",VLOOKUP(A73,Dividende_je_Aktie!A$3:AM$103,15,FALSE)/VLOOKUP(A73,Schlußkurse!A$5:AU$105,43,FALSE),""),"")</f>
        <v>#N/A</v>
      </c>
      <c r="L73" s="82" t="e">
        <f>IF(VLOOKUP(A73,Schlußkurse!A$5:AU$105,44,FALSE)&gt;0,IF(VLOOKUP(A73,Dividende_je_Aktie!A$3:AM$103,16,FALSE)&lt;&gt;"",VLOOKUP(A73,Dividende_je_Aktie!A$3:AM$103,16,FALSE)/VLOOKUP(A73,Schlußkurse!A$5:AU$105,44,FALSE),""),"")</f>
        <v>#N/A</v>
      </c>
      <c r="M73" s="82" t="e">
        <f>IF(VLOOKUP(A73,Schlußkurse!A$5:AU$105,45,FALSE)&gt;0,IF(VLOOKUP(A73,Dividende_je_Aktie!A$3:AM$103,17,FALSE)&lt;&gt;"",VLOOKUP(A73,Dividende_je_Aktie!A$3:AM$103,17,FALSE)/VLOOKUP(A73,Schlußkurse!A$5:AU$105,45,FALSE),""),"")</f>
        <v>#N/A</v>
      </c>
      <c r="N73" s="82" t="e">
        <f>IF(VLOOKUP(A73,Schlußkurse!A$5:AU$105,46,FALSE)&gt;0,IF(VLOOKUP(A73,Dividende_je_Aktie!A$3:AM$103,18,FALSE)&lt;&gt;"",VLOOKUP(A73,Dividende_je_Aktie!A$3:AM$103,18,FALSE)/VLOOKUP(A73,Schlußkurse!A$5:AU$105,46,FALSE),""),"")</f>
        <v>#N/A</v>
      </c>
      <c r="O73" s="83" t="e">
        <f>IF(VLOOKUP(A73,Schlußkurse!A$5:AU$105,47,FALSE)&gt;0,IF(VLOOKUP(A73,Dividende_je_Aktie!A$3:AM$103,19,FALSE)&lt;&gt;"",VLOOKUP(A73,Dividende_je_Aktie!A$3:AM$103,19,FALSE)/VLOOKUP(A73,Schlußkurse!A$5:AU$105,47,FALSE),""),"")</f>
        <v>#N/A</v>
      </c>
      <c r="P73" s="5" t="e">
        <f t="shared" si="2"/>
        <v>#N/A</v>
      </c>
      <c r="Q73" s="5" t="e">
        <f>VLOOKUP(A73,Dividende_je_Aktie!A$3:AM$103,24,FALSE)/VLOOKUP(A73,Schlußkurse!A$5:AU$105,35,FALSE)</f>
        <v>#N/A</v>
      </c>
      <c r="R73" s="5" t="e">
        <f t="shared" si="3"/>
        <v>#N/A</v>
      </c>
    </row>
    <row r="74" spans="1:18" x14ac:dyDescent="0.25">
      <c r="C74" s="81" t="e">
        <f>IF(VLOOKUP(A74,Schlußkurse!A$5:AU$105,35,FALSE)&gt;0,IF(VLOOKUP(A74,Dividende_je_Aktie!A$3:AM$103,7,FALSE)&lt;&gt;"",VLOOKUP(A74,Dividende_je_Aktie!A$3:AM$103,7,FALSE)/VLOOKUP(A74,Schlußkurse!A$5:AU$105,35,FALSE),""),"")</f>
        <v>#N/A</v>
      </c>
      <c r="D74" s="82" t="e">
        <f>IF(VLOOKUP(A74,Schlußkurse!A$5:AU$105,36,FALSE)&gt;0,IF(VLOOKUP(A74,Dividende_je_Aktie!A$3:AM$103,8,FALSE)&lt;&gt;"",VLOOKUP(A74,Dividende_je_Aktie!A$3:AM$103,8,FALSE)/VLOOKUP(A74,Schlußkurse!A$5:AU$105,36,FALSE),""),"")</f>
        <v>#N/A</v>
      </c>
      <c r="E74" s="82" t="e">
        <f>IF(VLOOKUP(A74,Schlußkurse!A$5:AU$105,37,FALSE)&gt;0,IF(VLOOKUP(A74,Dividende_je_Aktie!A$3:AM$103,9,FALSE)&lt;&gt;"",VLOOKUP(A74,Dividende_je_Aktie!A$3:AM$103,9,FALSE)/VLOOKUP(A74,Schlußkurse!A$5:AU$105,37,FALSE),""),"")</f>
        <v>#N/A</v>
      </c>
      <c r="F74" s="82" t="e">
        <f>IF(VLOOKUP(A74,Schlußkurse!A$5:AU$105,38,FALSE)&gt;0,IF(VLOOKUP(A74,Dividende_je_Aktie!A$3:AM$103,10,FALSE)&lt;&gt;"",VLOOKUP(A74,Dividende_je_Aktie!A$3:AM$103,10,FALSE)/VLOOKUP(A74,Schlußkurse!A$5:AU$105,38,FALSE),""),"")</f>
        <v>#N/A</v>
      </c>
      <c r="G74" s="82" t="e">
        <f>IF(VLOOKUP(A74,Schlußkurse!A$5:AU$105,39,FALSE)&gt;0,IF(VLOOKUP(A74,Dividende_je_Aktie!A$3:AM$103,11,FALSE)&lt;&gt;"",VLOOKUP(A74,Dividende_je_Aktie!A$3:AM$103,11,FALSE)/VLOOKUP(A74,Schlußkurse!A$5:AU$105,39,FALSE),""),"")</f>
        <v>#N/A</v>
      </c>
      <c r="H74" s="82" t="e">
        <f>IF(VLOOKUP(A74,Schlußkurse!A$5:AU$105,40,FALSE)&gt;0,IF(VLOOKUP(A74,Dividende_je_Aktie!A$3:AM$103,12,FALSE)&lt;&gt;"",VLOOKUP(A74,Dividende_je_Aktie!A$3:AM$103,12,FALSE)/VLOOKUP(A74,Schlußkurse!A$5:AU$105,40,FALSE),""),"")</f>
        <v>#N/A</v>
      </c>
      <c r="I74" s="82" t="e">
        <f>IF(VLOOKUP(A74,Schlußkurse!A$5:AU$105,41,FALSE)&gt;0,IF(VLOOKUP(A74,Dividende_je_Aktie!A$3:AM$103,13,FALSE)&lt;&gt;"",VLOOKUP(A74,Dividende_je_Aktie!A$3:AM$103,13,FALSE)/VLOOKUP(A74,Schlußkurse!A$5:AU$105,41,FALSE),""),"")</f>
        <v>#N/A</v>
      </c>
      <c r="J74" s="82" t="e">
        <f>IF(VLOOKUP(A74,Schlußkurse!A$5:AU$105,42,FALSE)&gt;0,IF(VLOOKUP(A74,Dividende_je_Aktie!A$3:AM$103,14,FALSE)&lt;&gt;"",VLOOKUP(A74,Dividende_je_Aktie!A$3:AM$103,14,FALSE)/VLOOKUP(A74,Schlußkurse!A$5:AU$105,42,FALSE),""),"")</f>
        <v>#N/A</v>
      </c>
      <c r="K74" s="82" t="e">
        <f>IF(VLOOKUP(A74,Schlußkurse!A$5:AU$105,43,FALSE)&gt;0,IF(VLOOKUP(A74,Dividende_je_Aktie!A$3:AM$103,15,FALSE)&lt;&gt;"",VLOOKUP(A74,Dividende_je_Aktie!A$3:AM$103,15,FALSE)/VLOOKUP(A74,Schlußkurse!A$5:AU$105,43,FALSE),""),"")</f>
        <v>#N/A</v>
      </c>
      <c r="L74" s="82" t="e">
        <f>IF(VLOOKUP(A74,Schlußkurse!A$5:AU$105,44,FALSE)&gt;0,IF(VLOOKUP(A74,Dividende_je_Aktie!A$3:AM$103,16,FALSE)&lt;&gt;"",VLOOKUP(A74,Dividende_je_Aktie!A$3:AM$103,16,FALSE)/VLOOKUP(A74,Schlußkurse!A$5:AU$105,44,FALSE),""),"")</f>
        <v>#N/A</v>
      </c>
      <c r="M74" s="82" t="e">
        <f>IF(VLOOKUP(A74,Schlußkurse!A$5:AU$105,45,FALSE)&gt;0,IF(VLOOKUP(A74,Dividende_je_Aktie!A$3:AM$103,17,FALSE)&lt;&gt;"",VLOOKUP(A74,Dividende_je_Aktie!A$3:AM$103,17,FALSE)/VLOOKUP(A74,Schlußkurse!A$5:AU$105,45,FALSE),""),"")</f>
        <v>#N/A</v>
      </c>
      <c r="N74" s="82" t="e">
        <f>IF(VLOOKUP(A74,Schlußkurse!A$5:AU$105,46,FALSE)&gt;0,IF(VLOOKUP(A74,Dividende_je_Aktie!A$3:AM$103,18,FALSE)&lt;&gt;"",VLOOKUP(A74,Dividende_je_Aktie!A$3:AM$103,18,FALSE)/VLOOKUP(A74,Schlußkurse!A$5:AU$105,46,FALSE),""),"")</f>
        <v>#N/A</v>
      </c>
      <c r="O74" s="83" t="e">
        <f>IF(VLOOKUP(A74,Schlußkurse!A$5:AU$105,47,FALSE)&gt;0,IF(VLOOKUP(A74,Dividende_je_Aktie!A$3:AM$103,19,FALSE)&lt;&gt;"",VLOOKUP(A74,Dividende_je_Aktie!A$3:AM$103,19,FALSE)/VLOOKUP(A74,Schlußkurse!A$5:AU$105,47,FALSE),""),"")</f>
        <v>#N/A</v>
      </c>
      <c r="P74" s="5" t="e">
        <f t="shared" si="2"/>
        <v>#N/A</v>
      </c>
      <c r="Q74" s="5" t="e">
        <f>VLOOKUP(A74,Dividende_je_Aktie!A$3:AM$103,24,FALSE)/VLOOKUP(A74,Schlußkurse!A$5:AU$105,35,FALSE)</f>
        <v>#N/A</v>
      </c>
      <c r="R74" s="5" t="e">
        <f t="shared" si="3"/>
        <v>#N/A</v>
      </c>
    </row>
    <row r="75" spans="1:18" x14ac:dyDescent="0.25">
      <c r="C75" s="81" t="e">
        <f>IF(VLOOKUP(A75,Schlußkurse!A$5:AU$105,35,FALSE)&gt;0,IF(VLOOKUP(A75,Dividende_je_Aktie!A$3:AM$103,7,FALSE)&lt;&gt;"",VLOOKUP(A75,Dividende_je_Aktie!A$3:AM$103,7,FALSE)/VLOOKUP(A75,Schlußkurse!A$5:AU$105,35,FALSE),""),"")</f>
        <v>#N/A</v>
      </c>
      <c r="D75" s="82" t="e">
        <f>IF(VLOOKUP(A75,Schlußkurse!A$5:AU$105,36,FALSE)&gt;0,IF(VLOOKUP(A75,Dividende_je_Aktie!A$3:AM$103,8,FALSE)&lt;&gt;"",VLOOKUP(A75,Dividende_je_Aktie!A$3:AM$103,8,FALSE)/VLOOKUP(A75,Schlußkurse!A$5:AU$105,36,FALSE),""),"")</f>
        <v>#N/A</v>
      </c>
      <c r="E75" s="82" t="e">
        <f>IF(VLOOKUP(A75,Schlußkurse!A$5:AU$105,37,FALSE)&gt;0,IF(VLOOKUP(A75,Dividende_je_Aktie!A$3:AM$103,9,FALSE)&lt;&gt;"",VLOOKUP(A75,Dividende_je_Aktie!A$3:AM$103,9,FALSE)/VLOOKUP(A75,Schlußkurse!A$5:AU$105,37,FALSE),""),"")</f>
        <v>#N/A</v>
      </c>
      <c r="F75" s="82" t="e">
        <f>IF(VLOOKUP(A75,Schlußkurse!A$5:AU$105,38,FALSE)&gt;0,IF(VLOOKUP(A75,Dividende_je_Aktie!A$3:AM$103,10,FALSE)&lt;&gt;"",VLOOKUP(A75,Dividende_je_Aktie!A$3:AM$103,10,FALSE)/VLOOKUP(A75,Schlußkurse!A$5:AU$105,38,FALSE),""),"")</f>
        <v>#N/A</v>
      </c>
      <c r="G75" s="82" t="e">
        <f>IF(VLOOKUP(A75,Schlußkurse!A$5:AU$105,39,FALSE)&gt;0,IF(VLOOKUP(A75,Dividende_je_Aktie!A$3:AM$103,11,FALSE)&lt;&gt;"",VLOOKUP(A75,Dividende_je_Aktie!A$3:AM$103,11,FALSE)/VLOOKUP(A75,Schlußkurse!A$5:AU$105,39,FALSE),""),"")</f>
        <v>#N/A</v>
      </c>
      <c r="H75" s="82" t="e">
        <f>IF(VLOOKUP(A75,Schlußkurse!A$5:AU$105,40,FALSE)&gt;0,IF(VLOOKUP(A75,Dividende_je_Aktie!A$3:AM$103,12,FALSE)&lt;&gt;"",VLOOKUP(A75,Dividende_je_Aktie!A$3:AM$103,12,FALSE)/VLOOKUP(A75,Schlußkurse!A$5:AU$105,40,FALSE),""),"")</f>
        <v>#N/A</v>
      </c>
      <c r="I75" s="82" t="e">
        <f>IF(VLOOKUP(A75,Schlußkurse!A$5:AU$105,41,FALSE)&gt;0,IF(VLOOKUP(A75,Dividende_je_Aktie!A$3:AM$103,13,FALSE)&lt;&gt;"",VLOOKUP(A75,Dividende_je_Aktie!A$3:AM$103,13,FALSE)/VLOOKUP(A75,Schlußkurse!A$5:AU$105,41,FALSE),""),"")</f>
        <v>#N/A</v>
      </c>
      <c r="J75" s="82" t="e">
        <f>IF(VLOOKUP(A75,Schlußkurse!A$5:AU$105,42,FALSE)&gt;0,IF(VLOOKUP(A75,Dividende_je_Aktie!A$3:AM$103,14,FALSE)&lt;&gt;"",VLOOKUP(A75,Dividende_je_Aktie!A$3:AM$103,14,FALSE)/VLOOKUP(A75,Schlußkurse!A$5:AU$105,42,FALSE),""),"")</f>
        <v>#N/A</v>
      </c>
      <c r="K75" s="82" t="e">
        <f>IF(VLOOKUP(A75,Schlußkurse!A$5:AU$105,43,FALSE)&gt;0,IF(VLOOKUP(A75,Dividende_je_Aktie!A$3:AM$103,15,FALSE)&lt;&gt;"",VLOOKUP(A75,Dividende_je_Aktie!A$3:AM$103,15,FALSE)/VLOOKUP(A75,Schlußkurse!A$5:AU$105,43,FALSE),""),"")</f>
        <v>#N/A</v>
      </c>
      <c r="L75" s="82" t="e">
        <f>IF(VLOOKUP(A75,Schlußkurse!A$5:AU$105,44,FALSE)&gt;0,IF(VLOOKUP(A75,Dividende_je_Aktie!A$3:AM$103,16,FALSE)&lt;&gt;"",VLOOKUP(A75,Dividende_je_Aktie!A$3:AM$103,16,FALSE)/VLOOKUP(A75,Schlußkurse!A$5:AU$105,44,FALSE),""),"")</f>
        <v>#N/A</v>
      </c>
      <c r="M75" s="82" t="e">
        <f>IF(VLOOKUP(A75,Schlußkurse!A$5:AU$105,45,FALSE)&gt;0,IF(VLOOKUP(A75,Dividende_je_Aktie!A$3:AM$103,17,FALSE)&lt;&gt;"",VLOOKUP(A75,Dividende_je_Aktie!A$3:AM$103,17,FALSE)/VLOOKUP(A75,Schlußkurse!A$5:AU$105,45,FALSE),""),"")</f>
        <v>#N/A</v>
      </c>
      <c r="N75" s="82" t="e">
        <f>IF(VLOOKUP(A75,Schlußkurse!A$5:AU$105,46,FALSE)&gt;0,IF(VLOOKUP(A75,Dividende_je_Aktie!A$3:AM$103,18,FALSE)&lt;&gt;"",VLOOKUP(A75,Dividende_je_Aktie!A$3:AM$103,18,FALSE)/VLOOKUP(A75,Schlußkurse!A$5:AU$105,46,FALSE),""),"")</f>
        <v>#N/A</v>
      </c>
      <c r="O75" s="83" t="e">
        <f>IF(VLOOKUP(A75,Schlußkurse!A$5:AU$105,47,FALSE)&gt;0,IF(VLOOKUP(A75,Dividende_je_Aktie!A$3:AM$103,19,FALSE)&lt;&gt;"",VLOOKUP(A75,Dividende_je_Aktie!A$3:AM$103,19,FALSE)/VLOOKUP(A75,Schlußkurse!A$5:AU$105,47,FALSE),""),"")</f>
        <v>#N/A</v>
      </c>
      <c r="P75" s="5" t="e">
        <f t="shared" si="2"/>
        <v>#N/A</v>
      </c>
      <c r="Q75" s="5" t="e">
        <f>VLOOKUP(A75,Dividende_je_Aktie!A$3:AM$103,24,FALSE)/VLOOKUP(A75,Schlußkurse!A$5:AU$105,35,FALSE)</f>
        <v>#N/A</v>
      </c>
      <c r="R75" s="5" t="e">
        <f t="shared" si="3"/>
        <v>#N/A</v>
      </c>
    </row>
    <row r="76" spans="1:18" x14ac:dyDescent="0.25">
      <c r="C76" s="81" t="e">
        <f>IF(VLOOKUP(A76,Schlußkurse!A$5:AU$105,35,FALSE)&gt;0,IF(VLOOKUP(A76,Dividende_je_Aktie!A$3:AM$103,7,FALSE)&lt;&gt;"",VLOOKUP(A76,Dividende_je_Aktie!A$3:AM$103,7,FALSE)/VLOOKUP(A76,Schlußkurse!A$5:AU$105,35,FALSE),""),"")</f>
        <v>#N/A</v>
      </c>
      <c r="D76" s="82" t="e">
        <f>IF(VLOOKUP(A76,Schlußkurse!A$5:AU$105,36,FALSE)&gt;0,IF(VLOOKUP(A76,Dividende_je_Aktie!A$3:AM$103,8,FALSE)&lt;&gt;"",VLOOKUP(A76,Dividende_je_Aktie!A$3:AM$103,8,FALSE)/VLOOKUP(A76,Schlußkurse!A$5:AU$105,36,FALSE),""),"")</f>
        <v>#N/A</v>
      </c>
      <c r="E76" s="82" t="e">
        <f>IF(VLOOKUP(A76,Schlußkurse!A$5:AU$105,37,FALSE)&gt;0,IF(VLOOKUP(A76,Dividende_je_Aktie!A$3:AM$103,9,FALSE)&lt;&gt;"",VLOOKUP(A76,Dividende_je_Aktie!A$3:AM$103,9,FALSE)/VLOOKUP(A76,Schlußkurse!A$5:AU$105,37,FALSE),""),"")</f>
        <v>#N/A</v>
      </c>
      <c r="F76" s="82" t="e">
        <f>IF(VLOOKUP(A76,Schlußkurse!A$5:AU$105,38,FALSE)&gt;0,IF(VLOOKUP(A76,Dividende_je_Aktie!A$3:AM$103,10,FALSE)&lt;&gt;"",VLOOKUP(A76,Dividende_je_Aktie!A$3:AM$103,10,FALSE)/VLOOKUP(A76,Schlußkurse!A$5:AU$105,38,FALSE),""),"")</f>
        <v>#N/A</v>
      </c>
      <c r="G76" s="82" t="e">
        <f>IF(VLOOKUP(A76,Schlußkurse!A$5:AU$105,39,FALSE)&gt;0,IF(VLOOKUP(A76,Dividende_je_Aktie!A$3:AM$103,11,FALSE)&lt;&gt;"",VLOOKUP(A76,Dividende_je_Aktie!A$3:AM$103,11,FALSE)/VLOOKUP(A76,Schlußkurse!A$5:AU$105,39,FALSE),""),"")</f>
        <v>#N/A</v>
      </c>
      <c r="H76" s="82" t="e">
        <f>IF(VLOOKUP(A76,Schlußkurse!A$5:AU$105,40,FALSE)&gt;0,IF(VLOOKUP(A76,Dividende_je_Aktie!A$3:AM$103,12,FALSE)&lt;&gt;"",VLOOKUP(A76,Dividende_je_Aktie!A$3:AM$103,12,FALSE)/VLOOKUP(A76,Schlußkurse!A$5:AU$105,40,FALSE),""),"")</f>
        <v>#N/A</v>
      </c>
      <c r="I76" s="82" t="e">
        <f>IF(VLOOKUP(A76,Schlußkurse!A$5:AU$105,41,FALSE)&gt;0,IF(VLOOKUP(A76,Dividende_je_Aktie!A$3:AM$103,13,FALSE)&lt;&gt;"",VLOOKUP(A76,Dividende_je_Aktie!A$3:AM$103,13,FALSE)/VLOOKUP(A76,Schlußkurse!A$5:AU$105,41,FALSE),""),"")</f>
        <v>#N/A</v>
      </c>
      <c r="J76" s="82" t="e">
        <f>IF(VLOOKUP(A76,Schlußkurse!A$5:AU$105,42,FALSE)&gt;0,IF(VLOOKUP(A76,Dividende_je_Aktie!A$3:AM$103,14,FALSE)&lt;&gt;"",VLOOKUP(A76,Dividende_je_Aktie!A$3:AM$103,14,FALSE)/VLOOKUP(A76,Schlußkurse!A$5:AU$105,42,FALSE),""),"")</f>
        <v>#N/A</v>
      </c>
      <c r="K76" s="82" t="e">
        <f>IF(VLOOKUP(A76,Schlußkurse!A$5:AU$105,43,FALSE)&gt;0,IF(VLOOKUP(A76,Dividende_je_Aktie!A$3:AM$103,15,FALSE)&lt;&gt;"",VLOOKUP(A76,Dividende_je_Aktie!A$3:AM$103,15,FALSE)/VLOOKUP(A76,Schlußkurse!A$5:AU$105,43,FALSE),""),"")</f>
        <v>#N/A</v>
      </c>
      <c r="L76" s="82" t="e">
        <f>IF(VLOOKUP(A76,Schlußkurse!A$5:AU$105,44,FALSE)&gt;0,IF(VLOOKUP(A76,Dividende_je_Aktie!A$3:AM$103,16,FALSE)&lt;&gt;"",VLOOKUP(A76,Dividende_je_Aktie!A$3:AM$103,16,FALSE)/VLOOKUP(A76,Schlußkurse!A$5:AU$105,44,FALSE),""),"")</f>
        <v>#N/A</v>
      </c>
      <c r="M76" s="82" t="e">
        <f>IF(VLOOKUP(A76,Schlußkurse!A$5:AU$105,45,FALSE)&gt;0,IF(VLOOKUP(A76,Dividende_je_Aktie!A$3:AM$103,17,FALSE)&lt;&gt;"",VLOOKUP(A76,Dividende_je_Aktie!A$3:AM$103,17,FALSE)/VLOOKUP(A76,Schlußkurse!A$5:AU$105,45,FALSE),""),"")</f>
        <v>#N/A</v>
      </c>
      <c r="N76" s="82" t="e">
        <f>IF(VLOOKUP(A76,Schlußkurse!A$5:AU$105,46,FALSE)&gt;0,IF(VLOOKUP(A76,Dividende_je_Aktie!A$3:AM$103,18,FALSE)&lt;&gt;"",VLOOKUP(A76,Dividende_je_Aktie!A$3:AM$103,18,FALSE)/VLOOKUP(A76,Schlußkurse!A$5:AU$105,46,FALSE),""),"")</f>
        <v>#N/A</v>
      </c>
      <c r="O76" s="83" t="e">
        <f>IF(VLOOKUP(A76,Schlußkurse!A$5:AU$105,47,FALSE)&gt;0,IF(VLOOKUP(A76,Dividende_je_Aktie!A$3:AM$103,19,FALSE)&lt;&gt;"",VLOOKUP(A76,Dividende_je_Aktie!A$3:AM$103,19,FALSE)/VLOOKUP(A76,Schlußkurse!A$5:AU$105,47,FALSE),""),"")</f>
        <v>#N/A</v>
      </c>
      <c r="P76" s="5" t="e">
        <f t="shared" si="2"/>
        <v>#N/A</v>
      </c>
      <c r="Q76" s="5" t="e">
        <f>VLOOKUP(A76,Dividende_je_Aktie!A$3:AM$103,24,FALSE)/VLOOKUP(A76,Schlußkurse!A$5:AU$105,35,FALSE)</f>
        <v>#N/A</v>
      </c>
      <c r="R76" s="5" t="e">
        <f t="shared" si="3"/>
        <v>#N/A</v>
      </c>
    </row>
    <row r="77" spans="1:18" x14ac:dyDescent="0.25">
      <c r="C77" s="81" t="e">
        <f>IF(VLOOKUP(A77,Schlußkurse!A$5:AU$105,35,FALSE)&gt;0,IF(VLOOKUP(A77,Dividende_je_Aktie!A$3:AM$103,7,FALSE)&lt;&gt;"",VLOOKUP(A77,Dividende_je_Aktie!A$3:AM$103,7,FALSE)/VLOOKUP(A77,Schlußkurse!A$5:AU$105,35,FALSE),""),"")</f>
        <v>#N/A</v>
      </c>
      <c r="D77" s="82" t="e">
        <f>IF(VLOOKUP(A77,Schlußkurse!A$5:AU$105,36,FALSE)&gt;0,IF(VLOOKUP(A77,Dividende_je_Aktie!A$3:AM$103,8,FALSE)&lt;&gt;"",VLOOKUP(A77,Dividende_je_Aktie!A$3:AM$103,8,FALSE)/VLOOKUP(A77,Schlußkurse!A$5:AU$105,36,FALSE),""),"")</f>
        <v>#N/A</v>
      </c>
      <c r="E77" s="82" t="e">
        <f>IF(VLOOKUP(A77,Schlußkurse!A$5:AU$105,37,FALSE)&gt;0,IF(VLOOKUP(A77,Dividende_je_Aktie!A$3:AM$103,9,FALSE)&lt;&gt;"",VLOOKUP(A77,Dividende_je_Aktie!A$3:AM$103,9,FALSE)/VLOOKUP(A77,Schlußkurse!A$5:AU$105,37,FALSE),""),"")</f>
        <v>#N/A</v>
      </c>
      <c r="F77" s="82" t="e">
        <f>IF(VLOOKUP(A77,Schlußkurse!A$5:AU$105,38,FALSE)&gt;0,IF(VLOOKUP(A77,Dividende_je_Aktie!A$3:AM$103,10,FALSE)&lt;&gt;"",VLOOKUP(A77,Dividende_je_Aktie!A$3:AM$103,10,FALSE)/VLOOKUP(A77,Schlußkurse!A$5:AU$105,38,FALSE),""),"")</f>
        <v>#N/A</v>
      </c>
      <c r="G77" s="82" t="e">
        <f>IF(VLOOKUP(A77,Schlußkurse!A$5:AU$105,39,FALSE)&gt;0,IF(VLOOKUP(A77,Dividende_je_Aktie!A$3:AM$103,11,FALSE)&lt;&gt;"",VLOOKUP(A77,Dividende_je_Aktie!A$3:AM$103,11,FALSE)/VLOOKUP(A77,Schlußkurse!A$5:AU$105,39,FALSE),""),"")</f>
        <v>#N/A</v>
      </c>
      <c r="H77" s="82" t="e">
        <f>IF(VLOOKUP(A77,Schlußkurse!A$5:AU$105,40,FALSE)&gt;0,IF(VLOOKUP(A77,Dividende_je_Aktie!A$3:AM$103,12,FALSE)&lt;&gt;"",VLOOKUP(A77,Dividende_je_Aktie!A$3:AM$103,12,FALSE)/VLOOKUP(A77,Schlußkurse!A$5:AU$105,40,FALSE),""),"")</f>
        <v>#N/A</v>
      </c>
      <c r="I77" s="82" t="e">
        <f>IF(VLOOKUP(A77,Schlußkurse!A$5:AU$105,41,FALSE)&gt;0,IF(VLOOKUP(A77,Dividende_je_Aktie!A$3:AM$103,13,FALSE)&lt;&gt;"",VLOOKUP(A77,Dividende_je_Aktie!A$3:AM$103,13,FALSE)/VLOOKUP(A77,Schlußkurse!A$5:AU$105,41,FALSE),""),"")</f>
        <v>#N/A</v>
      </c>
      <c r="J77" s="82" t="e">
        <f>IF(VLOOKUP(A77,Schlußkurse!A$5:AU$105,42,FALSE)&gt;0,IF(VLOOKUP(A77,Dividende_je_Aktie!A$3:AM$103,14,FALSE)&lt;&gt;"",VLOOKUP(A77,Dividende_je_Aktie!A$3:AM$103,14,FALSE)/VLOOKUP(A77,Schlußkurse!A$5:AU$105,42,FALSE),""),"")</f>
        <v>#N/A</v>
      </c>
      <c r="K77" s="82" t="e">
        <f>IF(VLOOKUP(A77,Schlußkurse!A$5:AU$105,43,FALSE)&gt;0,IF(VLOOKUP(A77,Dividende_je_Aktie!A$3:AM$103,15,FALSE)&lt;&gt;"",VLOOKUP(A77,Dividende_je_Aktie!A$3:AM$103,15,FALSE)/VLOOKUP(A77,Schlußkurse!A$5:AU$105,43,FALSE),""),"")</f>
        <v>#N/A</v>
      </c>
      <c r="L77" s="82" t="e">
        <f>IF(VLOOKUP(A77,Schlußkurse!A$5:AU$105,44,FALSE)&gt;0,IF(VLOOKUP(A77,Dividende_je_Aktie!A$3:AM$103,16,FALSE)&lt;&gt;"",VLOOKUP(A77,Dividende_je_Aktie!A$3:AM$103,16,FALSE)/VLOOKUP(A77,Schlußkurse!A$5:AU$105,44,FALSE),""),"")</f>
        <v>#N/A</v>
      </c>
      <c r="M77" s="82" t="e">
        <f>IF(VLOOKUP(A77,Schlußkurse!A$5:AU$105,45,FALSE)&gt;0,IF(VLOOKUP(A77,Dividende_je_Aktie!A$3:AM$103,17,FALSE)&lt;&gt;"",VLOOKUP(A77,Dividende_je_Aktie!A$3:AM$103,17,FALSE)/VLOOKUP(A77,Schlußkurse!A$5:AU$105,45,FALSE),""),"")</f>
        <v>#N/A</v>
      </c>
      <c r="N77" s="82" t="e">
        <f>IF(VLOOKUP(A77,Schlußkurse!A$5:AU$105,46,FALSE)&gt;0,IF(VLOOKUP(A77,Dividende_je_Aktie!A$3:AM$103,18,FALSE)&lt;&gt;"",VLOOKUP(A77,Dividende_je_Aktie!A$3:AM$103,18,FALSE)/VLOOKUP(A77,Schlußkurse!A$5:AU$105,46,FALSE),""),"")</f>
        <v>#N/A</v>
      </c>
      <c r="O77" s="83" t="e">
        <f>IF(VLOOKUP(A77,Schlußkurse!A$5:AU$105,47,FALSE)&gt;0,IF(VLOOKUP(A77,Dividende_je_Aktie!A$3:AM$103,19,FALSE)&lt;&gt;"",VLOOKUP(A77,Dividende_je_Aktie!A$3:AM$103,19,FALSE)/VLOOKUP(A77,Schlußkurse!A$5:AU$105,47,FALSE),""),"")</f>
        <v>#N/A</v>
      </c>
      <c r="P77" s="5" t="e">
        <f t="shared" si="2"/>
        <v>#N/A</v>
      </c>
      <c r="Q77" s="5" t="e">
        <f>VLOOKUP(A77,Dividende_je_Aktie!A$3:AM$103,24,FALSE)/VLOOKUP(A77,Schlußkurse!A$5:AU$105,35,FALSE)</f>
        <v>#N/A</v>
      </c>
      <c r="R77" s="5" t="e">
        <f t="shared" si="3"/>
        <v>#N/A</v>
      </c>
    </row>
    <row r="78" spans="1:18" x14ac:dyDescent="0.25">
      <c r="C78" s="81" t="e">
        <f>IF(VLOOKUP(A78,Schlußkurse!A$5:AU$105,35,FALSE)&gt;0,IF(VLOOKUP(A78,Dividende_je_Aktie!A$3:AM$103,7,FALSE)&lt;&gt;"",VLOOKUP(A78,Dividende_je_Aktie!A$3:AM$103,7,FALSE)/VLOOKUP(A78,Schlußkurse!A$5:AU$105,35,FALSE),""),"")</f>
        <v>#N/A</v>
      </c>
      <c r="D78" s="82" t="e">
        <f>IF(VLOOKUP(A78,Schlußkurse!A$5:AU$105,36,FALSE)&gt;0,IF(VLOOKUP(A78,Dividende_je_Aktie!A$3:AM$103,8,FALSE)&lt;&gt;"",VLOOKUP(A78,Dividende_je_Aktie!A$3:AM$103,8,FALSE)/VLOOKUP(A78,Schlußkurse!A$5:AU$105,36,FALSE),""),"")</f>
        <v>#N/A</v>
      </c>
      <c r="E78" s="82" t="e">
        <f>IF(VLOOKUP(A78,Schlußkurse!A$5:AU$105,37,FALSE)&gt;0,IF(VLOOKUP(A78,Dividende_je_Aktie!A$3:AM$103,9,FALSE)&lt;&gt;"",VLOOKUP(A78,Dividende_je_Aktie!A$3:AM$103,9,FALSE)/VLOOKUP(A78,Schlußkurse!A$5:AU$105,37,FALSE),""),"")</f>
        <v>#N/A</v>
      </c>
      <c r="F78" s="82" t="e">
        <f>IF(VLOOKUP(A78,Schlußkurse!A$5:AU$105,38,FALSE)&gt;0,IF(VLOOKUP(A78,Dividende_je_Aktie!A$3:AM$103,10,FALSE)&lt;&gt;"",VLOOKUP(A78,Dividende_je_Aktie!A$3:AM$103,10,FALSE)/VLOOKUP(A78,Schlußkurse!A$5:AU$105,38,FALSE),""),"")</f>
        <v>#N/A</v>
      </c>
      <c r="G78" s="82" t="e">
        <f>IF(VLOOKUP(A78,Schlußkurse!A$5:AU$105,39,FALSE)&gt;0,IF(VLOOKUP(A78,Dividende_je_Aktie!A$3:AM$103,11,FALSE)&lt;&gt;"",VLOOKUP(A78,Dividende_je_Aktie!A$3:AM$103,11,FALSE)/VLOOKUP(A78,Schlußkurse!A$5:AU$105,39,FALSE),""),"")</f>
        <v>#N/A</v>
      </c>
      <c r="H78" s="82" t="e">
        <f>IF(VLOOKUP(A78,Schlußkurse!A$5:AU$105,40,FALSE)&gt;0,IF(VLOOKUP(A78,Dividende_je_Aktie!A$3:AM$103,12,FALSE)&lt;&gt;"",VLOOKUP(A78,Dividende_je_Aktie!A$3:AM$103,12,FALSE)/VLOOKUP(A78,Schlußkurse!A$5:AU$105,40,FALSE),""),"")</f>
        <v>#N/A</v>
      </c>
      <c r="I78" s="82" t="e">
        <f>IF(VLOOKUP(A78,Schlußkurse!A$5:AU$105,41,FALSE)&gt;0,IF(VLOOKUP(A78,Dividende_je_Aktie!A$3:AM$103,13,FALSE)&lt;&gt;"",VLOOKUP(A78,Dividende_je_Aktie!A$3:AM$103,13,FALSE)/VLOOKUP(A78,Schlußkurse!A$5:AU$105,41,FALSE),""),"")</f>
        <v>#N/A</v>
      </c>
      <c r="J78" s="82" t="e">
        <f>IF(VLOOKUP(A78,Schlußkurse!A$5:AU$105,42,FALSE)&gt;0,IF(VLOOKUP(A78,Dividende_je_Aktie!A$3:AM$103,14,FALSE)&lt;&gt;"",VLOOKUP(A78,Dividende_je_Aktie!A$3:AM$103,14,FALSE)/VLOOKUP(A78,Schlußkurse!A$5:AU$105,42,FALSE),""),"")</f>
        <v>#N/A</v>
      </c>
      <c r="K78" s="82" t="e">
        <f>IF(VLOOKUP(A78,Schlußkurse!A$5:AU$105,43,FALSE)&gt;0,IF(VLOOKUP(A78,Dividende_je_Aktie!A$3:AM$103,15,FALSE)&lt;&gt;"",VLOOKUP(A78,Dividende_je_Aktie!A$3:AM$103,15,FALSE)/VLOOKUP(A78,Schlußkurse!A$5:AU$105,43,FALSE),""),"")</f>
        <v>#N/A</v>
      </c>
      <c r="L78" s="82" t="e">
        <f>IF(VLOOKUP(A78,Schlußkurse!A$5:AU$105,44,FALSE)&gt;0,IF(VLOOKUP(A78,Dividende_je_Aktie!A$3:AM$103,16,FALSE)&lt;&gt;"",VLOOKUP(A78,Dividende_je_Aktie!A$3:AM$103,16,FALSE)/VLOOKUP(A78,Schlußkurse!A$5:AU$105,44,FALSE),""),"")</f>
        <v>#N/A</v>
      </c>
      <c r="M78" s="82" t="e">
        <f>IF(VLOOKUP(A78,Schlußkurse!A$5:AU$105,45,FALSE)&gt;0,IF(VLOOKUP(A78,Dividende_je_Aktie!A$3:AM$103,17,FALSE)&lt;&gt;"",VLOOKUP(A78,Dividende_je_Aktie!A$3:AM$103,17,FALSE)/VLOOKUP(A78,Schlußkurse!A$5:AU$105,45,FALSE),""),"")</f>
        <v>#N/A</v>
      </c>
      <c r="N78" s="82" t="e">
        <f>IF(VLOOKUP(A78,Schlußkurse!A$5:AU$105,46,FALSE)&gt;0,IF(VLOOKUP(A78,Dividende_je_Aktie!A$3:AM$103,18,FALSE)&lt;&gt;"",VLOOKUP(A78,Dividende_je_Aktie!A$3:AM$103,18,FALSE)/VLOOKUP(A78,Schlußkurse!A$5:AU$105,46,FALSE),""),"")</f>
        <v>#N/A</v>
      </c>
      <c r="O78" s="83" t="e">
        <f>IF(VLOOKUP(A78,Schlußkurse!A$5:AU$105,47,FALSE)&gt;0,IF(VLOOKUP(A78,Dividende_je_Aktie!A$3:AM$103,19,FALSE)&lt;&gt;"",VLOOKUP(A78,Dividende_je_Aktie!A$3:AM$103,19,FALSE)/VLOOKUP(A78,Schlußkurse!A$5:AU$105,47,FALSE),""),"")</f>
        <v>#N/A</v>
      </c>
      <c r="P78" s="5" t="e">
        <f t="shared" si="2"/>
        <v>#N/A</v>
      </c>
      <c r="Q78" s="5" t="e">
        <f>VLOOKUP(A78,Dividende_je_Aktie!A$3:AM$103,24,FALSE)/VLOOKUP(A78,Schlußkurse!A$5:AU$105,35,FALSE)</f>
        <v>#N/A</v>
      </c>
      <c r="R78" s="5" t="e">
        <f t="shared" si="3"/>
        <v>#N/A</v>
      </c>
    </row>
    <row r="79" spans="1:18" x14ac:dyDescent="0.25">
      <c r="C79" s="81" t="e">
        <f>IF(VLOOKUP(A79,Schlußkurse!A$5:AU$105,35,FALSE)&gt;0,IF(VLOOKUP(A79,Dividende_je_Aktie!A$3:AM$103,7,FALSE)&lt;&gt;"",VLOOKUP(A79,Dividende_je_Aktie!A$3:AM$103,7,FALSE)/VLOOKUP(A79,Schlußkurse!A$5:AU$105,35,FALSE),""),"")</f>
        <v>#N/A</v>
      </c>
      <c r="D79" s="82" t="e">
        <f>IF(VLOOKUP(A79,Schlußkurse!A$5:AU$105,36,FALSE)&gt;0,IF(VLOOKUP(A79,Dividende_je_Aktie!A$3:AM$103,8,FALSE)&lt;&gt;"",VLOOKUP(A79,Dividende_je_Aktie!A$3:AM$103,8,FALSE)/VLOOKUP(A79,Schlußkurse!A$5:AU$105,36,FALSE),""),"")</f>
        <v>#N/A</v>
      </c>
      <c r="E79" s="82" t="e">
        <f>IF(VLOOKUP(A79,Schlußkurse!A$5:AU$105,37,FALSE)&gt;0,IF(VLOOKUP(A79,Dividende_je_Aktie!A$3:AM$103,9,FALSE)&lt;&gt;"",VLOOKUP(A79,Dividende_je_Aktie!A$3:AM$103,9,FALSE)/VLOOKUP(A79,Schlußkurse!A$5:AU$105,37,FALSE),""),"")</f>
        <v>#N/A</v>
      </c>
      <c r="F79" s="82" t="e">
        <f>IF(VLOOKUP(A79,Schlußkurse!A$5:AU$105,38,FALSE)&gt;0,IF(VLOOKUP(A79,Dividende_je_Aktie!A$3:AM$103,10,FALSE)&lt;&gt;"",VLOOKUP(A79,Dividende_je_Aktie!A$3:AM$103,10,FALSE)/VLOOKUP(A79,Schlußkurse!A$5:AU$105,38,FALSE),""),"")</f>
        <v>#N/A</v>
      </c>
      <c r="G79" s="82" t="e">
        <f>IF(VLOOKUP(A79,Schlußkurse!A$5:AU$105,39,FALSE)&gt;0,IF(VLOOKUP(A79,Dividende_je_Aktie!A$3:AM$103,11,FALSE)&lt;&gt;"",VLOOKUP(A79,Dividende_je_Aktie!A$3:AM$103,11,FALSE)/VLOOKUP(A79,Schlußkurse!A$5:AU$105,39,FALSE),""),"")</f>
        <v>#N/A</v>
      </c>
      <c r="H79" s="82" t="e">
        <f>IF(VLOOKUP(A79,Schlußkurse!A$5:AU$105,40,FALSE)&gt;0,IF(VLOOKUP(A79,Dividende_je_Aktie!A$3:AM$103,12,FALSE)&lt;&gt;"",VLOOKUP(A79,Dividende_je_Aktie!A$3:AM$103,12,FALSE)/VLOOKUP(A79,Schlußkurse!A$5:AU$105,40,FALSE),""),"")</f>
        <v>#N/A</v>
      </c>
      <c r="I79" s="82" t="e">
        <f>IF(VLOOKUP(A79,Schlußkurse!A$5:AU$105,41,FALSE)&gt;0,IF(VLOOKUP(A79,Dividende_je_Aktie!A$3:AM$103,13,FALSE)&lt;&gt;"",VLOOKUP(A79,Dividende_je_Aktie!A$3:AM$103,13,FALSE)/VLOOKUP(A79,Schlußkurse!A$5:AU$105,41,FALSE),""),"")</f>
        <v>#N/A</v>
      </c>
      <c r="J79" s="82" t="e">
        <f>IF(VLOOKUP(A79,Schlußkurse!A$5:AU$105,42,FALSE)&gt;0,IF(VLOOKUP(A79,Dividende_je_Aktie!A$3:AM$103,14,FALSE)&lt;&gt;"",VLOOKUP(A79,Dividende_je_Aktie!A$3:AM$103,14,FALSE)/VLOOKUP(A79,Schlußkurse!A$5:AU$105,42,FALSE),""),"")</f>
        <v>#N/A</v>
      </c>
      <c r="K79" s="82" t="e">
        <f>IF(VLOOKUP(A79,Schlußkurse!A$5:AU$105,43,FALSE)&gt;0,IF(VLOOKUP(A79,Dividende_je_Aktie!A$3:AM$103,15,FALSE)&lt;&gt;"",VLOOKUP(A79,Dividende_je_Aktie!A$3:AM$103,15,FALSE)/VLOOKUP(A79,Schlußkurse!A$5:AU$105,43,FALSE),""),"")</f>
        <v>#N/A</v>
      </c>
      <c r="L79" s="82" t="e">
        <f>IF(VLOOKUP(A79,Schlußkurse!A$5:AU$105,44,FALSE)&gt;0,IF(VLOOKUP(A79,Dividende_je_Aktie!A$3:AM$103,16,FALSE)&lt;&gt;"",VLOOKUP(A79,Dividende_je_Aktie!A$3:AM$103,16,FALSE)/VLOOKUP(A79,Schlußkurse!A$5:AU$105,44,FALSE),""),"")</f>
        <v>#N/A</v>
      </c>
      <c r="M79" s="82" t="e">
        <f>IF(VLOOKUP(A79,Schlußkurse!A$5:AU$105,45,FALSE)&gt;0,IF(VLOOKUP(A79,Dividende_je_Aktie!A$3:AM$103,17,FALSE)&lt;&gt;"",VLOOKUP(A79,Dividende_je_Aktie!A$3:AM$103,17,FALSE)/VLOOKUP(A79,Schlußkurse!A$5:AU$105,45,FALSE),""),"")</f>
        <v>#N/A</v>
      </c>
      <c r="N79" s="82" t="e">
        <f>IF(VLOOKUP(A79,Schlußkurse!A$5:AU$105,46,FALSE)&gt;0,IF(VLOOKUP(A79,Dividende_je_Aktie!A$3:AM$103,18,FALSE)&lt;&gt;"",VLOOKUP(A79,Dividende_je_Aktie!A$3:AM$103,18,FALSE)/VLOOKUP(A79,Schlußkurse!A$5:AU$105,46,FALSE),""),"")</f>
        <v>#N/A</v>
      </c>
      <c r="O79" s="83" t="e">
        <f>IF(VLOOKUP(A79,Schlußkurse!A$5:AU$105,47,FALSE)&gt;0,IF(VLOOKUP(A79,Dividende_je_Aktie!A$3:AM$103,19,FALSE)&lt;&gt;"",VLOOKUP(A79,Dividende_je_Aktie!A$3:AM$103,19,FALSE)/VLOOKUP(A79,Schlußkurse!A$5:AU$105,47,FALSE),""),"")</f>
        <v>#N/A</v>
      </c>
      <c r="P79" s="5" t="e">
        <f t="shared" si="2"/>
        <v>#N/A</v>
      </c>
      <c r="Q79" s="5" t="e">
        <f>VLOOKUP(A79,Dividende_je_Aktie!A$3:AM$103,24,FALSE)/VLOOKUP(A79,Schlußkurse!A$5:AU$105,35,FALSE)</f>
        <v>#N/A</v>
      </c>
      <c r="R79" s="5" t="e">
        <f t="shared" si="3"/>
        <v>#N/A</v>
      </c>
    </row>
    <row r="80" spans="1:18" x14ac:dyDescent="0.25">
      <c r="C80" s="81" t="e">
        <f>IF(VLOOKUP(A80,Schlußkurse!A$5:AU$105,35,FALSE)&gt;0,IF(VLOOKUP(A80,Dividende_je_Aktie!A$3:AM$103,7,FALSE)&lt;&gt;"",VLOOKUP(A80,Dividende_je_Aktie!A$3:AM$103,7,FALSE)/VLOOKUP(A80,Schlußkurse!A$5:AU$105,35,FALSE),""),"")</f>
        <v>#N/A</v>
      </c>
      <c r="D80" s="82" t="e">
        <f>IF(VLOOKUP(A80,Schlußkurse!A$5:AU$105,36,FALSE)&gt;0,IF(VLOOKUP(A80,Dividende_je_Aktie!A$3:AM$103,8,FALSE)&lt;&gt;"",VLOOKUP(A80,Dividende_je_Aktie!A$3:AM$103,8,FALSE)/VLOOKUP(A80,Schlußkurse!A$5:AU$105,36,FALSE),""),"")</f>
        <v>#N/A</v>
      </c>
      <c r="E80" s="82" t="e">
        <f>IF(VLOOKUP(A80,Schlußkurse!A$5:AU$105,37,FALSE)&gt;0,IF(VLOOKUP(A80,Dividende_je_Aktie!A$3:AM$103,9,FALSE)&lt;&gt;"",VLOOKUP(A80,Dividende_je_Aktie!A$3:AM$103,9,FALSE)/VLOOKUP(A80,Schlußkurse!A$5:AU$105,37,FALSE),""),"")</f>
        <v>#N/A</v>
      </c>
      <c r="F80" s="82" t="e">
        <f>IF(VLOOKUP(A80,Schlußkurse!A$5:AU$105,38,FALSE)&gt;0,IF(VLOOKUP(A80,Dividende_je_Aktie!A$3:AM$103,10,FALSE)&lt;&gt;"",VLOOKUP(A80,Dividende_je_Aktie!A$3:AM$103,10,FALSE)/VLOOKUP(A80,Schlußkurse!A$5:AU$105,38,FALSE),""),"")</f>
        <v>#N/A</v>
      </c>
      <c r="G80" s="82" t="e">
        <f>IF(VLOOKUP(A80,Schlußkurse!A$5:AU$105,39,FALSE)&gt;0,IF(VLOOKUP(A80,Dividende_je_Aktie!A$3:AM$103,11,FALSE)&lt;&gt;"",VLOOKUP(A80,Dividende_je_Aktie!A$3:AM$103,11,FALSE)/VLOOKUP(A80,Schlußkurse!A$5:AU$105,39,FALSE),""),"")</f>
        <v>#N/A</v>
      </c>
      <c r="H80" s="82" t="e">
        <f>IF(VLOOKUP(A80,Schlußkurse!A$5:AU$105,40,FALSE)&gt;0,IF(VLOOKUP(A80,Dividende_je_Aktie!A$3:AM$103,12,FALSE)&lt;&gt;"",VLOOKUP(A80,Dividende_je_Aktie!A$3:AM$103,12,FALSE)/VLOOKUP(A80,Schlußkurse!A$5:AU$105,40,FALSE),""),"")</f>
        <v>#N/A</v>
      </c>
      <c r="I80" s="82" t="e">
        <f>IF(VLOOKUP(A80,Schlußkurse!A$5:AU$105,41,FALSE)&gt;0,IF(VLOOKUP(A80,Dividende_je_Aktie!A$3:AM$103,13,FALSE)&lt;&gt;"",VLOOKUP(A80,Dividende_je_Aktie!A$3:AM$103,13,FALSE)/VLOOKUP(A80,Schlußkurse!A$5:AU$105,41,FALSE),""),"")</f>
        <v>#N/A</v>
      </c>
      <c r="J80" s="82" t="e">
        <f>IF(VLOOKUP(A80,Schlußkurse!A$5:AU$105,42,FALSE)&gt;0,IF(VLOOKUP(A80,Dividende_je_Aktie!A$3:AM$103,14,FALSE)&lt;&gt;"",VLOOKUP(A80,Dividende_je_Aktie!A$3:AM$103,14,FALSE)/VLOOKUP(A80,Schlußkurse!A$5:AU$105,42,FALSE),""),"")</f>
        <v>#N/A</v>
      </c>
      <c r="K80" s="82" t="e">
        <f>IF(VLOOKUP(A80,Schlußkurse!A$5:AU$105,43,FALSE)&gt;0,IF(VLOOKUP(A80,Dividende_je_Aktie!A$3:AM$103,15,FALSE)&lt;&gt;"",VLOOKUP(A80,Dividende_je_Aktie!A$3:AM$103,15,FALSE)/VLOOKUP(A80,Schlußkurse!A$5:AU$105,43,FALSE),""),"")</f>
        <v>#N/A</v>
      </c>
      <c r="L80" s="82" t="e">
        <f>IF(VLOOKUP(A80,Schlußkurse!A$5:AU$105,44,FALSE)&gt;0,IF(VLOOKUP(A80,Dividende_je_Aktie!A$3:AM$103,16,FALSE)&lt;&gt;"",VLOOKUP(A80,Dividende_je_Aktie!A$3:AM$103,16,FALSE)/VLOOKUP(A80,Schlußkurse!A$5:AU$105,44,FALSE),""),"")</f>
        <v>#N/A</v>
      </c>
      <c r="M80" s="82" t="e">
        <f>IF(VLOOKUP(A80,Schlußkurse!A$5:AU$105,45,FALSE)&gt;0,IF(VLOOKUP(A80,Dividende_je_Aktie!A$3:AM$103,17,FALSE)&lt;&gt;"",VLOOKUP(A80,Dividende_je_Aktie!A$3:AM$103,17,FALSE)/VLOOKUP(A80,Schlußkurse!A$5:AU$105,45,FALSE),""),"")</f>
        <v>#N/A</v>
      </c>
      <c r="N80" s="82" t="e">
        <f>IF(VLOOKUP(A80,Schlußkurse!A$5:AU$105,46,FALSE)&gt;0,IF(VLOOKUP(A80,Dividende_je_Aktie!A$3:AM$103,18,FALSE)&lt;&gt;"",VLOOKUP(A80,Dividende_je_Aktie!A$3:AM$103,18,FALSE)/VLOOKUP(A80,Schlußkurse!A$5:AU$105,46,FALSE),""),"")</f>
        <v>#N/A</v>
      </c>
      <c r="O80" s="83" t="e">
        <f>IF(VLOOKUP(A80,Schlußkurse!A$5:AU$105,47,FALSE)&gt;0,IF(VLOOKUP(A80,Dividende_je_Aktie!A$3:AM$103,19,FALSE)&lt;&gt;"",VLOOKUP(A80,Dividende_je_Aktie!A$3:AM$103,19,FALSE)/VLOOKUP(A80,Schlußkurse!A$5:AU$105,47,FALSE),""),"")</f>
        <v>#N/A</v>
      </c>
      <c r="P80" s="5" t="e">
        <f t="shared" si="2"/>
        <v>#N/A</v>
      </c>
      <c r="Q80" s="5" t="e">
        <f>VLOOKUP(A80,Dividende_je_Aktie!A$3:AM$103,24,FALSE)/VLOOKUP(A80,Schlußkurse!A$5:AU$105,35,FALSE)</f>
        <v>#N/A</v>
      </c>
      <c r="R80" s="5" t="e">
        <f t="shared" si="3"/>
        <v>#N/A</v>
      </c>
    </row>
    <row r="81" spans="3:18" x14ac:dyDescent="0.25">
      <c r="C81" s="81" t="e">
        <f>IF(VLOOKUP(A81,Schlußkurse!A$5:AU$105,35,FALSE)&gt;0,IF(VLOOKUP(A81,Dividende_je_Aktie!A$3:AM$103,7,FALSE)&lt;&gt;"",VLOOKUP(A81,Dividende_je_Aktie!A$3:AM$103,7,FALSE)/VLOOKUP(A81,Schlußkurse!A$5:AU$105,35,FALSE),""),"")</f>
        <v>#N/A</v>
      </c>
      <c r="D81" s="82" t="e">
        <f>IF(VLOOKUP(A81,Schlußkurse!A$5:AU$105,36,FALSE)&gt;0,IF(VLOOKUP(A81,Dividende_je_Aktie!A$3:AM$103,8,FALSE)&lt;&gt;"",VLOOKUP(A81,Dividende_je_Aktie!A$3:AM$103,8,FALSE)/VLOOKUP(A81,Schlußkurse!A$5:AU$105,36,FALSE),""),"")</f>
        <v>#N/A</v>
      </c>
      <c r="E81" s="82" t="e">
        <f>IF(VLOOKUP(A81,Schlußkurse!A$5:AU$105,37,FALSE)&gt;0,IF(VLOOKUP(A81,Dividende_je_Aktie!A$3:AM$103,9,FALSE)&lt;&gt;"",VLOOKUP(A81,Dividende_je_Aktie!A$3:AM$103,9,FALSE)/VLOOKUP(A81,Schlußkurse!A$5:AU$105,37,FALSE),""),"")</f>
        <v>#N/A</v>
      </c>
      <c r="F81" s="82" t="e">
        <f>IF(VLOOKUP(A81,Schlußkurse!A$5:AU$105,38,FALSE)&gt;0,IF(VLOOKUP(A81,Dividende_je_Aktie!A$3:AM$103,10,FALSE)&lt;&gt;"",VLOOKUP(A81,Dividende_je_Aktie!A$3:AM$103,10,FALSE)/VLOOKUP(A81,Schlußkurse!A$5:AU$105,38,FALSE),""),"")</f>
        <v>#N/A</v>
      </c>
      <c r="G81" s="82" t="e">
        <f>IF(VLOOKUP(A81,Schlußkurse!A$5:AU$105,39,FALSE)&gt;0,IF(VLOOKUP(A81,Dividende_je_Aktie!A$3:AM$103,11,FALSE)&lt;&gt;"",VLOOKUP(A81,Dividende_je_Aktie!A$3:AM$103,11,FALSE)/VLOOKUP(A81,Schlußkurse!A$5:AU$105,39,FALSE),""),"")</f>
        <v>#N/A</v>
      </c>
      <c r="H81" s="82" t="e">
        <f>IF(VLOOKUP(A81,Schlußkurse!A$5:AU$105,40,FALSE)&gt;0,IF(VLOOKUP(A81,Dividende_je_Aktie!A$3:AM$103,12,FALSE)&lt;&gt;"",VLOOKUP(A81,Dividende_je_Aktie!A$3:AM$103,12,FALSE)/VLOOKUP(A81,Schlußkurse!A$5:AU$105,40,FALSE),""),"")</f>
        <v>#N/A</v>
      </c>
      <c r="I81" s="82" t="e">
        <f>IF(VLOOKUP(A81,Schlußkurse!A$5:AU$105,41,FALSE)&gt;0,IF(VLOOKUP(A81,Dividende_je_Aktie!A$3:AM$103,13,FALSE)&lt;&gt;"",VLOOKUP(A81,Dividende_je_Aktie!A$3:AM$103,13,FALSE)/VLOOKUP(A81,Schlußkurse!A$5:AU$105,41,FALSE),""),"")</f>
        <v>#N/A</v>
      </c>
      <c r="J81" s="82" t="e">
        <f>IF(VLOOKUP(A81,Schlußkurse!A$5:AU$105,42,FALSE)&gt;0,IF(VLOOKUP(A81,Dividende_je_Aktie!A$3:AM$103,14,FALSE)&lt;&gt;"",VLOOKUP(A81,Dividende_je_Aktie!A$3:AM$103,14,FALSE)/VLOOKUP(A81,Schlußkurse!A$5:AU$105,42,FALSE),""),"")</f>
        <v>#N/A</v>
      </c>
      <c r="K81" s="82" t="e">
        <f>IF(VLOOKUP(A81,Schlußkurse!A$5:AU$105,43,FALSE)&gt;0,IF(VLOOKUP(A81,Dividende_je_Aktie!A$3:AM$103,15,FALSE)&lt;&gt;"",VLOOKUP(A81,Dividende_je_Aktie!A$3:AM$103,15,FALSE)/VLOOKUP(A81,Schlußkurse!A$5:AU$105,43,FALSE),""),"")</f>
        <v>#N/A</v>
      </c>
      <c r="L81" s="82" t="e">
        <f>IF(VLOOKUP(A81,Schlußkurse!A$5:AU$105,44,FALSE)&gt;0,IF(VLOOKUP(A81,Dividende_je_Aktie!A$3:AM$103,16,FALSE)&lt;&gt;"",VLOOKUP(A81,Dividende_je_Aktie!A$3:AM$103,16,FALSE)/VLOOKUP(A81,Schlußkurse!A$5:AU$105,44,FALSE),""),"")</f>
        <v>#N/A</v>
      </c>
      <c r="M81" s="82" t="e">
        <f>IF(VLOOKUP(A81,Schlußkurse!A$5:AU$105,45,FALSE)&gt;0,IF(VLOOKUP(A81,Dividende_je_Aktie!A$3:AM$103,17,FALSE)&lt;&gt;"",VLOOKUP(A81,Dividende_je_Aktie!A$3:AM$103,17,FALSE)/VLOOKUP(A81,Schlußkurse!A$5:AU$105,45,FALSE),""),"")</f>
        <v>#N/A</v>
      </c>
      <c r="N81" s="82" t="e">
        <f>IF(VLOOKUP(A81,Schlußkurse!A$5:AU$105,46,FALSE)&gt;0,IF(VLOOKUP(A81,Dividende_je_Aktie!A$3:AM$103,18,FALSE)&lt;&gt;"",VLOOKUP(A81,Dividende_je_Aktie!A$3:AM$103,18,FALSE)/VLOOKUP(A81,Schlußkurse!A$5:AU$105,46,FALSE),""),"")</f>
        <v>#N/A</v>
      </c>
      <c r="O81" s="83" t="e">
        <f>IF(VLOOKUP(A81,Schlußkurse!A$5:AU$105,47,FALSE)&gt;0,IF(VLOOKUP(A81,Dividende_je_Aktie!A$3:AM$103,19,FALSE)&lt;&gt;"",VLOOKUP(A81,Dividende_je_Aktie!A$3:AM$103,19,FALSE)/VLOOKUP(A81,Schlußkurse!A$5:AU$105,47,FALSE),""),"")</f>
        <v>#N/A</v>
      </c>
      <c r="P81" s="5" t="e">
        <f t="shared" si="2"/>
        <v>#N/A</v>
      </c>
      <c r="Q81" s="5" t="e">
        <f>VLOOKUP(A81,Dividende_je_Aktie!A$3:AM$103,24,FALSE)/VLOOKUP(A81,Schlußkurse!A$5:AU$105,35,FALSE)</f>
        <v>#N/A</v>
      </c>
      <c r="R81" s="5" t="e">
        <f t="shared" si="3"/>
        <v>#N/A</v>
      </c>
    </row>
    <row r="82" spans="3:18" x14ac:dyDescent="0.25">
      <c r="C82" s="81" t="e">
        <f>IF(VLOOKUP(A82,Schlußkurse!A$5:AU$105,35,FALSE)&gt;0,IF(VLOOKUP(A82,Dividende_je_Aktie!A$3:AM$103,7,FALSE)&lt;&gt;"",VLOOKUP(A82,Dividende_je_Aktie!A$3:AM$103,7,FALSE)/VLOOKUP(A82,Schlußkurse!A$5:AU$105,35,FALSE),""),"")</f>
        <v>#N/A</v>
      </c>
      <c r="D82" s="82" t="e">
        <f>IF(VLOOKUP(A82,Schlußkurse!A$5:AU$105,36,FALSE)&gt;0,IF(VLOOKUP(A82,Dividende_je_Aktie!A$3:AM$103,8,FALSE)&lt;&gt;"",VLOOKUP(A82,Dividende_je_Aktie!A$3:AM$103,8,FALSE)/VLOOKUP(A82,Schlußkurse!A$5:AU$105,36,FALSE),""),"")</f>
        <v>#N/A</v>
      </c>
      <c r="E82" s="82" t="e">
        <f>IF(VLOOKUP(A82,Schlußkurse!A$5:AU$105,37,FALSE)&gt;0,IF(VLOOKUP(A82,Dividende_je_Aktie!A$3:AM$103,9,FALSE)&lt;&gt;"",VLOOKUP(A82,Dividende_je_Aktie!A$3:AM$103,9,FALSE)/VLOOKUP(A82,Schlußkurse!A$5:AU$105,37,FALSE),""),"")</f>
        <v>#N/A</v>
      </c>
      <c r="F82" s="82" t="e">
        <f>IF(VLOOKUP(A82,Schlußkurse!A$5:AU$105,38,FALSE)&gt;0,IF(VLOOKUP(A82,Dividende_je_Aktie!A$3:AM$103,10,FALSE)&lt;&gt;"",VLOOKUP(A82,Dividende_je_Aktie!A$3:AM$103,10,FALSE)/VLOOKUP(A82,Schlußkurse!A$5:AU$105,38,FALSE),""),"")</f>
        <v>#N/A</v>
      </c>
      <c r="G82" s="82" t="e">
        <f>IF(VLOOKUP(A82,Schlußkurse!A$5:AU$105,39,FALSE)&gt;0,IF(VLOOKUP(A82,Dividende_je_Aktie!A$3:AM$103,11,FALSE)&lt;&gt;"",VLOOKUP(A82,Dividende_je_Aktie!A$3:AM$103,11,FALSE)/VLOOKUP(A82,Schlußkurse!A$5:AU$105,39,FALSE),""),"")</f>
        <v>#N/A</v>
      </c>
      <c r="H82" s="82" t="e">
        <f>IF(VLOOKUP(A82,Schlußkurse!A$5:AU$105,40,FALSE)&gt;0,IF(VLOOKUP(A82,Dividende_je_Aktie!A$3:AM$103,12,FALSE)&lt;&gt;"",VLOOKUP(A82,Dividende_je_Aktie!A$3:AM$103,12,FALSE)/VLOOKUP(A82,Schlußkurse!A$5:AU$105,40,FALSE),""),"")</f>
        <v>#N/A</v>
      </c>
      <c r="I82" s="82" t="e">
        <f>IF(VLOOKUP(A82,Schlußkurse!A$5:AU$105,41,FALSE)&gt;0,IF(VLOOKUP(A82,Dividende_je_Aktie!A$3:AM$103,13,FALSE)&lt;&gt;"",VLOOKUP(A82,Dividende_je_Aktie!A$3:AM$103,13,FALSE)/VLOOKUP(A82,Schlußkurse!A$5:AU$105,41,FALSE),""),"")</f>
        <v>#N/A</v>
      </c>
      <c r="J82" s="82" t="e">
        <f>IF(VLOOKUP(A82,Schlußkurse!A$5:AU$105,42,FALSE)&gt;0,IF(VLOOKUP(A82,Dividende_je_Aktie!A$3:AM$103,14,FALSE)&lt;&gt;"",VLOOKUP(A82,Dividende_je_Aktie!A$3:AM$103,14,FALSE)/VLOOKUP(A82,Schlußkurse!A$5:AU$105,42,FALSE),""),"")</f>
        <v>#N/A</v>
      </c>
      <c r="K82" s="82" t="e">
        <f>IF(VLOOKUP(A82,Schlußkurse!A$5:AU$105,43,FALSE)&gt;0,IF(VLOOKUP(A82,Dividende_je_Aktie!A$3:AM$103,15,FALSE)&lt;&gt;"",VLOOKUP(A82,Dividende_je_Aktie!A$3:AM$103,15,FALSE)/VLOOKUP(A82,Schlußkurse!A$5:AU$105,43,FALSE),""),"")</f>
        <v>#N/A</v>
      </c>
      <c r="L82" s="82" t="e">
        <f>IF(VLOOKUP(A82,Schlußkurse!A$5:AU$105,44,FALSE)&gt;0,IF(VLOOKUP(A82,Dividende_je_Aktie!A$3:AM$103,16,FALSE)&lt;&gt;"",VLOOKUP(A82,Dividende_je_Aktie!A$3:AM$103,16,FALSE)/VLOOKUP(A82,Schlußkurse!A$5:AU$105,44,FALSE),""),"")</f>
        <v>#N/A</v>
      </c>
      <c r="M82" s="82" t="e">
        <f>IF(VLOOKUP(A82,Schlußkurse!A$5:AU$105,45,FALSE)&gt;0,IF(VLOOKUP(A82,Dividende_je_Aktie!A$3:AM$103,17,FALSE)&lt;&gt;"",VLOOKUP(A82,Dividende_je_Aktie!A$3:AM$103,17,FALSE)/VLOOKUP(A82,Schlußkurse!A$5:AU$105,45,FALSE),""),"")</f>
        <v>#N/A</v>
      </c>
      <c r="N82" s="82" t="e">
        <f>IF(VLOOKUP(A82,Schlußkurse!A$5:AU$105,46,FALSE)&gt;0,IF(VLOOKUP(A82,Dividende_je_Aktie!A$3:AM$103,18,FALSE)&lt;&gt;"",VLOOKUP(A82,Dividende_je_Aktie!A$3:AM$103,18,FALSE)/VLOOKUP(A82,Schlußkurse!A$5:AU$105,46,FALSE),""),"")</f>
        <v>#N/A</v>
      </c>
      <c r="O82" s="83" t="e">
        <f>IF(VLOOKUP(A82,Schlußkurse!A$5:AU$105,47,FALSE)&gt;0,IF(VLOOKUP(A82,Dividende_je_Aktie!A$3:AM$103,19,FALSE)&lt;&gt;"",VLOOKUP(A82,Dividende_je_Aktie!A$3:AM$103,19,FALSE)/VLOOKUP(A82,Schlußkurse!A$5:AU$105,47,FALSE),""),"")</f>
        <v>#N/A</v>
      </c>
      <c r="P82" s="5" t="e">
        <f t="shared" si="2"/>
        <v>#N/A</v>
      </c>
      <c r="Q82" s="5" t="e">
        <f>VLOOKUP(A82,Dividende_je_Aktie!A$3:AM$103,24,FALSE)/VLOOKUP(A82,Schlußkurse!A$5:AU$105,35,FALSE)</f>
        <v>#N/A</v>
      </c>
      <c r="R82" s="5" t="e">
        <f t="shared" si="3"/>
        <v>#N/A</v>
      </c>
    </row>
    <row r="83" spans="3:18" x14ac:dyDescent="0.25">
      <c r="C83" s="81" t="e">
        <f>IF(VLOOKUP(A83,Schlußkurse!A$5:AU$105,35,FALSE)&gt;0,IF(VLOOKUP(A83,Dividende_je_Aktie!A$3:AM$103,7,FALSE)&lt;&gt;"",VLOOKUP(A83,Dividende_je_Aktie!A$3:AM$103,7,FALSE)/VLOOKUP(A83,Schlußkurse!A$5:AU$105,35,FALSE),""),"")</f>
        <v>#N/A</v>
      </c>
      <c r="D83" s="82" t="e">
        <f>IF(VLOOKUP(A83,Schlußkurse!A$5:AU$105,36,FALSE)&gt;0,IF(VLOOKUP(A83,Dividende_je_Aktie!A$3:AM$103,8,FALSE)&lt;&gt;"",VLOOKUP(A83,Dividende_je_Aktie!A$3:AM$103,8,FALSE)/VLOOKUP(A83,Schlußkurse!A$5:AU$105,36,FALSE),""),"")</f>
        <v>#N/A</v>
      </c>
      <c r="E83" s="82" t="e">
        <f>IF(VLOOKUP(A83,Schlußkurse!A$5:AU$105,37,FALSE)&gt;0,IF(VLOOKUP(A83,Dividende_je_Aktie!A$3:AM$103,9,FALSE)&lt;&gt;"",VLOOKUP(A83,Dividende_je_Aktie!A$3:AM$103,9,FALSE)/VLOOKUP(A83,Schlußkurse!A$5:AU$105,37,FALSE),""),"")</f>
        <v>#N/A</v>
      </c>
      <c r="F83" s="82" t="e">
        <f>IF(VLOOKUP(A83,Schlußkurse!A$5:AU$105,38,FALSE)&gt;0,IF(VLOOKUP(A83,Dividende_je_Aktie!A$3:AM$103,10,FALSE)&lt;&gt;"",VLOOKUP(A83,Dividende_je_Aktie!A$3:AM$103,10,FALSE)/VLOOKUP(A83,Schlußkurse!A$5:AU$105,38,FALSE),""),"")</f>
        <v>#N/A</v>
      </c>
      <c r="G83" s="82" t="e">
        <f>IF(VLOOKUP(A83,Schlußkurse!A$5:AU$105,39,FALSE)&gt;0,IF(VLOOKUP(A83,Dividende_je_Aktie!A$3:AM$103,11,FALSE)&lt;&gt;"",VLOOKUP(A83,Dividende_je_Aktie!A$3:AM$103,11,FALSE)/VLOOKUP(A83,Schlußkurse!A$5:AU$105,39,FALSE),""),"")</f>
        <v>#N/A</v>
      </c>
      <c r="H83" s="82" t="e">
        <f>IF(VLOOKUP(A83,Schlußkurse!A$5:AU$105,40,FALSE)&gt;0,IF(VLOOKUP(A83,Dividende_je_Aktie!A$3:AM$103,12,FALSE)&lt;&gt;"",VLOOKUP(A83,Dividende_je_Aktie!A$3:AM$103,12,FALSE)/VLOOKUP(A83,Schlußkurse!A$5:AU$105,40,FALSE),""),"")</f>
        <v>#N/A</v>
      </c>
      <c r="I83" s="82" t="e">
        <f>IF(VLOOKUP(A83,Schlußkurse!A$5:AU$105,41,FALSE)&gt;0,IF(VLOOKUP(A83,Dividende_je_Aktie!A$3:AM$103,13,FALSE)&lt;&gt;"",VLOOKUP(A83,Dividende_je_Aktie!A$3:AM$103,13,FALSE)/VLOOKUP(A83,Schlußkurse!A$5:AU$105,41,FALSE),""),"")</f>
        <v>#N/A</v>
      </c>
      <c r="J83" s="82" t="e">
        <f>IF(VLOOKUP(A83,Schlußkurse!A$5:AU$105,42,FALSE)&gt;0,IF(VLOOKUP(A83,Dividende_je_Aktie!A$3:AM$103,14,FALSE)&lt;&gt;"",VLOOKUP(A83,Dividende_je_Aktie!A$3:AM$103,14,FALSE)/VLOOKUP(A83,Schlußkurse!A$5:AU$105,42,FALSE),""),"")</f>
        <v>#N/A</v>
      </c>
      <c r="K83" s="82" t="e">
        <f>IF(VLOOKUP(A83,Schlußkurse!A$5:AU$105,43,FALSE)&gt;0,IF(VLOOKUP(A83,Dividende_je_Aktie!A$3:AM$103,15,FALSE)&lt;&gt;"",VLOOKUP(A83,Dividende_je_Aktie!A$3:AM$103,15,FALSE)/VLOOKUP(A83,Schlußkurse!A$5:AU$105,43,FALSE),""),"")</f>
        <v>#N/A</v>
      </c>
      <c r="L83" s="82" t="e">
        <f>IF(VLOOKUP(A83,Schlußkurse!A$5:AU$105,44,FALSE)&gt;0,IF(VLOOKUP(A83,Dividende_je_Aktie!A$3:AM$103,16,FALSE)&lt;&gt;"",VLOOKUP(A83,Dividende_je_Aktie!A$3:AM$103,16,FALSE)/VLOOKUP(A83,Schlußkurse!A$5:AU$105,44,FALSE),""),"")</f>
        <v>#N/A</v>
      </c>
      <c r="M83" s="82" t="e">
        <f>IF(VLOOKUP(A83,Schlußkurse!A$5:AU$105,45,FALSE)&gt;0,IF(VLOOKUP(A83,Dividende_je_Aktie!A$3:AM$103,17,FALSE)&lt;&gt;"",VLOOKUP(A83,Dividende_je_Aktie!A$3:AM$103,17,FALSE)/VLOOKUP(A83,Schlußkurse!A$5:AU$105,45,FALSE),""),"")</f>
        <v>#N/A</v>
      </c>
      <c r="N83" s="82" t="e">
        <f>IF(VLOOKUP(A83,Schlußkurse!A$5:AU$105,46,FALSE)&gt;0,IF(VLOOKUP(A83,Dividende_je_Aktie!A$3:AM$103,18,FALSE)&lt;&gt;"",VLOOKUP(A83,Dividende_je_Aktie!A$3:AM$103,18,FALSE)/VLOOKUP(A83,Schlußkurse!A$5:AU$105,46,FALSE),""),"")</f>
        <v>#N/A</v>
      </c>
      <c r="O83" s="83" t="e">
        <f>IF(VLOOKUP(A83,Schlußkurse!A$5:AU$105,47,FALSE)&gt;0,IF(VLOOKUP(A83,Dividende_je_Aktie!A$3:AM$103,19,FALSE)&lt;&gt;"",VLOOKUP(A83,Dividende_je_Aktie!A$3:AM$103,19,FALSE)/VLOOKUP(A83,Schlußkurse!A$5:AU$105,47,FALSE),""),"")</f>
        <v>#N/A</v>
      </c>
      <c r="P83" s="5" t="e">
        <f t="shared" si="2"/>
        <v>#N/A</v>
      </c>
      <c r="Q83" s="5" t="e">
        <f>VLOOKUP(A83,Dividende_je_Aktie!A$3:AM$103,24,FALSE)/VLOOKUP(A83,Schlußkurse!A$5:AU$105,35,FALSE)</f>
        <v>#N/A</v>
      </c>
      <c r="R83" s="5" t="e">
        <f t="shared" si="3"/>
        <v>#N/A</v>
      </c>
    </row>
    <row r="84" spans="3:18" x14ac:dyDescent="0.25">
      <c r="C84" s="81" t="e">
        <f>IF(VLOOKUP(A84,Schlußkurse!A$5:AU$105,35,FALSE)&gt;0,IF(VLOOKUP(A84,Dividende_je_Aktie!A$3:AM$103,7,FALSE)&lt;&gt;"",VLOOKUP(A84,Dividende_je_Aktie!A$3:AM$103,7,FALSE)/VLOOKUP(A84,Schlußkurse!A$5:AU$105,35,FALSE),""),"")</f>
        <v>#N/A</v>
      </c>
      <c r="D84" s="82" t="e">
        <f>IF(VLOOKUP(A84,Schlußkurse!A$5:AU$105,36,FALSE)&gt;0,IF(VLOOKUP(A84,Dividende_je_Aktie!A$3:AM$103,8,FALSE)&lt;&gt;"",VLOOKUP(A84,Dividende_je_Aktie!A$3:AM$103,8,FALSE)/VLOOKUP(A84,Schlußkurse!A$5:AU$105,36,FALSE),""),"")</f>
        <v>#N/A</v>
      </c>
      <c r="E84" s="82" t="e">
        <f>IF(VLOOKUP(A84,Schlußkurse!A$5:AU$105,37,FALSE)&gt;0,IF(VLOOKUP(A84,Dividende_je_Aktie!A$3:AM$103,9,FALSE)&lt;&gt;"",VLOOKUP(A84,Dividende_je_Aktie!A$3:AM$103,9,FALSE)/VLOOKUP(A84,Schlußkurse!A$5:AU$105,37,FALSE),""),"")</f>
        <v>#N/A</v>
      </c>
      <c r="F84" s="82" t="e">
        <f>IF(VLOOKUP(A84,Schlußkurse!A$5:AU$105,38,FALSE)&gt;0,IF(VLOOKUP(A84,Dividende_je_Aktie!A$3:AM$103,10,FALSE)&lt;&gt;"",VLOOKUP(A84,Dividende_je_Aktie!A$3:AM$103,10,FALSE)/VLOOKUP(A84,Schlußkurse!A$5:AU$105,38,FALSE),""),"")</f>
        <v>#N/A</v>
      </c>
      <c r="G84" s="82" t="e">
        <f>IF(VLOOKUP(A84,Schlußkurse!A$5:AU$105,39,FALSE)&gt;0,IF(VLOOKUP(A84,Dividende_je_Aktie!A$3:AM$103,11,FALSE)&lt;&gt;"",VLOOKUP(A84,Dividende_je_Aktie!A$3:AM$103,11,FALSE)/VLOOKUP(A84,Schlußkurse!A$5:AU$105,39,FALSE),""),"")</f>
        <v>#N/A</v>
      </c>
      <c r="H84" s="82" t="e">
        <f>IF(VLOOKUP(A84,Schlußkurse!A$5:AU$105,40,FALSE)&gt;0,IF(VLOOKUP(A84,Dividende_je_Aktie!A$3:AM$103,12,FALSE)&lt;&gt;"",VLOOKUP(A84,Dividende_je_Aktie!A$3:AM$103,12,FALSE)/VLOOKUP(A84,Schlußkurse!A$5:AU$105,40,FALSE),""),"")</f>
        <v>#N/A</v>
      </c>
      <c r="I84" s="82" t="e">
        <f>IF(VLOOKUP(A84,Schlußkurse!A$5:AU$105,41,FALSE)&gt;0,IF(VLOOKUP(A84,Dividende_je_Aktie!A$3:AM$103,13,FALSE)&lt;&gt;"",VLOOKUP(A84,Dividende_je_Aktie!A$3:AM$103,13,FALSE)/VLOOKUP(A84,Schlußkurse!A$5:AU$105,41,FALSE),""),"")</f>
        <v>#N/A</v>
      </c>
      <c r="J84" s="82" t="e">
        <f>IF(VLOOKUP(A84,Schlußkurse!A$5:AU$105,42,FALSE)&gt;0,IF(VLOOKUP(A84,Dividende_je_Aktie!A$3:AM$103,14,FALSE)&lt;&gt;"",VLOOKUP(A84,Dividende_je_Aktie!A$3:AM$103,14,FALSE)/VLOOKUP(A84,Schlußkurse!A$5:AU$105,42,FALSE),""),"")</f>
        <v>#N/A</v>
      </c>
      <c r="K84" s="82" t="e">
        <f>IF(VLOOKUP(A84,Schlußkurse!A$5:AU$105,43,FALSE)&gt;0,IF(VLOOKUP(A84,Dividende_je_Aktie!A$3:AM$103,15,FALSE)&lt;&gt;"",VLOOKUP(A84,Dividende_je_Aktie!A$3:AM$103,15,FALSE)/VLOOKUP(A84,Schlußkurse!A$5:AU$105,43,FALSE),""),"")</f>
        <v>#N/A</v>
      </c>
      <c r="L84" s="82" t="e">
        <f>IF(VLOOKUP(A84,Schlußkurse!A$5:AU$105,44,FALSE)&gt;0,IF(VLOOKUP(A84,Dividende_je_Aktie!A$3:AM$103,16,FALSE)&lt;&gt;"",VLOOKUP(A84,Dividende_je_Aktie!A$3:AM$103,16,FALSE)/VLOOKUP(A84,Schlußkurse!A$5:AU$105,44,FALSE),""),"")</f>
        <v>#N/A</v>
      </c>
      <c r="M84" s="82" t="e">
        <f>IF(VLOOKUP(A84,Schlußkurse!A$5:AU$105,45,FALSE)&gt;0,IF(VLOOKUP(A84,Dividende_je_Aktie!A$3:AM$103,17,FALSE)&lt;&gt;"",VLOOKUP(A84,Dividende_je_Aktie!A$3:AM$103,17,FALSE)/VLOOKUP(A84,Schlußkurse!A$5:AU$105,45,FALSE),""),"")</f>
        <v>#N/A</v>
      </c>
      <c r="N84" s="82" t="e">
        <f>IF(VLOOKUP(A84,Schlußkurse!A$5:AU$105,46,FALSE)&gt;0,IF(VLOOKUP(A84,Dividende_je_Aktie!A$3:AM$103,18,FALSE)&lt;&gt;"",VLOOKUP(A84,Dividende_je_Aktie!A$3:AM$103,18,FALSE)/VLOOKUP(A84,Schlußkurse!A$5:AU$105,46,FALSE),""),"")</f>
        <v>#N/A</v>
      </c>
      <c r="O84" s="83" t="e">
        <f>IF(VLOOKUP(A84,Schlußkurse!A$5:AU$105,47,FALSE)&gt;0,IF(VLOOKUP(A84,Dividende_je_Aktie!A$3:AM$103,19,FALSE)&lt;&gt;"",VLOOKUP(A84,Dividende_je_Aktie!A$3:AM$103,19,FALSE)/VLOOKUP(A84,Schlußkurse!A$5:AU$105,47,FALSE),""),"")</f>
        <v>#N/A</v>
      </c>
      <c r="P84" s="5" t="e">
        <f t="shared" si="2"/>
        <v>#N/A</v>
      </c>
      <c r="Q84" s="5" t="e">
        <f>VLOOKUP(A84,Dividende_je_Aktie!A$3:AM$103,24,FALSE)/VLOOKUP(A84,Schlußkurse!A$5:AU$105,35,FALSE)</f>
        <v>#N/A</v>
      </c>
      <c r="R84" s="5" t="e">
        <f t="shared" si="3"/>
        <v>#N/A</v>
      </c>
    </row>
    <row r="85" spans="3:18" x14ac:dyDescent="0.25">
      <c r="C85" s="81" t="e">
        <f>IF(VLOOKUP(A85,Schlußkurse!A$5:AU$105,35,FALSE)&gt;0,IF(VLOOKUP(A85,Dividende_je_Aktie!A$3:AM$103,7,FALSE)&lt;&gt;"",VLOOKUP(A85,Dividende_je_Aktie!A$3:AM$103,7,FALSE)/VLOOKUP(A85,Schlußkurse!A$5:AU$105,35,FALSE),""),"")</f>
        <v>#N/A</v>
      </c>
      <c r="D85" s="82" t="e">
        <f>IF(VLOOKUP(A85,Schlußkurse!A$5:AU$105,36,FALSE)&gt;0,IF(VLOOKUP(A85,Dividende_je_Aktie!A$3:AM$103,8,FALSE)&lt;&gt;"",VLOOKUP(A85,Dividende_je_Aktie!A$3:AM$103,8,FALSE)/VLOOKUP(A85,Schlußkurse!A$5:AU$105,36,FALSE),""),"")</f>
        <v>#N/A</v>
      </c>
      <c r="E85" s="82" t="e">
        <f>IF(VLOOKUP(A85,Schlußkurse!A$5:AU$105,37,FALSE)&gt;0,IF(VLOOKUP(A85,Dividende_je_Aktie!A$3:AM$103,9,FALSE)&lt;&gt;"",VLOOKUP(A85,Dividende_je_Aktie!A$3:AM$103,9,FALSE)/VLOOKUP(A85,Schlußkurse!A$5:AU$105,37,FALSE),""),"")</f>
        <v>#N/A</v>
      </c>
      <c r="F85" s="82" t="e">
        <f>IF(VLOOKUP(A85,Schlußkurse!A$5:AU$105,38,FALSE)&gt;0,IF(VLOOKUP(A85,Dividende_je_Aktie!A$3:AM$103,10,FALSE)&lt;&gt;"",VLOOKUP(A85,Dividende_je_Aktie!A$3:AM$103,10,FALSE)/VLOOKUP(A85,Schlußkurse!A$5:AU$105,38,FALSE),""),"")</f>
        <v>#N/A</v>
      </c>
      <c r="G85" s="82" t="e">
        <f>IF(VLOOKUP(A85,Schlußkurse!A$5:AU$105,39,FALSE)&gt;0,IF(VLOOKUP(A85,Dividende_je_Aktie!A$3:AM$103,11,FALSE)&lt;&gt;"",VLOOKUP(A85,Dividende_je_Aktie!A$3:AM$103,11,FALSE)/VLOOKUP(A85,Schlußkurse!A$5:AU$105,39,FALSE),""),"")</f>
        <v>#N/A</v>
      </c>
      <c r="H85" s="82" t="e">
        <f>IF(VLOOKUP(A85,Schlußkurse!A$5:AU$105,40,FALSE)&gt;0,IF(VLOOKUP(A85,Dividende_je_Aktie!A$3:AM$103,12,FALSE)&lt;&gt;"",VLOOKUP(A85,Dividende_je_Aktie!A$3:AM$103,12,FALSE)/VLOOKUP(A85,Schlußkurse!A$5:AU$105,40,FALSE),""),"")</f>
        <v>#N/A</v>
      </c>
      <c r="I85" s="82" t="e">
        <f>IF(VLOOKUP(A85,Schlußkurse!A$5:AU$105,41,FALSE)&gt;0,IF(VLOOKUP(A85,Dividende_je_Aktie!A$3:AM$103,13,FALSE)&lt;&gt;"",VLOOKUP(A85,Dividende_je_Aktie!A$3:AM$103,13,FALSE)/VLOOKUP(A85,Schlußkurse!A$5:AU$105,41,FALSE),""),"")</f>
        <v>#N/A</v>
      </c>
      <c r="J85" s="82" t="e">
        <f>IF(VLOOKUP(A85,Schlußkurse!A$5:AU$105,42,FALSE)&gt;0,IF(VLOOKUP(A85,Dividende_je_Aktie!A$3:AM$103,14,FALSE)&lt;&gt;"",VLOOKUP(A85,Dividende_je_Aktie!A$3:AM$103,14,FALSE)/VLOOKUP(A85,Schlußkurse!A$5:AU$105,42,FALSE),""),"")</f>
        <v>#N/A</v>
      </c>
      <c r="K85" s="82" t="e">
        <f>IF(VLOOKUP(A85,Schlußkurse!A$5:AU$105,43,FALSE)&gt;0,IF(VLOOKUP(A85,Dividende_je_Aktie!A$3:AM$103,15,FALSE)&lt;&gt;"",VLOOKUP(A85,Dividende_je_Aktie!A$3:AM$103,15,FALSE)/VLOOKUP(A85,Schlußkurse!A$5:AU$105,43,FALSE),""),"")</f>
        <v>#N/A</v>
      </c>
      <c r="L85" s="82" t="e">
        <f>IF(VLOOKUP(A85,Schlußkurse!A$5:AU$105,44,FALSE)&gt;0,IF(VLOOKUP(A85,Dividende_je_Aktie!A$3:AM$103,16,FALSE)&lt;&gt;"",VLOOKUP(A85,Dividende_je_Aktie!A$3:AM$103,16,FALSE)/VLOOKUP(A85,Schlußkurse!A$5:AU$105,44,FALSE),""),"")</f>
        <v>#N/A</v>
      </c>
      <c r="M85" s="82" t="e">
        <f>IF(VLOOKUP(A85,Schlußkurse!A$5:AU$105,45,FALSE)&gt;0,IF(VLOOKUP(A85,Dividende_je_Aktie!A$3:AM$103,17,FALSE)&lt;&gt;"",VLOOKUP(A85,Dividende_je_Aktie!A$3:AM$103,17,FALSE)/VLOOKUP(A85,Schlußkurse!A$5:AU$105,45,FALSE),""),"")</f>
        <v>#N/A</v>
      </c>
      <c r="N85" s="82" t="e">
        <f>IF(VLOOKUP(A85,Schlußkurse!A$5:AU$105,46,FALSE)&gt;0,IF(VLOOKUP(A85,Dividende_je_Aktie!A$3:AM$103,18,FALSE)&lt;&gt;"",VLOOKUP(A85,Dividende_je_Aktie!A$3:AM$103,18,FALSE)/VLOOKUP(A85,Schlußkurse!A$5:AU$105,46,FALSE),""),"")</f>
        <v>#N/A</v>
      </c>
      <c r="O85" s="83" t="e">
        <f>IF(VLOOKUP(A85,Schlußkurse!A$5:AU$105,47,FALSE)&gt;0,IF(VLOOKUP(A85,Dividende_je_Aktie!A$3:AM$103,19,FALSE)&lt;&gt;"",VLOOKUP(A85,Dividende_je_Aktie!A$3:AM$103,19,FALSE)/VLOOKUP(A85,Schlußkurse!A$5:AU$105,47,FALSE),""),"")</f>
        <v>#N/A</v>
      </c>
      <c r="P85" s="5" t="e">
        <f t="shared" si="2"/>
        <v>#N/A</v>
      </c>
      <c r="Q85" s="5" t="e">
        <f>VLOOKUP(A85,Dividende_je_Aktie!A$3:AM$103,24,FALSE)/VLOOKUP(A85,Schlußkurse!A$5:AU$105,35,FALSE)</f>
        <v>#N/A</v>
      </c>
      <c r="R85" s="5" t="e">
        <f t="shared" si="3"/>
        <v>#N/A</v>
      </c>
    </row>
    <row r="86" spans="3:18" x14ac:dyDescent="0.25">
      <c r="C86" s="81" t="e">
        <f>IF(VLOOKUP(A86,Schlußkurse!A$5:AU$105,35,FALSE)&gt;0,IF(VLOOKUP(A86,Dividende_je_Aktie!A$3:AM$103,7,FALSE)&lt;&gt;"",VLOOKUP(A86,Dividende_je_Aktie!A$3:AM$103,7,FALSE)/VLOOKUP(A86,Schlußkurse!A$5:AU$105,35,FALSE),""),"")</f>
        <v>#N/A</v>
      </c>
      <c r="D86" s="82" t="e">
        <f>IF(VLOOKUP(A86,Schlußkurse!A$5:AU$105,36,FALSE)&gt;0,IF(VLOOKUP(A86,Dividende_je_Aktie!A$3:AM$103,8,FALSE)&lt;&gt;"",VLOOKUP(A86,Dividende_je_Aktie!A$3:AM$103,8,FALSE)/VLOOKUP(A86,Schlußkurse!A$5:AU$105,36,FALSE),""),"")</f>
        <v>#N/A</v>
      </c>
      <c r="E86" s="82" t="e">
        <f>IF(VLOOKUP(A86,Schlußkurse!A$5:AU$105,37,FALSE)&gt;0,IF(VLOOKUP(A86,Dividende_je_Aktie!A$3:AM$103,9,FALSE)&lt;&gt;"",VLOOKUP(A86,Dividende_je_Aktie!A$3:AM$103,9,FALSE)/VLOOKUP(A86,Schlußkurse!A$5:AU$105,37,FALSE),""),"")</f>
        <v>#N/A</v>
      </c>
      <c r="F86" s="82" t="e">
        <f>IF(VLOOKUP(A86,Schlußkurse!A$5:AU$105,38,FALSE)&gt;0,IF(VLOOKUP(A86,Dividende_je_Aktie!A$3:AM$103,10,FALSE)&lt;&gt;"",VLOOKUP(A86,Dividende_je_Aktie!A$3:AM$103,10,FALSE)/VLOOKUP(A86,Schlußkurse!A$5:AU$105,38,FALSE),""),"")</f>
        <v>#N/A</v>
      </c>
      <c r="G86" s="82" t="e">
        <f>IF(VLOOKUP(A86,Schlußkurse!A$5:AU$105,39,FALSE)&gt;0,IF(VLOOKUP(A86,Dividende_je_Aktie!A$3:AM$103,11,FALSE)&lt;&gt;"",VLOOKUP(A86,Dividende_je_Aktie!A$3:AM$103,11,FALSE)/VLOOKUP(A86,Schlußkurse!A$5:AU$105,39,FALSE),""),"")</f>
        <v>#N/A</v>
      </c>
      <c r="H86" s="82" t="e">
        <f>IF(VLOOKUP(A86,Schlußkurse!A$5:AU$105,40,FALSE)&gt;0,IF(VLOOKUP(A86,Dividende_je_Aktie!A$3:AM$103,12,FALSE)&lt;&gt;"",VLOOKUP(A86,Dividende_je_Aktie!A$3:AM$103,12,FALSE)/VLOOKUP(A86,Schlußkurse!A$5:AU$105,40,FALSE),""),"")</f>
        <v>#N/A</v>
      </c>
      <c r="I86" s="82" t="e">
        <f>IF(VLOOKUP(A86,Schlußkurse!A$5:AU$105,41,FALSE)&gt;0,IF(VLOOKUP(A86,Dividende_je_Aktie!A$3:AM$103,13,FALSE)&lt;&gt;"",VLOOKUP(A86,Dividende_je_Aktie!A$3:AM$103,13,FALSE)/VLOOKUP(A86,Schlußkurse!A$5:AU$105,41,FALSE),""),"")</f>
        <v>#N/A</v>
      </c>
      <c r="J86" s="82" t="e">
        <f>IF(VLOOKUP(A86,Schlußkurse!A$5:AU$105,42,FALSE)&gt;0,IF(VLOOKUP(A86,Dividende_je_Aktie!A$3:AM$103,14,FALSE)&lt;&gt;"",VLOOKUP(A86,Dividende_je_Aktie!A$3:AM$103,14,FALSE)/VLOOKUP(A86,Schlußkurse!A$5:AU$105,42,FALSE),""),"")</f>
        <v>#N/A</v>
      </c>
      <c r="K86" s="82" t="e">
        <f>IF(VLOOKUP(A86,Schlußkurse!A$5:AU$105,43,FALSE)&gt;0,IF(VLOOKUP(A86,Dividende_je_Aktie!A$3:AM$103,15,FALSE)&lt;&gt;"",VLOOKUP(A86,Dividende_je_Aktie!A$3:AM$103,15,FALSE)/VLOOKUP(A86,Schlußkurse!A$5:AU$105,43,FALSE),""),"")</f>
        <v>#N/A</v>
      </c>
      <c r="L86" s="82" t="e">
        <f>IF(VLOOKUP(A86,Schlußkurse!A$5:AU$105,44,FALSE)&gt;0,IF(VLOOKUP(A86,Dividende_je_Aktie!A$3:AM$103,16,FALSE)&lt;&gt;"",VLOOKUP(A86,Dividende_je_Aktie!A$3:AM$103,16,FALSE)/VLOOKUP(A86,Schlußkurse!A$5:AU$105,44,FALSE),""),"")</f>
        <v>#N/A</v>
      </c>
      <c r="M86" s="82" t="e">
        <f>IF(VLOOKUP(A86,Schlußkurse!A$5:AU$105,45,FALSE)&gt;0,IF(VLOOKUP(A86,Dividende_je_Aktie!A$3:AM$103,17,FALSE)&lt;&gt;"",VLOOKUP(A86,Dividende_je_Aktie!A$3:AM$103,17,FALSE)/VLOOKUP(A86,Schlußkurse!A$5:AU$105,45,FALSE),""),"")</f>
        <v>#N/A</v>
      </c>
      <c r="N86" s="82" t="e">
        <f>IF(VLOOKUP(A86,Schlußkurse!A$5:AU$105,46,FALSE)&gt;0,IF(VLOOKUP(A86,Dividende_je_Aktie!A$3:AM$103,18,FALSE)&lt;&gt;"",VLOOKUP(A86,Dividende_je_Aktie!A$3:AM$103,18,FALSE)/VLOOKUP(A86,Schlußkurse!A$5:AU$105,46,FALSE),""),"")</f>
        <v>#N/A</v>
      </c>
      <c r="O86" s="83" t="e">
        <f>IF(VLOOKUP(A86,Schlußkurse!A$5:AU$105,47,FALSE)&gt;0,IF(VLOOKUP(A86,Dividende_je_Aktie!A$3:AM$103,19,FALSE)&lt;&gt;"",VLOOKUP(A86,Dividende_je_Aktie!A$3:AM$103,19,FALSE)/VLOOKUP(A86,Schlußkurse!A$5:AU$105,47,FALSE),""),"")</f>
        <v>#N/A</v>
      </c>
      <c r="P86" s="5" t="e">
        <f t="shared" si="2"/>
        <v>#N/A</v>
      </c>
      <c r="Q86" s="5" t="e">
        <f>VLOOKUP(A86,Dividende_je_Aktie!A$3:AM$103,24,FALSE)/VLOOKUP(A86,Schlußkurse!A$5:AU$105,35,FALSE)</f>
        <v>#N/A</v>
      </c>
      <c r="R86" s="5" t="e">
        <f t="shared" si="3"/>
        <v>#N/A</v>
      </c>
    </row>
    <row r="87" spans="3:18" x14ac:dyDescent="0.25">
      <c r="C87" s="81" t="e">
        <f>IF(VLOOKUP(A87,Schlußkurse!A$5:AU$105,35,FALSE)&gt;0,IF(VLOOKUP(A87,Dividende_je_Aktie!A$3:AM$103,7,FALSE)&lt;&gt;"",VLOOKUP(A87,Dividende_je_Aktie!A$3:AM$103,7,FALSE)/VLOOKUP(A87,Schlußkurse!A$5:AU$105,35,FALSE),""),"")</f>
        <v>#N/A</v>
      </c>
      <c r="D87" s="82" t="e">
        <f>IF(VLOOKUP(A87,Schlußkurse!A$5:AU$105,36,FALSE)&gt;0,IF(VLOOKUP(A87,Dividende_je_Aktie!A$3:AM$103,8,FALSE)&lt;&gt;"",VLOOKUP(A87,Dividende_je_Aktie!A$3:AM$103,8,FALSE)/VLOOKUP(A87,Schlußkurse!A$5:AU$105,36,FALSE),""),"")</f>
        <v>#N/A</v>
      </c>
      <c r="E87" s="82" t="e">
        <f>IF(VLOOKUP(A87,Schlußkurse!A$5:AU$105,37,FALSE)&gt;0,IF(VLOOKUP(A87,Dividende_je_Aktie!A$3:AM$103,9,FALSE)&lt;&gt;"",VLOOKUP(A87,Dividende_je_Aktie!A$3:AM$103,9,FALSE)/VLOOKUP(A87,Schlußkurse!A$5:AU$105,37,FALSE),""),"")</f>
        <v>#N/A</v>
      </c>
      <c r="F87" s="82" t="e">
        <f>IF(VLOOKUP(A87,Schlußkurse!A$5:AU$105,38,FALSE)&gt;0,IF(VLOOKUP(A87,Dividende_je_Aktie!A$3:AM$103,10,FALSE)&lt;&gt;"",VLOOKUP(A87,Dividende_je_Aktie!A$3:AM$103,10,FALSE)/VLOOKUP(A87,Schlußkurse!A$5:AU$105,38,FALSE),""),"")</f>
        <v>#N/A</v>
      </c>
      <c r="G87" s="82" t="e">
        <f>IF(VLOOKUP(A87,Schlußkurse!A$5:AU$105,39,FALSE)&gt;0,IF(VLOOKUP(A87,Dividende_je_Aktie!A$3:AM$103,11,FALSE)&lt;&gt;"",VLOOKUP(A87,Dividende_je_Aktie!A$3:AM$103,11,FALSE)/VLOOKUP(A87,Schlußkurse!A$5:AU$105,39,FALSE),""),"")</f>
        <v>#N/A</v>
      </c>
      <c r="H87" s="82" t="e">
        <f>IF(VLOOKUP(A87,Schlußkurse!A$5:AU$105,40,FALSE)&gt;0,IF(VLOOKUP(A87,Dividende_je_Aktie!A$3:AM$103,12,FALSE)&lt;&gt;"",VLOOKUP(A87,Dividende_je_Aktie!A$3:AM$103,12,FALSE)/VLOOKUP(A87,Schlußkurse!A$5:AU$105,40,FALSE),""),"")</f>
        <v>#N/A</v>
      </c>
      <c r="I87" s="82" t="e">
        <f>IF(VLOOKUP(A87,Schlußkurse!A$5:AU$105,41,FALSE)&gt;0,IF(VLOOKUP(A87,Dividende_je_Aktie!A$3:AM$103,13,FALSE)&lt;&gt;"",VLOOKUP(A87,Dividende_je_Aktie!A$3:AM$103,13,FALSE)/VLOOKUP(A87,Schlußkurse!A$5:AU$105,41,FALSE),""),"")</f>
        <v>#N/A</v>
      </c>
      <c r="J87" s="82" t="e">
        <f>IF(VLOOKUP(A87,Schlußkurse!A$5:AU$105,42,FALSE)&gt;0,IF(VLOOKUP(A87,Dividende_je_Aktie!A$3:AM$103,14,FALSE)&lt;&gt;"",VLOOKUP(A87,Dividende_je_Aktie!A$3:AM$103,14,FALSE)/VLOOKUP(A87,Schlußkurse!A$5:AU$105,42,FALSE),""),"")</f>
        <v>#N/A</v>
      </c>
      <c r="K87" s="82" t="e">
        <f>IF(VLOOKUP(A87,Schlußkurse!A$5:AU$105,43,FALSE)&gt;0,IF(VLOOKUP(A87,Dividende_je_Aktie!A$3:AM$103,15,FALSE)&lt;&gt;"",VLOOKUP(A87,Dividende_je_Aktie!A$3:AM$103,15,FALSE)/VLOOKUP(A87,Schlußkurse!A$5:AU$105,43,FALSE),""),"")</f>
        <v>#N/A</v>
      </c>
      <c r="L87" s="82" t="e">
        <f>IF(VLOOKUP(A87,Schlußkurse!A$5:AU$105,44,FALSE)&gt;0,IF(VLOOKUP(A87,Dividende_je_Aktie!A$3:AM$103,16,FALSE)&lt;&gt;"",VLOOKUP(A87,Dividende_je_Aktie!A$3:AM$103,16,FALSE)/VLOOKUP(A87,Schlußkurse!A$5:AU$105,44,FALSE),""),"")</f>
        <v>#N/A</v>
      </c>
      <c r="M87" s="82" t="e">
        <f>IF(VLOOKUP(A87,Schlußkurse!A$5:AU$105,45,FALSE)&gt;0,IF(VLOOKUP(A87,Dividende_je_Aktie!A$3:AM$103,17,FALSE)&lt;&gt;"",VLOOKUP(A87,Dividende_je_Aktie!A$3:AM$103,17,FALSE)/VLOOKUP(A87,Schlußkurse!A$5:AU$105,45,FALSE),""),"")</f>
        <v>#N/A</v>
      </c>
      <c r="N87" s="82" t="e">
        <f>IF(VLOOKUP(A87,Schlußkurse!A$5:AU$105,46,FALSE)&gt;0,IF(VLOOKUP(A87,Dividende_je_Aktie!A$3:AM$103,18,FALSE)&lt;&gt;"",VLOOKUP(A87,Dividende_je_Aktie!A$3:AM$103,18,FALSE)/VLOOKUP(A87,Schlußkurse!A$5:AU$105,46,FALSE),""),"")</f>
        <v>#N/A</v>
      </c>
      <c r="O87" s="83" t="e">
        <f>IF(VLOOKUP(A87,Schlußkurse!A$5:AU$105,47,FALSE)&gt;0,IF(VLOOKUP(A87,Dividende_je_Aktie!A$3:AM$103,19,FALSE)&lt;&gt;"",VLOOKUP(A87,Dividende_je_Aktie!A$3:AM$103,19,FALSE)/VLOOKUP(A87,Schlußkurse!A$5:AU$105,47,FALSE),""),"")</f>
        <v>#N/A</v>
      </c>
      <c r="P87" s="5" t="e">
        <f t="shared" si="2"/>
        <v>#N/A</v>
      </c>
      <c r="Q87" s="5" t="e">
        <f>VLOOKUP(A87,Dividende_je_Aktie!A$3:AM$103,24,FALSE)/VLOOKUP(A87,Schlußkurse!A$5:AU$105,35,FALSE)</f>
        <v>#N/A</v>
      </c>
      <c r="R87" s="5" t="e">
        <f t="shared" si="3"/>
        <v>#N/A</v>
      </c>
    </row>
    <row r="88" spans="3:18" x14ac:dyDescent="0.25">
      <c r="C88" s="81" t="e">
        <f>IF(VLOOKUP(A88,Schlußkurse!A$5:AU$105,35,FALSE)&gt;0,IF(VLOOKUP(A88,Dividende_je_Aktie!A$3:AM$103,7,FALSE)&lt;&gt;"",VLOOKUP(A88,Dividende_je_Aktie!A$3:AM$103,7,FALSE)/VLOOKUP(A88,Schlußkurse!A$5:AU$105,35,FALSE),""),"")</f>
        <v>#N/A</v>
      </c>
      <c r="D88" s="82" t="e">
        <f>IF(VLOOKUP(A88,Schlußkurse!A$5:AU$105,36,FALSE)&gt;0,IF(VLOOKUP(A88,Dividende_je_Aktie!A$3:AM$103,8,FALSE)&lt;&gt;"",VLOOKUP(A88,Dividende_je_Aktie!A$3:AM$103,8,FALSE)/VLOOKUP(A88,Schlußkurse!A$5:AU$105,36,FALSE),""),"")</f>
        <v>#N/A</v>
      </c>
      <c r="E88" s="82" t="e">
        <f>IF(VLOOKUP(A88,Schlußkurse!A$5:AU$105,37,FALSE)&gt;0,IF(VLOOKUP(A88,Dividende_je_Aktie!A$3:AM$103,9,FALSE)&lt;&gt;"",VLOOKUP(A88,Dividende_je_Aktie!A$3:AM$103,9,FALSE)/VLOOKUP(A88,Schlußkurse!A$5:AU$105,37,FALSE),""),"")</f>
        <v>#N/A</v>
      </c>
      <c r="F88" s="82" t="e">
        <f>IF(VLOOKUP(A88,Schlußkurse!A$5:AU$105,38,FALSE)&gt;0,IF(VLOOKUP(A88,Dividende_je_Aktie!A$3:AM$103,10,FALSE)&lt;&gt;"",VLOOKUP(A88,Dividende_je_Aktie!A$3:AM$103,10,FALSE)/VLOOKUP(A88,Schlußkurse!A$5:AU$105,38,FALSE),""),"")</f>
        <v>#N/A</v>
      </c>
      <c r="G88" s="82" t="e">
        <f>IF(VLOOKUP(A88,Schlußkurse!A$5:AU$105,39,FALSE)&gt;0,IF(VLOOKUP(A88,Dividende_je_Aktie!A$3:AM$103,11,FALSE)&lt;&gt;"",VLOOKUP(A88,Dividende_je_Aktie!A$3:AM$103,11,FALSE)/VLOOKUP(A88,Schlußkurse!A$5:AU$105,39,FALSE),""),"")</f>
        <v>#N/A</v>
      </c>
      <c r="H88" s="82" t="e">
        <f>IF(VLOOKUP(A88,Schlußkurse!A$5:AU$105,40,FALSE)&gt;0,IF(VLOOKUP(A88,Dividende_je_Aktie!A$3:AM$103,12,FALSE)&lt;&gt;"",VLOOKUP(A88,Dividende_je_Aktie!A$3:AM$103,12,FALSE)/VLOOKUP(A88,Schlußkurse!A$5:AU$105,40,FALSE),""),"")</f>
        <v>#N/A</v>
      </c>
      <c r="I88" s="82" t="e">
        <f>IF(VLOOKUP(A88,Schlußkurse!A$5:AU$105,41,FALSE)&gt;0,IF(VLOOKUP(A88,Dividende_je_Aktie!A$3:AM$103,13,FALSE)&lt;&gt;"",VLOOKUP(A88,Dividende_je_Aktie!A$3:AM$103,13,FALSE)/VLOOKUP(A88,Schlußkurse!A$5:AU$105,41,FALSE),""),"")</f>
        <v>#N/A</v>
      </c>
      <c r="J88" s="82" t="e">
        <f>IF(VLOOKUP(A88,Schlußkurse!A$5:AU$105,42,FALSE)&gt;0,IF(VLOOKUP(A88,Dividende_je_Aktie!A$3:AM$103,14,FALSE)&lt;&gt;"",VLOOKUP(A88,Dividende_je_Aktie!A$3:AM$103,14,FALSE)/VLOOKUP(A88,Schlußkurse!A$5:AU$105,42,FALSE),""),"")</f>
        <v>#N/A</v>
      </c>
      <c r="K88" s="82" t="e">
        <f>IF(VLOOKUP(A88,Schlußkurse!A$5:AU$105,43,FALSE)&gt;0,IF(VLOOKUP(A88,Dividende_je_Aktie!A$3:AM$103,15,FALSE)&lt;&gt;"",VLOOKUP(A88,Dividende_je_Aktie!A$3:AM$103,15,FALSE)/VLOOKUP(A88,Schlußkurse!A$5:AU$105,43,FALSE),""),"")</f>
        <v>#N/A</v>
      </c>
      <c r="L88" s="82" t="e">
        <f>IF(VLOOKUP(A88,Schlußkurse!A$5:AU$105,44,FALSE)&gt;0,IF(VLOOKUP(A88,Dividende_je_Aktie!A$3:AM$103,16,FALSE)&lt;&gt;"",VLOOKUP(A88,Dividende_je_Aktie!A$3:AM$103,16,FALSE)/VLOOKUP(A88,Schlußkurse!A$5:AU$105,44,FALSE),""),"")</f>
        <v>#N/A</v>
      </c>
      <c r="M88" s="82" t="e">
        <f>IF(VLOOKUP(A88,Schlußkurse!A$5:AU$105,45,FALSE)&gt;0,IF(VLOOKUP(A88,Dividende_je_Aktie!A$3:AM$103,17,FALSE)&lt;&gt;"",VLOOKUP(A88,Dividende_je_Aktie!A$3:AM$103,17,FALSE)/VLOOKUP(A88,Schlußkurse!A$5:AU$105,45,FALSE),""),"")</f>
        <v>#N/A</v>
      </c>
      <c r="N88" s="82" t="e">
        <f>IF(VLOOKUP(A88,Schlußkurse!A$5:AU$105,46,FALSE)&gt;0,IF(VLOOKUP(A88,Dividende_je_Aktie!A$3:AM$103,18,FALSE)&lt;&gt;"",VLOOKUP(A88,Dividende_je_Aktie!A$3:AM$103,18,FALSE)/VLOOKUP(A88,Schlußkurse!A$5:AU$105,46,FALSE),""),"")</f>
        <v>#N/A</v>
      </c>
      <c r="O88" s="83" t="e">
        <f>IF(VLOOKUP(A88,Schlußkurse!A$5:AU$105,47,FALSE)&gt;0,IF(VLOOKUP(A88,Dividende_je_Aktie!A$3:AM$103,19,FALSE)&lt;&gt;"",VLOOKUP(A88,Dividende_je_Aktie!A$3:AM$103,19,FALSE)/VLOOKUP(A88,Schlußkurse!A$5:AU$105,47,FALSE),""),"")</f>
        <v>#N/A</v>
      </c>
      <c r="P88" s="5" t="e">
        <f t="shared" si="2"/>
        <v>#N/A</v>
      </c>
      <c r="Q88" s="5" t="e">
        <f>VLOOKUP(A88,Dividende_je_Aktie!A$3:AM$103,24,FALSE)/VLOOKUP(A88,Schlußkurse!A$5:AU$105,35,FALSE)</f>
        <v>#N/A</v>
      </c>
      <c r="R88" s="5" t="e">
        <f t="shared" si="3"/>
        <v>#N/A</v>
      </c>
    </row>
    <row r="89" spans="3:18" x14ac:dyDescent="0.25">
      <c r="C89" s="81" t="e">
        <f>IF(VLOOKUP(A89,Schlußkurse!A$5:AU$105,35,FALSE)&gt;0,IF(VLOOKUP(A89,Dividende_je_Aktie!A$3:AM$103,7,FALSE)&lt;&gt;"",VLOOKUP(A89,Dividende_je_Aktie!A$3:AM$103,7,FALSE)/VLOOKUP(A89,Schlußkurse!A$5:AU$105,35,FALSE),""),"")</f>
        <v>#N/A</v>
      </c>
      <c r="D89" s="82" t="e">
        <f>IF(VLOOKUP(A89,Schlußkurse!A$5:AU$105,36,FALSE)&gt;0,IF(VLOOKUP(A89,Dividende_je_Aktie!A$3:AM$103,8,FALSE)&lt;&gt;"",VLOOKUP(A89,Dividende_je_Aktie!A$3:AM$103,8,FALSE)/VLOOKUP(A89,Schlußkurse!A$5:AU$105,36,FALSE),""),"")</f>
        <v>#N/A</v>
      </c>
      <c r="E89" s="82" t="e">
        <f>IF(VLOOKUP(A89,Schlußkurse!A$5:AU$105,37,FALSE)&gt;0,IF(VLOOKUP(A89,Dividende_je_Aktie!A$3:AM$103,9,FALSE)&lt;&gt;"",VLOOKUP(A89,Dividende_je_Aktie!A$3:AM$103,9,FALSE)/VLOOKUP(A89,Schlußkurse!A$5:AU$105,37,FALSE),""),"")</f>
        <v>#N/A</v>
      </c>
      <c r="F89" s="82" t="e">
        <f>IF(VLOOKUP(A89,Schlußkurse!A$5:AU$105,38,FALSE)&gt;0,IF(VLOOKUP(A89,Dividende_je_Aktie!A$3:AM$103,10,FALSE)&lt;&gt;"",VLOOKUP(A89,Dividende_je_Aktie!A$3:AM$103,10,FALSE)/VLOOKUP(A89,Schlußkurse!A$5:AU$105,38,FALSE),""),"")</f>
        <v>#N/A</v>
      </c>
      <c r="G89" s="82" t="e">
        <f>IF(VLOOKUP(A89,Schlußkurse!A$5:AU$105,39,FALSE)&gt;0,IF(VLOOKUP(A89,Dividende_je_Aktie!A$3:AM$103,11,FALSE)&lt;&gt;"",VLOOKUP(A89,Dividende_je_Aktie!A$3:AM$103,11,FALSE)/VLOOKUP(A89,Schlußkurse!A$5:AU$105,39,FALSE),""),"")</f>
        <v>#N/A</v>
      </c>
      <c r="H89" s="82" t="e">
        <f>IF(VLOOKUP(A89,Schlußkurse!A$5:AU$105,40,FALSE)&gt;0,IF(VLOOKUP(A89,Dividende_je_Aktie!A$3:AM$103,12,FALSE)&lt;&gt;"",VLOOKUP(A89,Dividende_je_Aktie!A$3:AM$103,12,FALSE)/VLOOKUP(A89,Schlußkurse!A$5:AU$105,40,FALSE),""),"")</f>
        <v>#N/A</v>
      </c>
      <c r="I89" s="82" t="e">
        <f>IF(VLOOKUP(A89,Schlußkurse!A$5:AU$105,41,FALSE)&gt;0,IF(VLOOKUP(A89,Dividende_je_Aktie!A$3:AM$103,13,FALSE)&lt;&gt;"",VLOOKUP(A89,Dividende_je_Aktie!A$3:AM$103,13,FALSE)/VLOOKUP(A89,Schlußkurse!A$5:AU$105,41,FALSE),""),"")</f>
        <v>#N/A</v>
      </c>
      <c r="J89" s="82" t="e">
        <f>IF(VLOOKUP(A89,Schlußkurse!A$5:AU$105,42,FALSE)&gt;0,IF(VLOOKUP(A89,Dividende_je_Aktie!A$3:AM$103,14,FALSE)&lt;&gt;"",VLOOKUP(A89,Dividende_je_Aktie!A$3:AM$103,14,FALSE)/VLOOKUP(A89,Schlußkurse!A$5:AU$105,42,FALSE),""),"")</f>
        <v>#N/A</v>
      </c>
      <c r="K89" s="82" t="e">
        <f>IF(VLOOKUP(A89,Schlußkurse!A$5:AU$105,43,FALSE)&gt;0,IF(VLOOKUP(A89,Dividende_je_Aktie!A$3:AM$103,15,FALSE)&lt;&gt;"",VLOOKUP(A89,Dividende_je_Aktie!A$3:AM$103,15,FALSE)/VLOOKUP(A89,Schlußkurse!A$5:AU$105,43,FALSE),""),"")</f>
        <v>#N/A</v>
      </c>
      <c r="L89" s="82" t="e">
        <f>IF(VLOOKUP(A89,Schlußkurse!A$5:AU$105,44,FALSE)&gt;0,IF(VLOOKUP(A89,Dividende_je_Aktie!A$3:AM$103,16,FALSE)&lt;&gt;"",VLOOKUP(A89,Dividende_je_Aktie!A$3:AM$103,16,FALSE)/VLOOKUP(A89,Schlußkurse!A$5:AU$105,44,FALSE),""),"")</f>
        <v>#N/A</v>
      </c>
      <c r="M89" s="82" t="e">
        <f>IF(VLOOKUP(A89,Schlußkurse!A$5:AU$105,45,FALSE)&gt;0,IF(VLOOKUP(A89,Dividende_je_Aktie!A$3:AM$103,17,FALSE)&lt;&gt;"",VLOOKUP(A89,Dividende_je_Aktie!A$3:AM$103,17,FALSE)/VLOOKUP(A89,Schlußkurse!A$5:AU$105,45,FALSE),""),"")</f>
        <v>#N/A</v>
      </c>
      <c r="N89" s="82" t="e">
        <f>IF(VLOOKUP(A89,Schlußkurse!A$5:AU$105,46,FALSE)&gt;0,IF(VLOOKUP(A89,Dividende_je_Aktie!A$3:AM$103,18,FALSE)&lt;&gt;"",VLOOKUP(A89,Dividende_je_Aktie!A$3:AM$103,18,FALSE)/VLOOKUP(A89,Schlußkurse!A$5:AU$105,46,FALSE),""),"")</f>
        <v>#N/A</v>
      </c>
      <c r="O89" s="83" t="e">
        <f>IF(VLOOKUP(A89,Schlußkurse!A$5:AU$105,47,FALSE)&gt;0,IF(VLOOKUP(A89,Dividende_je_Aktie!A$3:AM$103,19,FALSE)&lt;&gt;"",VLOOKUP(A89,Dividende_je_Aktie!A$3:AM$103,19,FALSE)/VLOOKUP(A89,Schlußkurse!A$5:AU$105,47,FALSE),""),"")</f>
        <v>#N/A</v>
      </c>
      <c r="P89" s="5" t="e">
        <f t="shared" si="2"/>
        <v>#N/A</v>
      </c>
      <c r="Q89" s="5" t="e">
        <f>VLOOKUP(A89,Dividende_je_Aktie!A$3:AM$103,24,FALSE)/VLOOKUP(A89,Schlußkurse!A$5:AU$105,35,FALSE)</f>
        <v>#N/A</v>
      </c>
      <c r="R89" s="5" t="e">
        <f t="shared" si="3"/>
        <v>#N/A</v>
      </c>
    </row>
    <row r="90" spans="3:18" x14ac:dyDescent="0.25">
      <c r="C90" s="81" t="e">
        <f>IF(VLOOKUP(A90,Schlußkurse!A$5:AU$105,35,FALSE)&gt;0,IF(VLOOKUP(A90,Dividende_je_Aktie!A$3:AM$103,7,FALSE)&lt;&gt;"",VLOOKUP(A90,Dividende_je_Aktie!A$3:AM$103,7,FALSE)/VLOOKUP(A90,Schlußkurse!A$5:AU$105,35,FALSE),""),"")</f>
        <v>#N/A</v>
      </c>
      <c r="D90" s="82" t="e">
        <f>IF(VLOOKUP(A90,Schlußkurse!A$5:AU$105,36,FALSE)&gt;0,IF(VLOOKUP(A90,Dividende_je_Aktie!A$3:AM$103,8,FALSE)&lt;&gt;"",VLOOKUP(A90,Dividende_je_Aktie!A$3:AM$103,8,FALSE)/VLOOKUP(A90,Schlußkurse!A$5:AU$105,36,FALSE),""),"")</f>
        <v>#N/A</v>
      </c>
      <c r="E90" s="82" t="e">
        <f>IF(VLOOKUP(A90,Schlußkurse!A$5:AU$105,37,FALSE)&gt;0,IF(VLOOKUP(A90,Dividende_je_Aktie!A$3:AM$103,9,FALSE)&lt;&gt;"",VLOOKUP(A90,Dividende_je_Aktie!A$3:AM$103,9,FALSE)/VLOOKUP(A90,Schlußkurse!A$5:AU$105,37,FALSE),""),"")</f>
        <v>#N/A</v>
      </c>
      <c r="F90" s="82" t="e">
        <f>IF(VLOOKUP(A90,Schlußkurse!A$5:AU$105,38,FALSE)&gt;0,IF(VLOOKUP(A90,Dividende_je_Aktie!A$3:AM$103,10,FALSE)&lt;&gt;"",VLOOKUP(A90,Dividende_je_Aktie!A$3:AM$103,10,FALSE)/VLOOKUP(A90,Schlußkurse!A$5:AU$105,38,FALSE),""),"")</f>
        <v>#N/A</v>
      </c>
      <c r="G90" s="82" t="e">
        <f>IF(VLOOKUP(A90,Schlußkurse!A$5:AU$105,39,FALSE)&gt;0,IF(VLOOKUP(A90,Dividende_je_Aktie!A$3:AM$103,11,FALSE)&lt;&gt;"",VLOOKUP(A90,Dividende_je_Aktie!A$3:AM$103,11,FALSE)/VLOOKUP(A90,Schlußkurse!A$5:AU$105,39,FALSE),""),"")</f>
        <v>#N/A</v>
      </c>
      <c r="H90" s="82" t="e">
        <f>IF(VLOOKUP(A90,Schlußkurse!A$5:AU$105,40,FALSE)&gt;0,IF(VLOOKUP(A90,Dividende_je_Aktie!A$3:AM$103,12,FALSE)&lt;&gt;"",VLOOKUP(A90,Dividende_je_Aktie!A$3:AM$103,12,FALSE)/VLOOKUP(A90,Schlußkurse!A$5:AU$105,40,FALSE),""),"")</f>
        <v>#N/A</v>
      </c>
      <c r="I90" s="82" t="e">
        <f>IF(VLOOKUP(A90,Schlußkurse!A$5:AU$105,41,FALSE)&gt;0,IF(VLOOKUP(A90,Dividende_je_Aktie!A$3:AM$103,13,FALSE)&lt;&gt;"",VLOOKUP(A90,Dividende_je_Aktie!A$3:AM$103,13,FALSE)/VLOOKUP(A90,Schlußkurse!A$5:AU$105,41,FALSE),""),"")</f>
        <v>#N/A</v>
      </c>
      <c r="J90" s="82" t="e">
        <f>IF(VLOOKUP(A90,Schlußkurse!A$5:AU$105,42,FALSE)&gt;0,IF(VLOOKUP(A90,Dividende_je_Aktie!A$3:AM$103,14,FALSE)&lt;&gt;"",VLOOKUP(A90,Dividende_je_Aktie!A$3:AM$103,14,FALSE)/VLOOKUP(A90,Schlußkurse!A$5:AU$105,42,FALSE),""),"")</f>
        <v>#N/A</v>
      </c>
      <c r="K90" s="82" t="e">
        <f>IF(VLOOKUP(A90,Schlußkurse!A$5:AU$105,43,FALSE)&gt;0,IF(VLOOKUP(A90,Dividende_je_Aktie!A$3:AM$103,15,FALSE)&lt;&gt;"",VLOOKUP(A90,Dividende_je_Aktie!A$3:AM$103,15,FALSE)/VLOOKUP(A90,Schlußkurse!A$5:AU$105,43,FALSE),""),"")</f>
        <v>#N/A</v>
      </c>
      <c r="L90" s="82" t="e">
        <f>IF(VLOOKUP(A90,Schlußkurse!A$5:AU$105,44,FALSE)&gt;0,IF(VLOOKUP(A90,Dividende_je_Aktie!A$3:AM$103,16,FALSE)&lt;&gt;"",VLOOKUP(A90,Dividende_je_Aktie!A$3:AM$103,16,FALSE)/VLOOKUP(A90,Schlußkurse!A$5:AU$105,44,FALSE),""),"")</f>
        <v>#N/A</v>
      </c>
      <c r="M90" s="82" t="e">
        <f>IF(VLOOKUP(A90,Schlußkurse!A$5:AU$105,45,FALSE)&gt;0,IF(VLOOKUP(A90,Dividende_je_Aktie!A$3:AM$103,17,FALSE)&lt;&gt;"",VLOOKUP(A90,Dividende_je_Aktie!A$3:AM$103,17,FALSE)/VLOOKUP(A90,Schlußkurse!A$5:AU$105,45,FALSE),""),"")</f>
        <v>#N/A</v>
      </c>
      <c r="N90" s="82" t="e">
        <f>IF(VLOOKUP(A90,Schlußkurse!A$5:AU$105,46,FALSE)&gt;0,IF(VLOOKUP(A90,Dividende_je_Aktie!A$3:AM$103,18,FALSE)&lt;&gt;"",VLOOKUP(A90,Dividende_je_Aktie!A$3:AM$103,18,FALSE)/VLOOKUP(A90,Schlußkurse!A$5:AU$105,46,FALSE),""),"")</f>
        <v>#N/A</v>
      </c>
      <c r="O90" s="83" t="e">
        <f>IF(VLOOKUP(A90,Schlußkurse!A$5:AU$105,47,FALSE)&gt;0,IF(VLOOKUP(A90,Dividende_je_Aktie!A$3:AM$103,19,FALSE)&lt;&gt;"",VLOOKUP(A90,Dividende_je_Aktie!A$3:AM$103,19,FALSE)/VLOOKUP(A90,Schlußkurse!A$5:AU$105,47,FALSE),""),"")</f>
        <v>#N/A</v>
      </c>
      <c r="P90" s="5" t="e">
        <f t="shared" si="2"/>
        <v>#N/A</v>
      </c>
      <c r="Q90" s="5" t="e">
        <f>VLOOKUP(A90,Dividende_je_Aktie!A$3:AM$103,24,FALSE)/VLOOKUP(A90,Schlußkurse!A$5:AU$105,35,FALSE)</f>
        <v>#N/A</v>
      </c>
      <c r="R90" s="5" t="e">
        <f t="shared" si="3"/>
        <v>#N/A</v>
      </c>
    </row>
    <row r="91" spans="3:18" x14ac:dyDescent="0.25">
      <c r="C91" s="81" t="e">
        <f>IF(VLOOKUP(A91,Schlußkurse!A$5:AU$105,35,FALSE)&gt;0,IF(VLOOKUP(A91,Dividende_je_Aktie!A$3:AM$103,7,FALSE)&lt;&gt;"",VLOOKUP(A91,Dividende_je_Aktie!A$3:AM$103,7,FALSE)/VLOOKUP(A91,Schlußkurse!A$5:AU$105,35,FALSE),""),"")</f>
        <v>#N/A</v>
      </c>
      <c r="D91" s="82" t="e">
        <f>IF(VLOOKUP(A91,Schlußkurse!A$5:AU$105,36,FALSE)&gt;0,IF(VLOOKUP(A91,Dividende_je_Aktie!A$3:AM$103,8,FALSE)&lt;&gt;"",VLOOKUP(A91,Dividende_je_Aktie!A$3:AM$103,8,FALSE)/VLOOKUP(A91,Schlußkurse!A$5:AU$105,36,FALSE),""),"")</f>
        <v>#N/A</v>
      </c>
      <c r="E91" s="82" t="e">
        <f>IF(VLOOKUP(A91,Schlußkurse!A$5:AU$105,37,FALSE)&gt;0,IF(VLOOKUP(A91,Dividende_je_Aktie!A$3:AM$103,9,FALSE)&lt;&gt;"",VLOOKUP(A91,Dividende_je_Aktie!A$3:AM$103,9,FALSE)/VLOOKUP(A91,Schlußkurse!A$5:AU$105,37,FALSE),""),"")</f>
        <v>#N/A</v>
      </c>
      <c r="F91" s="82" t="e">
        <f>IF(VLOOKUP(A91,Schlußkurse!A$5:AU$105,38,FALSE)&gt;0,IF(VLOOKUP(A91,Dividende_je_Aktie!A$3:AM$103,10,FALSE)&lt;&gt;"",VLOOKUP(A91,Dividende_je_Aktie!A$3:AM$103,10,FALSE)/VLOOKUP(A91,Schlußkurse!A$5:AU$105,38,FALSE),""),"")</f>
        <v>#N/A</v>
      </c>
      <c r="G91" s="82" t="e">
        <f>IF(VLOOKUP(A91,Schlußkurse!A$5:AU$105,39,FALSE)&gt;0,IF(VLOOKUP(A91,Dividende_je_Aktie!A$3:AM$103,11,FALSE)&lt;&gt;"",VLOOKUP(A91,Dividende_je_Aktie!A$3:AM$103,11,FALSE)/VLOOKUP(A91,Schlußkurse!A$5:AU$105,39,FALSE),""),"")</f>
        <v>#N/A</v>
      </c>
      <c r="H91" s="82" t="e">
        <f>IF(VLOOKUP(A91,Schlußkurse!A$5:AU$105,40,FALSE)&gt;0,IF(VLOOKUP(A91,Dividende_je_Aktie!A$3:AM$103,12,FALSE)&lt;&gt;"",VLOOKUP(A91,Dividende_je_Aktie!A$3:AM$103,12,FALSE)/VLOOKUP(A91,Schlußkurse!A$5:AU$105,40,FALSE),""),"")</f>
        <v>#N/A</v>
      </c>
      <c r="I91" s="82" t="e">
        <f>IF(VLOOKUP(A91,Schlußkurse!A$5:AU$105,41,FALSE)&gt;0,IF(VLOOKUP(A91,Dividende_je_Aktie!A$3:AM$103,13,FALSE)&lt;&gt;"",VLOOKUP(A91,Dividende_je_Aktie!A$3:AM$103,13,FALSE)/VLOOKUP(A91,Schlußkurse!A$5:AU$105,41,FALSE),""),"")</f>
        <v>#N/A</v>
      </c>
      <c r="J91" s="82" t="e">
        <f>IF(VLOOKUP(A91,Schlußkurse!A$5:AU$105,42,FALSE)&gt;0,IF(VLOOKUP(A91,Dividende_je_Aktie!A$3:AM$103,14,FALSE)&lt;&gt;"",VLOOKUP(A91,Dividende_je_Aktie!A$3:AM$103,14,FALSE)/VLOOKUP(A91,Schlußkurse!A$5:AU$105,42,FALSE),""),"")</f>
        <v>#N/A</v>
      </c>
      <c r="K91" s="82" t="e">
        <f>IF(VLOOKUP(A91,Schlußkurse!A$5:AU$105,43,FALSE)&gt;0,IF(VLOOKUP(A91,Dividende_je_Aktie!A$3:AM$103,15,FALSE)&lt;&gt;"",VLOOKUP(A91,Dividende_je_Aktie!A$3:AM$103,15,FALSE)/VLOOKUP(A91,Schlußkurse!A$5:AU$105,43,FALSE),""),"")</f>
        <v>#N/A</v>
      </c>
      <c r="L91" s="82" t="e">
        <f>IF(VLOOKUP(A91,Schlußkurse!A$5:AU$105,44,FALSE)&gt;0,IF(VLOOKUP(A91,Dividende_je_Aktie!A$3:AM$103,16,FALSE)&lt;&gt;"",VLOOKUP(A91,Dividende_je_Aktie!A$3:AM$103,16,FALSE)/VLOOKUP(A91,Schlußkurse!A$5:AU$105,44,FALSE),""),"")</f>
        <v>#N/A</v>
      </c>
      <c r="M91" s="82" t="e">
        <f>IF(VLOOKUP(A91,Schlußkurse!A$5:AU$105,45,FALSE)&gt;0,IF(VLOOKUP(A91,Dividende_je_Aktie!A$3:AM$103,17,FALSE)&lt;&gt;"",VLOOKUP(A91,Dividende_je_Aktie!A$3:AM$103,17,FALSE)/VLOOKUP(A91,Schlußkurse!A$5:AU$105,45,FALSE),""),"")</f>
        <v>#N/A</v>
      </c>
      <c r="N91" s="82" t="e">
        <f>IF(VLOOKUP(A91,Schlußkurse!A$5:AU$105,46,FALSE)&gt;0,IF(VLOOKUP(A91,Dividende_je_Aktie!A$3:AM$103,18,FALSE)&lt;&gt;"",VLOOKUP(A91,Dividende_je_Aktie!A$3:AM$103,18,FALSE)/VLOOKUP(A91,Schlußkurse!A$5:AU$105,46,FALSE),""),"")</f>
        <v>#N/A</v>
      </c>
      <c r="O91" s="83" t="e">
        <f>IF(VLOOKUP(A91,Schlußkurse!A$5:AU$105,47,FALSE)&gt;0,IF(VLOOKUP(A91,Dividende_je_Aktie!A$3:AM$103,19,FALSE)&lt;&gt;"",VLOOKUP(A91,Dividende_je_Aktie!A$3:AM$103,19,FALSE)/VLOOKUP(A91,Schlußkurse!A$5:AU$105,47,FALSE),""),"")</f>
        <v>#N/A</v>
      </c>
      <c r="P91" s="5" t="e">
        <f t="shared" si="2"/>
        <v>#N/A</v>
      </c>
      <c r="Q91" s="5" t="e">
        <f>VLOOKUP(A91,Dividende_je_Aktie!A$3:AM$103,24,FALSE)/VLOOKUP(A91,Schlußkurse!A$5:AU$105,35,FALSE)</f>
        <v>#N/A</v>
      </c>
      <c r="R91" s="5" t="e">
        <f t="shared" si="3"/>
        <v>#N/A</v>
      </c>
    </row>
    <row r="92" spans="3:18" x14ac:dyDescent="0.25">
      <c r="C92" s="81" t="e">
        <f>IF(VLOOKUP(A92,Schlußkurse!A$5:AU$105,35,FALSE)&gt;0,IF(VLOOKUP(A92,Dividende_je_Aktie!A$3:AM$103,7,FALSE)&lt;&gt;"",VLOOKUP(A92,Dividende_je_Aktie!A$3:AM$103,7,FALSE)/VLOOKUP(A92,Schlußkurse!A$5:AU$105,35,FALSE),""),"")</f>
        <v>#N/A</v>
      </c>
      <c r="D92" s="82" t="e">
        <f>IF(VLOOKUP(A92,Schlußkurse!A$5:AU$105,36,FALSE)&gt;0,IF(VLOOKUP(A92,Dividende_je_Aktie!A$3:AM$103,8,FALSE)&lt;&gt;"",VLOOKUP(A92,Dividende_je_Aktie!A$3:AM$103,8,FALSE)/VLOOKUP(A92,Schlußkurse!A$5:AU$105,36,FALSE),""),"")</f>
        <v>#N/A</v>
      </c>
      <c r="E92" s="82" t="e">
        <f>IF(VLOOKUP(A92,Schlußkurse!A$5:AU$105,37,FALSE)&gt;0,IF(VLOOKUP(A92,Dividende_je_Aktie!A$3:AM$103,9,FALSE)&lt;&gt;"",VLOOKUP(A92,Dividende_je_Aktie!A$3:AM$103,9,FALSE)/VLOOKUP(A92,Schlußkurse!A$5:AU$105,37,FALSE),""),"")</f>
        <v>#N/A</v>
      </c>
      <c r="F92" s="82" t="e">
        <f>IF(VLOOKUP(A92,Schlußkurse!A$5:AU$105,38,FALSE)&gt;0,IF(VLOOKUP(A92,Dividende_je_Aktie!A$3:AM$103,10,FALSE)&lt;&gt;"",VLOOKUP(A92,Dividende_je_Aktie!A$3:AM$103,10,FALSE)/VLOOKUP(A92,Schlußkurse!A$5:AU$105,38,FALSE),""),"")</f>
        <v>#N/A</v>
      </c>
      <c r="G92" s="82" t="e">
        <f>IF(VLOOKUP(A92,Schlußkurse!A$5:AU$105,39,FALSE)&gt;0,IF(VLOOKUP(A92,Dividende_je_Aktie!A$3:AM$103,11,FALSE)&lt;&gt;"",VLOOKUP(A92,Dividende_je_Aktie!A$3:AM$103,11,FALSE)/VLOOKUP(A92,Schlußkurse!A$5:AU$105,39,FALSE),""),"")</f>
        <v>#N/A</v>
      </c>
      <c r="H92" s="82" t="e">
        <f>IF(VLOOKUP(A92,Schlußkurse!A$5:AU$105,40,FALSE)&gt;0,IF(VLOOKUP(A92,Dividende_je_Aktie!A$3:AM$103,12,FALSE)&lt;&gt;"",VLOOKUP(A92,Dividende_je_Aktie!A$3:AM$103,12,FALSE)/VLOOKUP(A92,Schlußkurse!A$5:AU$105,40,FALSE),""),"")</f>
        <v>#N/A</v>
      </c>
      <c r="I92" s="82" t="e">
        <f>IF(VLOOKUP(A92,Schlußkurse!A$5:AU$105,41,FALSE)&gt;0,IF(VLOOKUP(A92,Dividende_je_Aktie!A$3:AM$103,13,FALSE)&lt;&gt;"",VLOOKUP(A92,Dividende_je_Aktie!A$3:AM$103,13,FALSE)/VLOOKUP(A92,Schlußkurse!A$5:AU$105,41,FALSE),""),"")</f>
        <v>#N/A</v>
      </c>
      <c r="J92" s="82" t="e">
        <f>IF(VLOOKUP(A92,Schlußkurse!A$5:AU$105,42,FALSE)&gt;0,IF(VLOOKUP(A92,Dividende_je_Aktie!A$3:AM$103,14,FALSE)&lt;&gt;"",VLOOKUP(A92,Dividende_je_Aktie!A$3:AM$103,14,FALSE)/VLOOKUP(A92,Schlußkurse!A$5:AU$105,42,FALSE),""),"")</f>
        <v>#N/A</v>
      </c>
      <c r="K92" s="82" t="e">
        <f>IF(VLOOKUP(A92,Schlußkurse!A$5:AU$105,43,FALSE)&gt;0,IF(VLOOKUP(A92,Dividende_je_Aktie!A$3:AM$103,15,FALSE)&lt;&gt;"",VLOOKUP(A92,Dividende_je_Aktie!A$3:AM$103,15,FALSE)/VLOOKUP(A92,Schlußkurse!A$5:AU$105,43,FALSE),""),"")</f>
        <v>#N/A</v>
      </c>
      <c r="L92" s="82" t="e">
        <f>IF(VLOOKUP(A92,Schlußkurse!A$5:AU$105,44,FALSE)&gt;0,IF(VLOOKUP(A92,Dividende_je_Aktie!A$3:AM$103,16,FALSE)&lt;&gt;"",VLOOKUP(A92,Dividende_je_Aktie!A$3:AM$103,16,FALSE)/VLOOKUP(A92,Schlußkurse!A$5:AU$105,44,FALSE),""),"")</f>
        <v>#N/A</v>
      </c>
      <c r="M92" s="82" t="e">
        <f>IF(VLOOKUP(A92,Schlußkurse!A$5:AU$105,45,FALSE)&gt;0,IF(VLOOKUP(A92,Dividende_je_Aktie!A$3:AM$103,17,FALSE)&lt;&gt;"",VLOOKUP(A92,Dividende_je_Aktie!A$3:AM$103,17,FALSE)/VLOOKUP(A92,Schlußkurse!A$5:AU$105,45,FALSE),""),"")</f>
        <v>#N/A</v>
      </c>
      <c r="N92" s="82" t="e">
        <f>IF(VLOOKUP(A92,Schlußkurse!A$5:AU$105,46,FALSE)&gt;0,IF(VLOOKUP(A92,Dividende_je_Aktie!A$3:AM$103,18,FALSE)&lt;&gt;"",VLOOKUP(A92,Dividende_je_Aktie!A$3:AM$103,18,FALSE)/VLOOKUP(A92,Schlußkurse!A$5:AU$105,46,FALSE),""),"")</f>
        <v>#N/A</v>
      </c>
      <c r="O92" s="83" t="e">
        <f>IF(VLOOKUP(A92,Schlußkurse!A$5:AU$105,47,FALSE)&gt;0,IF(VLOOKUP(A92,Dividende_je_Aktie!A$3:AM$103,19,FALSE)&lt;&gt;"",VLOOKUP(A92,Dividende_je_Aktie!A$3:AM$103,19,FALSE)/VLOOKUP(A92,Schlußkurse!A$5:AU$105,47,FALSE),""),"")</f>
        <v>#N/A</v>
      </c>
      <c r="P92" s="5" t="e">
        <f t="shared" si="2"/>
        <v>#N/A</v>
      </c>
      <c r="Q92" s="5" t="e">
        <f>VLOOKUP(A92,Dividende_je_Aktie!A$3:AM$103,24,FALSE)/VLOOKUP(A92,Schlußkurse!A$5:AU$105,35,FALSE)</f>
        <v>#N/A</v>
      </c>
      <c r="R92" s="5" t="e">
        <f t="shared" si="3"/>
        <v>#N/A</v>
      </c>
    </row>
    <row r="93" spans="3:18" x14ac:dyDescent="0.25">
      <c r="C93" s="81" t="e">
        <f>IF(VLOOKUP(A93,Schlußkurse!A$5:AU$105,35,FALSE)&gt;0,IF(VLOOKUP(A93,Dividende_je_Aktie!A$3:AM$103,7,FALSE)&lt;&gt;"",VLOOKUP(A93,Dividende_je_Aktie!A$3:AM$103,7,FALSE)/VLOOKUP(A93,Schlußkurse!A$5:AU$105,35,FALSE),""),"")</f>
        <v>#N/A</v>
      </c>
      <c r="D93" s="82" t="e">
        <f>IF(VLOOKUP(A93,Schlußkurse!A$5:AU$105,36,FALSE)&gt;0,IF(VLOOKUP(A93,Dividende_je_Aktie!A$3:AM$103,8,FALSE)&lt;&gt;"",VLOOKUP(A93,Dividende_je_Aktie!A$3:AM$103,8,FALSE)/VLOOKUP(A93,Schlußkurse!A$5:AU$105,36,FALSE),""),"")</f>
        <v>#N/A</v>
      </c>
      <c r="E93" s="82" t="e">
        <f>IF(VLOOKUP(A93,Schlußkurse!A$5:AU$105,37,FALSE)&gt;0,IF(VLOOKUP(A93,Dividende_je_Aktie!A$3:AM$103,9,FALSE)&lt;&gt;"",VLOOKUP(A93,Dividende_je_Aktie!A$3:AM$103,9,FALSE)/VLOOKUP(A93,Schlußkurse!A$5:AU$105,37,FALSE),""),"")</f>
        <v>#N/A</v>
      </c>
      <c r="F93" s="82" t="e">
        <f>IF(VLOOKUP(A93,Schlußkurse!A$5:AU$105,38,FALSE)&gt;0,IF(VLOOKUP(A93,Dividende_je_Aktie!A$3:AM$103,10,FALSE)&lt;&gt;"",VLOOKUP(A93,Dividende_je_Aktie!A$3:AM$103,10,FALSE)/VLOOKUP(A93,Schlußkurse!A$5:AU$105,38,FALSE),""),"")</f>
        <v>#N/A</v>
      </c>
      <c r="G93" s="82" t="e">
        <f>IF(VLOOKUP(A93,Schlußkurse!A$5:AU$105,39,FALSE)&gt;0,IF(VLOOKUP(A93,Dividende_je_Aktie!A$3:AM$103,11,FALSE)&lt;&gt;"",VLOOKUP(A93,Dividende_je_Aktie!A$3:AM$103,11,FALSE)/VLOOKUP(A93,Schlußkurse!A$5:AU$105,39,FALSE),""),"")</f>
        <v>#N/A</v>
      </c>
      <c r="H93" s="82" t="e">
        <f>IF(VLOOKUP(A93,Schlußkurse!A$5:AU$105,40,FALSE)&gt;0,IF(VLOOKUP(A93,Dividende_je_Aktie!A$3:AM$103,12,FALSE)&lt;&gt;"",VLOOKUP(A93,Dividende_je_Aktie!A$3:AM$103,12,FALSE)/VLOOKUP(A93,Schlußkurse!A$5:AU$105,40,FALSE),""),"")</f>
        <v>#N/A</v>
      </c>
      <c r="I93" s="82" t="e">
        <f>IF(VLOOKUP(A93,Schlußkurse!A$5:AU$105,41,FALSE)&gt;0,IF(VLOOKUP(A93,Dividende_je_Aktie!A$3:AM$103,13,FALSE)&lt;&gt;"",VLOOKUP(A93,Dividende_je_Aktie!A$3:AM$103,13,FALSE)/VLOOKUP(A93,Schlußkurse!A$5:AU$105,41,FALSE),""),"")</f>
        <v>#N/A</v>
      </c>
      <c r="J93" s="82" t="e">
        <f>IF(VLOOKUP(A93,Schlußkurse!A$5:AU$105,42,FALSE)&gt;0,IF(VLOOKUP(A93,Dividende_je_Aktie!A$3:AM$103,14,FALSE)&lt;&gt;"",VLOOKUP(A93,Dividende_je_Aktie!A$3:AM$103,14,FALSE)/VLOOKUP(A93,Schlußkurse!A$5:AU$105,42,FALSE),""),"")</f>
        <v>#N/A</v>
      </c>
      <c r="K93" s="82" t="e">
        <f>IF(VLOOKUP(A93,Schlußkurse!A$5:AU$105,43,FALSE)&gt;0,IF(VLOOKUP(A93,Dividende_je_Aktie!A$3:AM$103,15,FALSE)&lt;&gt;"",VLOOKUP(A93,Dividende_je_Aktie!A$3:AM$103,15,FALSE)/VLOOKUP(A93,Schlußkurse!A$5:AU$105,43,FALSE),""),"")</f>
        <v>#N/A</v>
      </c>
      <c r="L93" s="82" t="e">
        <f>IF(VLOOKUP(A93,Schlußkurse!A$5:AU$105,44,FALSE)&gt;0,IF(VLOOKUP(A93,Dividende_je_Aktie!A$3:AM$103,16,FALSE)&lt;&gt;"",VLOOKUP(A93,Dividende_je_Aktie!A$3:AM$103,16,FALSE)/VLOOKUP(A93,Schlußkurse!A$5:AU$105,44,FALSE),""),"")</f>
        <v>#N/A</v>
      </c>
      <c r="M93" s="82" t="e">
        <f>IF(VLOOKUP(A93,Schlußkurse!A$5:AU$105,45,FALSE)&gt;0,IF(VLOOKUP(A93,Dividende_je_Aktie!A$3:AM$103,17,FALSE)&lt;&gt;"",VLOOKUP(A93,Dividende_je_Aktie!A$3:AM$103,17,FALSE)/VLOOKUP(A93,Schlußkurse!A$5:AU$105,45,FALSE),""),"")</f>
        <v>#N/A</v>
      </c>
      <c r="N93" s="82" t="e">
        <f>IF(VLOOKUP(A93,Schlußkurse!A$5:AU$105,46,FALSE)&gt;0,IF(VLOOKUP(A93,Dividende_je_Aktie!A$3:AM$103,18,FALSE)&lt;&gt;"",VLOOKUP(A93,Dividende_je_Aktie!A$3:AM$103,18,FALSE)/VLOOKUP(A93,Schlußkurse!A$5:AU$105,46,FALSE),""),"")</f>
        <v>#N/A</v>
      </c>
      <c r="O93" s="83" t="e">
        <f>IF(VLOOKUP(A93,Schlußkurse!A$5:AU$105,47,FALSE)&gt;0,IF(VLOOKUP(A93,Dividende_je_Aktie!A$3:AM$103,19,FALSE)&lt;&gt;"",VLOOKUP(A93,Dividende_je_Aktie!A$3:AM$103,19,FALSE)/VLOOKUP(A93,Schlußkurse!A$5:AU$105,47,FALSE),""),"")</f>
        <v>#N/A</v>
      </c>
      <c r="P93" s="5" t="e">
        <f t="shared" si="2"/>
        <v>#N/A</v>
      </c>
      <c r="Q93" s="5" t="e">
        <f>VLOOKUP(A93,Dividende_je_Aktie!A$3:AM$103,24,FALSE)/VLOOKUP(A93,Schlußkurse!A$5:AU$105,35,FALSE)</f>
        <v>#N/A</v>
      </c>
      <c r="R93" s="5" t="e">
        <f t="shared" si="3"/>
        <v>#N/A</v>
      </c>
    </row>
    <row r="94" spans="3:18" x14ac:dyDescent="0.25">
      <c r="C94" s="81" t="e">
        <f>IF(VLOOKUP(A94,Schlußkurse!A$5:AU$105,35,FALSE)&gt;0,IF(VLOOKUP(A94,Dividende_je_Aktie!A$3:AM$103,7,FALSE)&lt;&gt;"",VLOOKUP(A94,Dividende_je_Aktie!A$3:AM$103,7,FALSE)/VLOOKUP(A94,Schlußkurse!A$5:AU$105,35,FALSE),""),"")</f>
        <v>#N/A</v>
      </c>
      <c r="D94" s="82" t="e">
        <f>IF(VLOOKUP(A94,Schlußkurse!A$5:AU$105,36,FALSE)&gt;0,IF(VLOOKUP(A94,Dividende_je_Aktie!A$3:AM$103,8,FALSE)&lt;&gt;"",VLOOKUP(A94,Dividende_je_Aktie!A$3:AM$103,8,FALSE)/VLOOKUP(A94,Schlußkurse!A$5:AU$105,36,FALSE),""),"")</f>
        <v>#N/A</v>
      </c>
      <c r="E94" s="82" t="e">
        <f>IF(VLOOKUP(A94,Schlußkurse!A$5:AU$105,37,FALSE)&gt;0,IF(VLOOKUP(A94,Dividende_je_Aktie!A$3:AM$103,9,FALSE)&lt;&gt;"",VLOOKUP(A94,Dividende_je_Aktie!A$3:AM$103,9,FALSE)/VLOOKUP(A94,Schlußkurse!A$5:AU$105,37,FALSE),""),"")</f>
        <v>#N/A</v>
      </c>
      <c r="F94" s="82" t="e">
        <f>IF(VLOOKUP(A94,Schlußkurse!A$5:AU$105,38,FALSE)&gt;0,IF(VLOOKUP(A94,Dividende_je_Aktie!A$3:AM$103,10,FALSE)&lt;&gt;"",VLOOKUP(A94,Dividende_je_Aktie!A$3:AM$103,10,FALSE)/VLOOKUP(A94,Schlußkurse!A$5:AU$105,38,FALSE),""),"")</f>
        <v>#N/A</v>
      </c>
      <c r="G94" s="82" t="e">
        <f>IF(VLOOKUP(A94,Schlußkurse!A$5:AU$105,39,FALSE)&gt;0,IF(VLOOKUP(A94,Dividende_je_Aktie!A$3:AM$103,11,FALSE)&lt;&gt;"",VLOOKUP(A94,Dividende_je_Aktie!A$3:AM$103,11,FALSE)/VLOOKUP(A94,Schlußkurse!A$5:AU$105,39,FALSE),""),"")</f>
        <v>#N/A</v>
      </c>
      <c r="H94" s="82" t="e">
        <f>IF(VLOOKUP(A94,Schlußkurse!A$5:AU$105,40,FALSE)&gt;0,IF(VLOOKUP(A94,Dividende_je_Aktie!A$3:AM$103,12,FALSE)&lt;&gt;"",VLOOKUP(A94,Dividende_je_Aktie!A$3:AM$103,12,FALSE)/VLOOKUP(A94,Schlußkurse!A$5:AU$105,40,FALSE),""),"")</f>
        <v>#N/A</v>
      </c>
      <c r="I94" s="82" t="e">
        <f>IF(VLOOKUP(A94,Schlußkurse!A$5:AU$105,41,FALSE)&gt;0,IF(VLOOKUP(A94,Dividende_je_Aktie!A$3:AM$103,13,FALSE)&lt;&gt;"",VLOOKUP(A94,Dividende_je_Aktie!A$3:AM$103,13,FALSE)/VLOOKUP(A94,Schlußkurse!A$5:AU$105,41,FALSE),""),"")</f>
        <v>#N/A</v>
      </c>
      <c r="J94" s="82" t="e">
        <f>IF(VLOOKUP(A94,Schlußkurse!A$5:AU$105,42,FALSE)&gt;0,IF(VLOOKUP(A94,Dividende_je_Aktie!A$3:AM$103,14,FALSE)&lt;&gt;"",VLOOKUP(A94,Dividende_je_Aktie!A$3:AM$103,14,FALSE)/VLOOKUP(A94,Schlußkurse!A$5:AU$105,42,FALSE),""),"")</f>
        <v>#N/A</v>
      </c>
      <c r="K94" s="82" t="e">
        <f>IF(VLOOKUP(A94,Schlußkurse!A$5:AU$105,43,FALSE)&gt;0,IF(VLOOKUP(A94,Dividende_je_Aktie!A$3:AM$103,15,FALSE)&lt;&gt;"",VLOOKUP(A94,Dividende_je_Aktie!A$3:AM$103,15,FALSE)/VLOOKUP(A94,Schlußkurse!A$5:AU$105,43,FALSE),""),"")</f>
        <v>#N/A</v>
      </c>
      <c r="L94" s="82" t="e">
        <f>IF(VLOOKUP(A94,Schlußkurse!A$5:AU$105,44,FALSE)&gt;0,IF(VLOOKUP(A94,Dividende_je_Aktie!A$3:AM$103,16,FALSE)&lt;&gt;"",VLOOKUP(A94,Dividende_je_Aktie!A$3:AM$103,16,FALSE)/VLOOKUP(A94,Schlußkurse!A$5:AU$105,44,FALSE),""),"")</f>
        <v>#N/A</v>
      </c>
      <c r="M94" s="82" t="e">
        <f>IF(VLOOKUP(A94,Schlußkurse!A$5:AU$105,45,FALSE)&gt;0,IF(VLOOKUP(A94,Dividende_je_Aktie!A$3:AM$103,17,FALSE)&lt;&gt;"",VLOOKUP(A94,Dividende_je_Aktie!A$3:AM$103,17,FALSE)/VLOOKUP(A94,Schlußkurse!A$5:AU$105,45,FALSE),""),"")</f>
        <v>#N/A</v>
      </c>
      <c r="N94" s="82" t="e">
        <f>IF(VLOOKUP(A94,Schlußkurse!A$5:AU$105,46,FALSE)&gt;0,IF(VLOOKUP(A94,Dividende_je_Aktie!A$3:AM$103,18,FALSE)&lt;&gt;"",VLOOKUP(A94,Dividende_je_Aktie!A$3:AM$103,18,FALSE)/VLOOKUP(A94,Schlußkurse!A$5:AU$105,46,FALSE),""),"")</f>
        <v>#N/A</v>
      </c>
      <c r="O94" s="83" t="e">
        <f>IF(VLOOKUP(A94,Schlußkurse!A$5:AU$105,47,FALSE)&gt;0,IF(VLOOKUP(A94,Dividende_je_Aktie!A$3:AM$103,19,FALSE)&lt;&gt;"",VLOOKUP(A94,Dividende_je_Aktie!A$3:AM$103,19,FALSE)/VLOOKUP(A94,Schlußkurse!A$5:AU$105,47,FALSE),""),"")</f>
        <v>#N/A</v>
      </c>
      <c r="P94" s="5" t="e">
        <f t="shared" si="2"/>
        <v>#N/A</v>
      </c>
      <c r="Q94" s="5" t="e">
        <f>VLOOKUP(A94,Dividende_je_Aktie!A$3:AM$103,24,FALSE)/VLOOKUP(A94,Schlußkurse!A$5:AU$105,35,FALSE)</f>
        <v>#N/A</v>
      </c>
      <c r="R94" s="5" t="e">
        <f t="shared" si="3"/>
        <v>#N/A</v>
      </c>
    </row>
    <row r="95" spans="3:18" x14ac:dyDescent="0.25">
      <c r="C95" s="81" t="e">
        <f>IF(VLOOKUP(A95,Schlußkurse!A$5:AU$105,35,FALSE)&gt;0,IF(VLOOKUP(A95,Dividende_je_Aktie!A$3:AM$103,7,FALSE)&lt;&gt;"",VLOOKUP(A95,Dividende_je_Aktie!A$3:AM$103,7,FALSE)/VLOOKUP(A95,Schlußkurse!A$5:AU$105,35,FALSE),""),"")</f>
        <v>#N/A</v>
      </c>
      <c r="D95" s="82" t="e">
        <f>IF(VLOOKUP(A95,Schlußkurse!A$5:AU$105,36,FALSE)&gt;0,IF(VLOOKUP(A95,Dividende_je_Aktie!A$3:AM$103,8,FALSE)&lt;&gt;"",VLOOKUP(A95,Dividende_je_Aktie!A$3:AM$103,8,FALSE)/VLOOKUP(A95,Schlußkurse!A$5:AU$105,36,FALSE),""),"")</f>
        <v>#N/A</v>
      </c>
      <c r="E95" s="82" t="e">
        <f>IF(VLOOKUP(A95,Schlußkurse!A$5:AU$105,37,FALSE)&gt;0,IF(VLOOKUP(A95,Dividende_je_Aktie!A$3:AM$103,9,FALSE)&lt;&gt;"",VLOOKUP(A95,Dividende_je_Aktie!A$3:AM$103,9,FALSE)/VLOOKUP(A95,Schlußkurse!A$5:AU$105,37,FALSE),""),"")</f>
        <v>#N/A</v>
      </c>
      <c r="F95" s="82" t="e">
        <f>IF(VLOOKUP(A95,Schlußkurse!A$5:AU$105,38,FALSE)&gt;0,IF(VLOOKUP(A95,Dividende_je_Aktie!A$3:AM$103,10,FALSE)&lt;&gt;"",VLOOKUP(A95,Dividende_je_Aktie!A$3:AM$103,10,FALSE)/VLOOKUP(A95,Schlußkurse!A$5:AU$105,38,FALSE),""),"")</f>
        <v>#N/A</v>
      </c>
      <c r="G95" s="82" t="e">
        <f>IF(VLOOKUP(A95,Schlußkurse!A$5:AU$105,39,FALSE)&gt;0,IF(VLOOKUP(A95,Dividende_je_Aktie!A$3:AM$103,11,FALSE)&lt;&gt;"",VLOOKUP(A95,Dividende_je_Aktie!A$3:AM$103,11,FALSE)/VLOOKUP(A95,Schlußkurse!A$5:AU$105,39,FALSE),""),"")</f>
        <v>#N/A</v>
      </c>
      <c r="H95" s="82" t="e">
        <f>IF(VLOOKUP(A95,Schlußkurse!A$5:AU$105,40,FALSE)&gt;0,IF(VLOOKUP(A95,Dividende_je_Aktie!A$3:AM$103,12,FALSE)&lt;&gt;"",VLOOKUP(A95,Dividende_je_Aktie!A$3:AM$103,12,FALSE)/VLOOKUP(A95,Schlußkurse!A$5:AU$105,40,FALSE),""),"")</f>
        <v>#N/A</v>
      </c>
      <c r="I95" s="82" t="e">
        <f>IF(VLOOKUP(A95,Schlußkurse!A$5:AU$105,41,FALSE)&gt;0,IF(VLOOKUP(A95,Dividende_je_Aktie!A$3:AM$103,13,FALSE)&lt;&gt;"",VLOOKUP(A95,Dividende_je_Aktie!A$3:AM$103,13,FALSE)/VLOOKUP(A95,Schlußkurse!A$5:AU$105,41,FALSE),""),"")</f>
        <v>#N/A</v>
      </c>
      <c r="J95" s="82" t="e">
        <f>IF(VLOOKUP(A95,Schlußkurse!A$5:AU$105,42,FALSE)&gt;0,IF(VLOOKUP(A95,Dividende_je_Aktie!A$3:AM$103,14,FALSE)&lt;&gt;"",VLOOKUP(A95,Dividende_je_Aktie!A$3:AM$103,14,FALSE)/VLOOKUP(A95,Schlußkurse!A$5:AU$105,42,FALSE),""),"")</f>
        <v>#N/A</v>
      </c>
      <c r="K95" s="82" t="e">
        <f>IF(VLOOKUP(A95,Schlußkurse!A$5:AU$105,43,FALSE)&gt;0,IF(VLOOKUP(A95,Dividende_je_Aktie!A$3:AM$103,15,FALSE)&lt;&gt;"",VLOOKUP(A95,Dividende_je_Aktie!A$3:AM$103,15,FALSE)/VLOOKUP(A95,Schlußkurse!A$5:AU$105,43,FALSE),""),"")</f>
        <v>#N/A</v>
      </c>
      <c r="L95" s="82" t="e">
        <f>IF(VLOOKUP(A95,Schlußkurse!A$5:AU$105,44,FALSE)&gt;0,IF(VLOOKUP(A95,Dividende_je_Aktie!A$3:AM$103,16,FALSE)&lt;&gt;"",VLOOKUP(A95,Dividende_je_Aktie!A$3:AM$103,16,FALSE)/VLOOKUP(A95,Schlußkurse!A$5:AU$105,44,FALSE),""),"")</f>
        <v>#N/A</v>
      </c>
      <c r="M95" s="82" t="e">
        <f>IF(VLOOKUP(A95,Schlußkurse!A$5:AU$105,45,FALSE)&gt;0,IF(VLOOKUP(A95,Dividende_je_Aktie!A$3:AM$103,17,FALSE)&lt;&gt;"",VLOOKUP(A95,Dividende_je_Aktie!A$3:AM$103,17,FALSE)/VLOOKUP(A95,Schlußkurse!A$5:AU$105,45,FALSE),""),"")</f>
        <v>#N/A</v>
      </c>
      <c r="N95" s="82" t="e">
        <f>IF(VLOOKUP(A95,Schlußkurse!A$5:AU$105,46,FALSE)&gt;0,IF(VLOOKUP(A95,Dividende_je_Aktie!A$3:AM$103,18,FALSE)&lt;&gt;"",VLOOKUP(A95,Dividende_je_Aktie!A$3:AM$103,18,FALSE)/VLOOKUP(A95,Schlußkurse!A$5:AU$105,46,FALSE),""),"")</f>
        <v>#N/A</v>
      </c>
      <c r="O95" s="83" t="e">
        <f>IF(VLOOKUP(A95,Schlußkurse!A$5:AU$105,47,FALSE)&gt;0,IF(VLOOKUP(A95,Dividende_je_Aktie!A$3:AM$103,19,FALSE)&lt;&gt;"",VLOOKUP(A95,Dividende_je_Aktie!A$3:AM$103,19,FALSE)/VLOOKUP(A95,Schlußkurse!A$5:AU$105,47,FALSE),""),"")</f>
        <v>#N/A</v>
      </c>
      <c r="P95" s="5" t="e">
        <f t="shared" si="2"/>
        <v>#N/A</v>
      </c>
      <c r="Q95" s="5" t="e">
        <f>VLOOKUP(A95,Dividende_je_Aktie!A$3:AM$103,24,FALSE)/VLOOKUP(A95,Schlußkurse!A$5:AU$105,35,FALSE)</f>
        <v>#N/A</v>
      </c>
      <c r="R95" s="5" t="e">
        <f t="shared" si="3"/>
        <v>#N/A</v>
      </c>
    </row>
    <row r="96" spans="3:18" x14ac:dyDescent="0.25">
      <c r="C96" s="81" t="e">
        <f>IF(VLOOKUP(A96,Schlußkurse!A$5:AU$105,35,FALSE)&gt;0,IF(VLOOKUP(A96,Dividende_je_Aktie!A$3:AM$103,7,FALSE)&lt;&gt;"",VLOOKUP(A96,Dividende_je_Aktie!A$3:AM$103,7,FALSE)/VLOOKUP(A96,Schlußkurse!A$5:AU$105,35,FALSE),""),"")</f>
        <v>#N/A</v>
      </c>
      <c r="D96" s="82" t="e">
        <f>IF(VLOOKUP(A96,Schlußkurse!A$5:AU$105,36,FALSE)&gt;0,IF(VLOOKUP(A96,Dividende_je_Aktie!A$3:AM$103,8,FALSE)&lt;&gt;"",VLOOKUP(A96,Dividende_je_Aktie!A$3:AM$103,8,FALSE)/VLOOKUP(A96,Schlußkurse!A$5:AU$105,36,FALSE),""),"")</f>
        <v>#N/A</v>
      </c>
      <c r="E96" s="82" t="e">
        <f>IF(VLOOKUP(A96,Schlußkurse!A$5:AU$105,37,FALSE)&gt;0,IF(VLOOKUP(A96,Dividende_je_Aktie!A$3:AM$103,9,FALSE)&lt;&gt;"",VLOOKUP(A96,Dividende_je_Aktie!A$3:AM$103,9,FALSE)/VLOOKUP(A96,Schlußkurse!A$5:AU$105,37,FALSE),""),"")</f>
        <v>#N/A</v>
      </c>
      <c r="F96" s="82" t="e">
        <f>IF(VLOOKUP(A96,Schlußkurse!A$5:AU$105,38,FALSE)&gt;0,IF(VLOOKUP(A96,Dividende_je_Aktie!A$3:AM$103,10,FALSE)&lt;&gt;"",VLOOKUP(A96,Dividende_je_Aktie!A$3:AM$103,10,FALSE)/VLOOKUP(A96,Schlußkurse!A$5:AU$105,38,FALSE),""),"")</f>
        <v>#N/A</v>
      </c>
      <c r="G96" s="82" t="e">
        <f>IF(VLOOKUP(A96,Schlußkurse!A$5:AU$105,39,FALSE)&gt;0,IF(VLOOKUP(A96,Dividende_je_Aktie!A$3:AM$103,11,FALSE)&lt;&gt;"",VLOOKUP(A96,Dividende_je_Aktie!A$3:AM$103,11,FALSE)/VLOOKUP(A96,Schlußkurse!A$5:AU$105,39,FALSE),""),"")</f>
        <v>#N/A</v>
      </c>
      <c r="H96" s="82" t="e">
        <f>IF(VLOOKUP(A96,Schlußkurse!A$5:AU$105,40,FALSE)&gt;0,IF(VLOOKUP(A96,Dividende_je_Aktie!A$3:AM$103,12,FALSE)&lt;&gt;"",VLOOKUP(A96,Dividende_je_Aktie!A$3:AM$103,12,FALSE)/VLOOKUP(A96,Schlußkurse!A$5:AU$105,40,FALSE),""),"")</f>
        <v>#N/A</v>
      </c>
      <c r="I96" s="82" t="e">
        <f>IF(VLOOKUP(A96,Schlußkurse!A$5:AU$105,41,FALSE)&gt;0,IF(VLOOKUP(A96,Dividende_je_Aktie!A$3:AM$103,13,FALSE)&lt;&gt;"",VLOOKUP(A96,Dividende_je_Aktie!A$3:AM$103,13,FALSE)/VLOOKUP(A96,Schlußkurse!A$5:AU$105,41,FALSE),""),"")</f>
        <v>#N/A</v>
      </c>
      <c r="J96" s="82" t="e">
        <f>IF(VLOOKUP(A96,Schlußkurse!A$5:AU$105,42,FALSE)&gt;0,IF(VLOOKUP(A96,Dividende_je_Aktie!A$3:AM$103,14,FALSE)&lt;&gt;"",VLOOKUP(A96,Dividende_je_Aktie!A$3:AM$103,14,FALSE)/VLOOKUP(A96,Schlußkurse!A$5:AU$105,42,FALSE),""),"")</f>
        <v>#N/A</v>
      </c>
      <c r="K96" s="82" t="e">
        <f>IF(VLOOKUP(A96,Schlußkurse!A$5:AU$105,43,FALSE)&gt;0,IF(VLOOKUP(A96,Dividende_je_Aktie!A$3:AM$103,15,FALSE)&lt;&gt;"",VLOOKUP(A96,Dividende_je_Aktie!A$3:AM$103,15,FALSE)/VLOOKUP(A96,Schlußkurse!A$5:AU$105,43,FALSE),""),"")</f>
        <v>#N/A</v>
      </c>
      <c r="L96" s="82" t="e">
        <f>IF(VLOOKUP(A96,Schlußkurse!A$5:AU$105,44,FALSE)&gt;0,IF(VLOOKUP(A96,Dividende_je_Aktie!A$3:AM$103,16,FALSE)&lt;&gt;"",VLOOKUP(A96,Dividende_je_Aktie!A$3:AM$103,16,FALSE)/VLOOKUP(A96,Schlußkurse!A$5:AU$105,44,FALSE),""),"")</f>
        <v>#N/A</v>
      </c>
      <c r="M96" s="82" t="e">
        <f>IF(VLOOKUP(A96,Schlußkurse!A$5:AU$105,45,FALSE)&gt;0,IF(VLOOKUP(A96,Dividende_je_Aktie!A$3:AM$103,17,FALSE)&lt;&gt;"",VLOOKUP(A96,Dividende_je_Aktie!A$3:AM$103,17,FALSE)/VLOOKUP(A96,Schlußkurse!A$5:AU$105,45,FALSE),""),"")</f>
        <v>#N/A</v>
      </c>
      <c r="N96" s="82" t="e">
        <f>IF(VLOOKUP(A96,Schlußkurse!A$5:AU$105,46,FALSE)&gt;0,IF(VLOOKUP(A96,Dividende_je_Aktie!A$3:AM$103,18,FALSE)&lt;&gt;"",VLOOKUP(A96,Dividende_je_Aktie!A$3:AM$103,18,FALSE)/VLOOKUP(A96,Schlußkurse!A$5:AU$105,46,FALSE),""),"")</f>
        <v>#N/A</v>
      </c>
      <c r="O96" s="83" t="e">
        <f>IF(VLOOKUP(A96,Schlußkurse!A$5:AU$105,47,FALSE)&gt;0,IF(VLOOKUP(A96,Dividende_je_Aktie!A$3:AM$103,19,FALSE)&lt;&gt;"",VLOOKUP(A96,Dividende_je_Aktie!A$3:AM$103,19,FALSE)/VLOOKUP(A96,Schlußkurse!A$5:AU$105,47,FALSE),""),"")</f>
        <v>#N/A</v>
      </c>
      <c r="P96" s="5" t="e">
        <f t="shared" si="2"/>
        <v>#N/A</v>
      </c>
      <c r="Q96" s="5" t="e">
        <f>VLOOKUP(A96,Dividende_je_Aktie!A$3:AM$103,24,FALSE)/VLOOKUP(A96,Schlußkurse!A$5:AU$105,35,FALSE)</f>
        <v>#N/A</v>
      </c>
      <c r="R96" s="5" t="e">
        <f t="shared" si="3"/>
        <v>#N/A</v>
      </c>
    </row>
    <row r="97" spans="3:18" x14ac:dyDescent="0.25">
      <c r="C97" s="81" t="e">
        <f>IF(VLOOKUP(A97,Schlußkurse!A$5:AU$105,35,FALSE)&gt;0,IF(VLOOKUP(A97,Dividende_je_Aktie!A$3:AM$103,7,FALSE)&lt;&gt;"",VLOOKUP(A97,Dividende_je_Aktie!A$3:AM$103,7,FALSE)/VLOOKUP(A97,Schlußkurse!A$5:AU$105,35,FALSE),""),"")</f>
        <v>#N/A</v>
      </c>
      <c r="D97" s="82" t="e">
        <f>IF(VLOOKUP(A97,Schlußkurse!A$5:AU$105,36,FALSE)&gt;0,IF(VLOOKUP(A97,Dividende_je_Aktie!A$3:AM$103,8,FALSE)&lt;&gt;"",VLOOKUP(A97,Dividende_je_Aktie!A$3:AM$103,8,FALSE)/VLOOKUP(A97,Schlußkurse!A$5:AU$105,36,FALSE),""),"")</f>
        <v>#N/A</v>
      </c>
      <c r="E97" s="82" t="e">
        <f>IF(VLOOKUP(A97,Schlußkurse!A$5:AU$105,37,FALSE)&gt;0,IF(VLOOKUP(A97,Dividende_je_Aktie!A$3:AM$103,9,FALSE)&lt;&gt;"",VLOOKUP(A97,Dividende_je_Aktie!A$3:AM$103,9,FALSE)/VLOOKUP(A97,Schlußkurse!A$5:AU$105,37,FALSE),""),"")</f>
        <v>#N/A</v>
      </c>
      <c r="F97" s="82" t="e">
        <f>IF(VLOOKUP(A97,Schlußkurse!A$5:AU$105,38,FALSE)&gt;0,IF(VLOOKUP(A97,Dividende_je_Aktie!A$3:AM$103,10,FALSE)&lt;&gt;"",VLOOKUP(A97,Dividende_je_Aktie!A$3:AM$103,10,FALSE)/VLOOKUP(A97,Schlußkurse!A$5:AU$105,38,FALSE),""),"")</f>
        <v>#N/A</v>
      </c>
      <c r="G97" s="82" t="e">
        <f>IF(VLOOKUP(A97,Schlußkurse!A$5:AU$105,39,FALSE)&gt;0,IF(VLOOKUP(A97,Dividende_je_Aktie!A$3:AM$103,11,FALSE)&lt;&gt;"",VLOOKUP(A97,Dividende_je_Aktie!A$3:AM$103,11,FALSE)/VLOOKUP(A97,Schlußkurse!A$5:AU$105,39,FALSE),""),"")</f>
        <v>#N/A</v>
      </c>
      <c r="H97" s="82" t="e">
        <f>IF(VLOOKUP(A97,Schlußkurse!A$5:AU$105,40,FALSE)&gt;0,IF(VLOOKUP(A97,Dividende_je_Aktie!A$3:AM$103,12,FALSE)&lt;&gt;"",VLOOKUP(A97,Dividende_je_Aktie!A$3:AM$103,12,FALSE)/VLOOKUP(A97,Schlußkurse!A$5:AU$105,40,FALSE),""),"")</f>
        <v>#N/A</v>
      </c>
      <c r="I97" s="82" t="e">
        <f>IF(VLOOKUP(A97,Schlußkurse!A$5:AU$105,41,FALSE)&gt;0,IF(VLOOKUP(A97,Dividende_je_Aktie!A$3:AM$103,13,FALSE)&lt;&gt;"",VLOOKUP(A97,Dividende_je_Aktie!A$3:AM$103,13,FALSE)/VLOOKUP(A97,Schlußkurse!A$5:AU$105,41,FALSE),""),"")</f>
        <v>#N/A</v>
      </c>
      <c r="J97" s="82" t="e">
        <f>IF(VLOOKUP(A97,Schlußkurse!A$5:AU$105,42,FALSE)&gt;0,IF(VLOOKUP(A97,Dividende_je_Aktie!A$3:AM$103,14,FALSE)&lt;&gt;"",VLOOKUP(A97,Dividende_je_Aktie!A$3:AM$103,14,FALSE)/VLOOKUP(A97,Schlußkurse!A$5:AU$105,42,FALSE),""),"")</f>
        <v>#N/A</v>
      </c>
      <c r="K97" s="82" t="e">
        <f>IF(VLOOKUP(A97,Schlußkurse!A$5:AU$105,43,FALSE)&gt;0,IF(VLOOKUP(A97,Dividende_je_Aktie!A$3:AM$103,15,FALSE)&lt;&gt;"",VLOOKUP(A97,Dividende_je_Aktie!A$3:AM$103,15,FALSE)/VLOOKUP(A97,Schlußkurse!A$5:AU$105,43,FALSE),""),"")</f>
        <v>#N/A</v>
      </c>
      <c r="L97" s="82" t="e">
        <f>IF(VLOOKUP(A97,Schlußkurse!A$5:AU$105,44,FALSE)&gt;0,IF(VLOOKUP(A97,Dividende_je_Aktie!A$3:AM$103,16,FALSE)&lt;&gt;"",VLOOKUP(A97,Dividende_je_Aktie!A$3:AM$103,16,FALSE)/VLOOKUP(A97,Schlußkurse!A$5:AU$105,44,FALSE),""),"")</f>
        <v>#N/A</v>
      </c>
      <c r="M97" s="82" t="e">
        <f>IF(VLOOKUP(A97,Schlußkurse!A$5:AU$105,45,FALSE)&gt;0,IF(VLOOKUP(A97,Dividende_je_Aktie!A$3:AM$103,17,FALSE)&lt;&gt;"",VLOOKUP(A97,Dividende_je_Aktie!A$3:AM$103,17,FALSE)/VLOOKUP(A97,Schlußkurse!A$5:AU$105,45,FALSE),""),"")</f>
        <v>#N/A</v>
      </c>
      <c r="N97" s="82" t="e">
        <f>IF(VLOOKUP(A97,Schlußkurse!A$5:AU$105,46,FALSE)&gt;0,IF(VLOOKUP(A97,Dividende_je_Aktie!A$3:AM$103,18,FALSE)&lt;&gt;"",VLOOKUP(A97,Dividende_je_Aktie!A$3:AM$103,18,FALSE)/VLOOKUP(A97,Schlußkurse!A$5:AU$105,46,FALSE),""),"")</f>
        <v>#N/A</v>
      </c>
      <c r="O97" s="83" t="e">
        <f>IF(VLOOKUP(A97,Schlußkurse!A$5:AU$105,47,FALSE)&gt;0,IF(VLOOKUP(A97,Dividende_je_Aktie!A$3:AM$103,19,FALSE)&lt;&gt;"",VLOOKUP(A97,Dividende_je_Aktie!A$3:AM$103,19,FALSE)/VLOOKUP(A97,Schlußkurse!A$5:AU$105,47,FALSE),""),"")</f>
        <v>#N/A</v>
      </c>
      <c r="P97" s="5" t="e">
        <f t="shared" si="2"/>
        <v>#N/A</v>
      </c>
      <c r="Q97" s="5" t="e">
        <f>VLOOKUP(A97,Dividende_je_Aktie!A$3:AM$103,24,FALSE)/VLOOKUP(A97,Schlußkurse!A$5:AU$105,35,FALSE)</f>
        <v>#N/A</v>
      </c>
      <c r="R97" s="5" t="e">
        <f t="shared" si="3"/>
        <v>#N/A</v>
      </c>
    </row>
    <row r="98" spans="3:18" x14ac:dyDescent="0.25">
      <c r="C98" s="81" t="e">
        <f>IF(VLOOKUP(A98,Schlußkurse!A$5:AU$105,35,FALSE)&gt;0,IF(VLOOKUP(A98,Dividende_je_Aktie!A$3:AM$103,7,FALSE)&lt;&gt;"",VLOOKUP(A98,Dividende_je_Aktie!A$3:AM$103,7,FALSE)/VLOOKUP(A98,Schlußkurse!A$5:AU$105,35,FALSE),""),"")</f>
        <v>#N/A</v>
      </c>
      <c r="D98" s="82" t="e">
        <f>IF(VLOOKUP(A98,Schlußkurse!A$5:AU$105,36,FALSE)&gt;0,IF(VLOOKUP(A98,Dividende_je_Aktie!A$3:AM$103,8,FALSE)&lt;&gt;"",VLOOKUP(A98,Dividende_je_Aktie!A$3:AM$103,8,FALSE)/VLOOKUP(A98,Schlußkurse!A$5:AU$105,36,FALSE),""),"")</f>
        <v>#N/A</v>
      </c>
      <c r="E98" s="82" t="e">
        <f>IF(VLOOKUP(A98,Schlußkurse!A$5:AU$105,37,FALSE)&gt;0,IF(VLOOKUP(A98,Dividende_je_Aktie!A$3:AM$103,9,FALSE)&lt;&gt;"",VLOOKUP(A98,Dividende_je_Aktie!A$3:AM$103,9,FALSE)/VLOOKUP(A98,Schlußkurse!A$5:AU$105,37,FALSE),""),"")</f>
        <v>#N/A</v>
      </c>
      <c r="F98" s="82" t="e">
        <f>IF(VLOOKUP(A98,Schlußkurse!A$5:AU$105,38,FALSE)&gt;0,IF(VLOOKUP(A98,Dividende_je_Aktie!A$3:AM$103,10,FALSE)&lt;&gt;"",VLOOKUP(A98,Dividende_je_Aktie!A$3:AM$103,10,FALSE)/VLOOKUP(A98,Schlußkurse!A$5:AU$105,38,FALSE),""),"")</f>
        <v>#N/A</v>
      </c>
      <c r="G98" s="82" t="e">
        <f>IF(VLOOKUP(A98,Schlußkurse!A$5:AU$105,39,FALSE)&gt;0,IF(VLOOKUP(A98,Dividende_je_Aktie!A$3:AM$103,11,FALSE)&lt;&gt;"",VLOOKUP(A98,Dividende_je_Aktie!A$3:AM$103,11,FALSE)/VLOOKUP(A98,Schlußkurse!A$5:AU$105,39,FALSE),""),"")</f>
        <v>#N/A</v>
      </c>
      <c r="H98" s="82" t="e">
        <f>IF(VLOOKUP(A98,Schlußkurse!A$5:AU$105,40,FALSE)&gt;0,IF(VLOOKUP(A98,Dividende_je_Aktie!A$3:AM$103,12,FALSE)&lt;&gt;"",VLOOKUP(A98,Dividende_je_Aktie!A$3:AM$103,12,FALSE)/VLOOKUP(A98,Schlußkurse!A$5:AU$105,40,FALSE),""),"")</f>
        <v>#N/A</v>
      </c>
      <c r="I98" s="82" t="e">
        <f>IF(VLOOKUP(A98,Schlußkurse!A$5:AU$105,41,FALSE)&gt;0,IF(VLOOKUP(A98,Dividende_je_Aktie!A$3:AM$103,13,FALSE)&lt;&gt;"",VLOOKUP(A98,Dividende_je_Aktie!A$3:AM$103,13,FALSE)/VLOOKUP(A98,Schlußkurse!A$5:AU$105,41,FALSE),""),"")</f>
        <v>#N/A</v>
      </c>
      <c r="J98" s="82" t="e">
        <f>IF(VLOOKUP(A98,Schlußkurse!A$5:AU$105,42,FALSE)&gt;0,IF(VLOOKUP(A98,Dividende_je_Aktie!A$3:AM$103,14,FALSE)&lt;&gt;"",VLOOKUP(A98,Dividende_je_Aktie!A$3:AM$103,14,FALSE)/VLOOKUP(A98,Schlußkurse!A$5:AU$105,42,FALSE),""),"")</f>
        <v>#N/A</v>
      </c>
      <c r="K98" s="82" t="e">
        <f>IF(VLOOKUP(A98,Schlußkurse!A$5:AU$105,43,FALSE)&gt;0,IF(VLOOKUP(A98,Dividende_je_Aktie!A$3:AM$103,15,FALSE)&lt;&gt;"",VLOOKUP(A98,Dividende_je_Aktie!A$3:AM$103,15,FALSE)/VLOOKUP(A98,Schlußkurse!A$5:AU$105,43,FALSE),""),"")</f>
        <v>#N/A</v>
      </c>
      <c r="L98" s="82" t="e">
        <f>IF(VLOOKUP(A98,Schlußkurse!A$5:AU$105,44,FALSE)&gt;0,IF(VLOOKUP(A98,Dividende_je_Aktie!A$3:AM$103,16,FALSE)&lt;&gt;"",VLOOKUP(A98,Dividende_je_Aktie!A$3:AM$103,16,FALSE)/VLOOKUP(A98,Schlußkurse!A$5:AU$105,44,FALSE),""),"")</f>
        <v>#N/A</v>
      </c>
      <c r="M98" s="82" t="e">
        <f>IF(VLOOKUP(A98,Schlußkurse!A$5:AU$105,45,FALSE)&gt;0,IF(VLOOKUP(A98,Dividende_je_Aktie!A$3:AM$103,17,FALSE)&lt;&gt;"",VLOOKUP(A98,Dividende_je_Aktie!A$3:AM$103,17,FALSE)/VLOOKUP(A98,Schlußkurse!A$5:AU$105,45,FALSE),""),"")</f>
        <v>#N/A</v>
      </c>
      <c r="N98" s="82" t="e">
        <f>IF(VLOOKUP(A98,Schlußkurse!A$5:AU$105,46,FALSE)&gt;0,IF(VLOOKUP(A98,Dividende_je_Aktie!A$3:AM$103,18,FALSE)&lt;&gt;"",VLOOKUP(A98,Dividende_je_Aktie!A$3:AM$103,18,FALSE)/VLOOKUP(A98,Schlußkurse!A$5:AU$105,46,FALSE),""),"")</f>
        <v>#N/A</v>
      </c>
      <c r="O98" s="83" t="e">
        <f>IF(VLOOKUP(A98,Schlußkurse!A$5:AU$105,47,FALSE)&gt;0,IF(VLOOKUP(A98,Dividende_je_Aktie!A$3:AM$103,19,FALSE)&lt;&gt;"",VLOOKUP(A98,Dividende_je_Aktie!A$3:AM$103,19,FALSE)/VLOOKUP(A98,Schlußkurse!A$5:AU$105,47,FALSE),""),"")</f>
        <v>#N/A</v>
      </c>
      <c r="P98" s="5" t="e">
        <f t="shared" si="2"/>
        <v>#N/A</v>
      </c>
      <c r="Q98" s="5" t="e">
        <f>VLOOKUP(A98,Dividende_je_Aktie!A$3:AM$103,24,FALSE)/VLOOKUP(A98,Schlußkurse!A$5:AU$105,35,FALSE)</f>
        <v>#N/A</v>
      </c>
      <c r="R98" s="5" t="e">
        <f t="shared" si="3"/>
        <v>#N/A</v>
      </c>
    </row>
    <row r="99" spans="3:18" x14ac:dyDescent="0.25">
      <c r="C99" s="81" t="e">
        <f>IF(VLOOKUP(A99,Schlußkurse!A$5:AU$105,35,FALSE)&gt;0,IF(VLOOKUP(A99,Dividende_je_Aktie!A$3:AM$103,7,FALSE)&lt;&gt;"",VLOOKUP(A99,Dividende_je_Aktie!A$3:AM$103,7,FALSE)/VLOOKUP(A99,Schlußkurse!A$5:AU$105,35,FALSE),""),"")</f>
        <v>#N/A</v>
      </c>
      <c r="D99" s="82" t="e">
        <f>IF(VLOOKUP(A99,Schlußkurse!A$5:AU$105,36,FALSE)&gt;0,IF(VLOOKUP(A99,Dividende_je_Aktie!A$3:AM$103,8,FALSE)&lt;&gt;"",VLOOKUP(A99,Dividende_je_Aktie!A$3:AM$103,8,FALSE)/VLOOKUP(A99,Schlußkurse!A$5:AU$105,36,FALSE),""),"")</f>
        <v>#N/A</v>
      </c>
      <c r="E99" s="82" t="e">
        <f>IF(VLOOKUP(A99,Schlußkurse!A$5:AU$105,37,FALSE)&gt;0,IF(VLOOKUP(A99,Dividende_je_Aktie!A$3:AM$103,9,FALSE)&lt;&gt;"",VLOOKUP(A99,Dividende_je_Aktie!A$3:AM$103,9,FALSE)/VLOOKUP(A99,Schlußkurse!A$5:AU$105,37,FALSE),""),"")</f>
        <v>#N/A</v>
      </c>
      <c r="F99" s="82" t="e">
        <f>IF(VLOOKUP(A99,Schlußkurse!A$5:AU$105,38,FALSE)&gt;0,IF(VLOOKUP(A99,Dividende_je_Aktie!A$3:AM$103,10,FALSE)&lt;&gt;"",VLOOKUP(A99,Dividende_je_Aktie!A$3:AM$103,10,FALSE)/VLOOKUP(A99,Schlußkurse!A$5:AU$105,38,FALSE),""),"")</f>
        <v>#N/A</v>
      </c>
      <c r="G99" s="82" t="e">
        <f>IF(VLOOKUP(A99,Schlußkurse!A$5:AU$105,39,FALSE)&gt;0,IF(VLOOKUP(A99,Dividende_je_Aktie!A$3:AM$103,11,FALSE)&lt;&gt;"",VLOOKUP(A99,Dividende_je_Aktie!A$3:AM$103,11,FALSE)/VLOOKUP(A99,Schlußkurse!A$5:AU$105,39,FALSE),""),"")</f>
        <v>#N/A</v>
      </c>
      <c r="H99" s="82" t="e">
        <f>IF(VLOOKUP(A99,Schlußkurse!A$5:AU$105,40,FALSE)&gt;0,IF(VLOOKUP(A99,Dividende_je_Aktie!A$3:AM$103,12,FALSE)&lt;&gt;"",VLOOKUP(A99,Dividende_je_Aktie!A$3:AM$103,12,FALSE)/VLOOKUP(A99,Schlußkurse!A$5:AU$105,40,FALSE),""),"")</f>
        <v>#N/A</v>
      </c>
      <c r="I99" s="82" t="e">
        <f>IF(VLOOKUP(A99,Schlußkurse!A$5:AU$105,41,FALSE)&gt;0,IF(VLOOKUP(A99,Dividende_je_Aktie!A$3:AM$103,13,FALSE)&lt;&gt;"",VLOOKUP(A99,Dividende_je_Aktie!A$3:AM$103,13,FALSE)/VLOOKUP(A99,Schlußkurse!A$5:AU$105,41,FALSE),""),"")</f>
        <v>#N/A</v>
      </c>
      <c r="J99" s="82" t="e">
        <f>IF(VLOOKUP(A99,Schlußkurse!A$5:AU$105,42,FALSE)&gt;0,IF(VLOOKUP(A99,Dividende_je_Aktie!A$3:AM$103,14,FALSE)&lt;&gt;"",VLOOKUP(A99,Dividende_je_Aktie!A$3:AM$103,14,FALSE)/VLOOKUP(A99,Schlußkurse!A$5:AU$105,42,FALSE),""),"")</f>
        <v>#N/A</v>
      </c>
      <c r="K99" s="82" t="e">
        <f>IF(VLOOKUP(A99,Schlußkurse!A$5:AU$105,43,FALSE)&gt;0,IF(VLOOKUP(A99,Dividende_je_Aktie!A$3:AM$103,15,FALSE)&lt;&gt;"",VLOOKUP(A99,Dividende_je_Aktie!A$3:AM$103,15,FALSE)/VLOOKUP(A99,Schlußkurse!A$5:AU$105,43,FALSE),""),"")</f>
        <v>#N/A</v>
      </c>
      <c r="L99" s="82" t="e">
        <f>IF(VLOOKUP(A99,Schlußkurse!A$5:AU$105,44,FALSE)&gt;0,IF(VLOOKUP(A99,Dividende_je_Aktie!A$3:AM$103,16,FALSE)&lt;&gt;"",VLOOKUP(A99,Dividende_je_Aktie!A$3:AM$103,16,FALSE)/VLOOKUP(A99,Schlußkurse!A$5:AU$105,44,FALSE),""),"")</f>
        <v>#N/A</v>
      </c>
      <c r="M99" s="82" t="e">
        <f>IF(VLOOKUP(A99,Schlußkurse!A$5:AU$105,45,FALSE)&gt;0,IF(VLOOKUP(A99,Dividende_je_Aktie!A$3:AM$103,17,FALSE)&lt;&gt;"",VLOOKUP(A99,Dividende_je_Aktie!A$3:AM$103,17,FALSE)/VLOOKUP(A99,Schlußkurse!A$5:AU$105,45,FALSE),""),"")</f>
        <v>#N/A</v>
      </c>
      <c r="N99" s="82" t="e">
        <f>IF(VLOOKUP(A99,Schlußkurse!A$5:AU$105,46,FALSE)&gt;0,IF(VLOOKUP(A99,Dividende_je_Aktie!A$3:AM$103,18,FALSE)&lt;&gt;"",VLOOKUP(A99,Dividende_je_Aktie!A$3:AM$103,18,FALSE)/VLOOKUP(A99,Schlußkurse!A$5:AU$105,46,FALSE),""),"")</f>
        <v>#N/A</v>
      </c>
      <c r="O99" s="83" t="e">
        <f>IF(VLOOKUP(A99,Schlußkurse!A$5:AU$105,47,FALSE)&gt;0,IF(VLOOKUP(A99,Dividende_je_Aktie!A$3:AM$103,19,FALSE)&lt;&gt;"",VLOOKUP(A99,Dividende_je_Aktie!A$3:AM$103,19,FALSE)/VLOOKUP(A99,Schlußkurse!A$5:AU$105,47,FALSE),""),"")</f>
        <v>#N/A</v>
      </c>
      <c r="P99" s="5" t="e">
        <f t="shared" si="2"/>
        <v>#N/A</v>
      </c>
      <c r="Q99" s="5" t="e">
        <f>VLOOKUP(A99,Dividende_je_Aktie!A$3:AM$103,24,FALSE)/VLOOKUP(A99,Schlußkurse!A$5:AU$105,35,FALSE)</f>
        <v>#N/A</v>
      </c>
      <c r="R99" s="5" t="e">
        <f t="shared" si="3"/>
        <v>#N/A</v>
      </c>
    </row>
    <row r="100" spans="3:18" x14ac:dyDescent="0.25">
      <c r="C100" s="81" t="e">
        <f>IF(VLOOKUP(A100,Schlußkurse!A$5:AU$105,35,FALSE)&gt;0,IF(VLOOKUP(A100,Dividende_je_Aktie!A$3:AM$103,7,FALSE)&lt;&gt;"",VLOOKUP(A100,Dividende_je_Aktie!A$3:AM$103,7,FALSE)/VLOOKUP(A100,Schlußkurse!A$5:AU$105,35,FALSE),""),"")</f>
        <v>#N/A</v>
      </c>
      <c r="D100" s="82" t="e">
        <f>IF(VLOOKUP(A100,Schlußkurse!A$5:AU$105,36,FALSE)&gt;0,IF(VLOOKUP(A100,Dividende_je_Aktie!A$3:AM$103,8,FALSE)&lt;&gt;"",VLOOKUP(A100,Dividende_je_Aktie!A$3:AM$103,8,FALSE)/VLOOKUP(A100,Schlußkurse!A$5:AU$105,36,FALSE),""),"")</f>
        <v>#N/A</v>
      </c>
      <c r="E100" s="82" t="e">
        <f>IF(VLOOKUP(A100,Schlußkurse!A$5:AU$105,37,FALSE)&gt;0,IF(VLOOKUP(A100,Dividende_je_Aktie!A$3:AM$103,9,FALSE)&lt;&gt;"",VLOOKUP(A100,Dividende_je_Aktie!A$3:AM$103,9,FALSE)/VLOOKUP(A100,Schlußkurse!A$5:AU$105,37,FALSE),""),"")</f>
        <v>#N/A</v>
      </c>
      <c r="F100" s="82" t="e">
        <f>IF(VLOOKUP(A100,Schlußkurse!A$5:AU$105,38,FALSE)&gt;0,IF(VLOOKUP(A100,Dividende_je_Aktie!A$3:AM$103,10,FALSE)&lt;&gt;"",VLOOKUP(A100,Dividende_je_Aktie!A$3:AM$103,10,FALSE)/VLOOKUP(A100,Schlußkurse!A$5:AU$105,38,FALSE),""),"")</f>
        <v>#N/A</v>
      </c>
      <c r="G100" s="82" t="e">
        <f>IF(VLOOKUP(A100,Schlußkurse!A$5:AU$105,39,FALSE)&gt;0,IF(VLOOKUP(A100,Dividende_je_Aktie!A$3:AM$103,11,FALSE)&lt;&gt;"",VLOOKUP(A100,Dividende_je_Aktie!A$3:AM$103,11,FALSE)/VLOOKUP(A100,Schlußkurse!A$5:AU$105,39,FALSE),""),"")</f>
        <v>#N/A</v>
      </c>
      <c r="H100" s="82" t="e">
        <f>IF(VLOOKUP(A100,Schlußkurse!A$5:AU$105,40,FALSE)&gt;0,IF(VLOOKUP(A100,Dividende_je_Aktie!A$3:AM$103,12,FALSE)&lt;&gt;"",VLOOKUP(A100,Dividende_je_Aktie!A$3:AM$103,12,FALSE)/VLOOKUP(A100,Schlußkurse!A$5:AU$105,40,FALSE),""),"")</f>
        <v>#N/A</v>
      </c>
      <c r="I100" s="82" t="e">
        <f>IF(VLOOKUP(A100,Schlußkurse!A$5:AU$105,41,FALSE)&gt;0,IF(VLOOKUP(A100,Dividende_je_Aktie!A$3:AM$103,13,FALSE)&lt;&gt;"",VLOOKUP(A100,Dividende_je_Aktie!A$3:AM$103,13,FALSE)/VLOOKUP(A100,Schlußkurse!A$5:AU$105,41,FALSE),""),"")</f>
        <v>#N/A</v>
      </c>
      <c r="J100" s="82" t="e">
        <f>IF(VLOOKUP(A100,Schlußkurse!A$5:AU$105,42,FALSE)&gt;0,IF(VLOOKUP(A100,Dividende_je_Aktie!A$3:AM$103,14,FALSE)&lt;&gt;"",VLOOKUP(A100,Dividende_je_Aktie!A$3:AM$103,14,FALSE)/VLOOKUP(A100,Schlußkurse!A$5:AU$105,42,FALSE),""),"")</f>
        <v>#N/A</v>
      </c>
      <c r="K100" s="82" t="e">
        <f>IF(VLOOKUP(A100,Schlußkurse!A$5:AU$105,43,FALSE)&gt;0,IF(VLOOKUP(A100,Dividende_je_Aktie!A$3:AM$103,15,FALSE)&lt;&gt;"",VLOOKUP(A100,Dividende_je_Aktie!A$3:AM$103,15,FALSE)/VLOOKUP(A100,Schlußkurse!A$5:AU$105,43,FALSE),""),"")</f>
        <v>#N/A</v>
      </c>
      <c r="L100" s="82" t="e">
        <f>IF(VLOOKUP(A100,Schlußkurse!A$5:AU$105,44,FALSE)&gt;0,IF(VLOOKUP(A100,Dividende_je_Aktie!A$3:AM$103,16,FALSE)&lt;&gt;"",VLOOKUP(A100,Dividende_je_Aktie!A$3:AM$103,16,FALSE)/VLOOKUP(A100,Schlußkurse!A$5:AU$105,44,FALSE),""),"")</f>
        <v>#N/A</v>
      </c>
      <c r="M100" s="82" t="e">
        <f>IF(VLOOKUP(A100,Schlußkurse!A$5:AU$105,45,FALSE)&gt;0,IF(VLOOKUP(A100,Dividende_je_Aktie!A$3:AM$103,17,FALSE)&lt;&gt;"",VLOOKUP(A100,Dividende_je_Aktie!A$3:AM$103,17,FALSE)/VLOOKUP(A100,Schlußkurse!A$5:AU$105,45,FALSE),""),"")</f>
        <v>#N/A</v>
      </c>
      <c r="N100" s="82" t="e">
        <f>IF(VLOOKUP(A100,Schlußkurse!A$5:AU$105,46,FALSE)&gt;0,IF(VLOOKUP(A100,Dividende_je_Aktie!A$3:AM$103,18,FALSE)&lt;&gt;"",VLOOKUP(A100,Dividende_je_Aktie!A$3:AM$103,18,FALSE)/VLOOKUP(A100,Schlußkurse!A$5:AU$105,46,FALSE),""),"")</f>
        <v>#N/A</v>
      </c>
      <c r="O100" s="83" t="e">
        <f>IF(VLOOKUP(A100,Schlußkurse!A$5:AU$105,47,FALSE)&gt;0,IF(VLOOKUP(A100,Dividende_je_Aktie!A$3:AM$103,19,FALSE)&lt;&gt;"",VLOOKUP(A100,Dividende_je_Aktie!A$3:AM$103,19,FALSE)/VLOOKUP(A100,Schlußkurse!A$5:AU$105,47,FALSE),""),"")</f>
        <v>#N/A</v>
      </c>
      <c r="P100" s="5" t="e">
        <f t="shared" si="2"/>
        <v>#N/A</v>
      </c>
      <c r="Q100" s="5" t="e">
        <f>VLOOKUP(A100,Dividende_je_Aktie!A$3:AM$103,24,FALSE)/VLOOKUP(A100,Schlußkurse!A$5:AU$105,35,FALSE)</f>
        <v>#N/A</v>
      </c>
      <c r="R100" s="5" t="e">
        <f t="shared" si="3"/>
        <v>#N/A</v>
      </c>
    </row>
    <row r="101" spans="3:18" x14ac:dyDescent="0.25">
      <c r="C101" s="81" t="e">
        <f>IF(VLOOKUP(A101,Schlußkurse!A$5:AU$105,35,FALSE)&gt;0,IF(VLOOKUP(A101,Dividende_je_Aktie!A$3:AM$103,7,FALSE)&lt;&gt;"",VLOOKUP(A101,Dividende_je_Aktie!A$3:AM$103,7,FALSE)/VLOOKUP(A101,Schlußkurse!A$5:AU$105,35,FALSE),""),"")</f>
        <v>#N/A</v>
      </c>
      <c r="D101" s="82" t="e">
        <f>IF(VLOOKUP(A101,Schlußkurse!A$5:AU$105,36,FALSE)&gt;0,IF(VLOOKUP(A101,Dividende_je_Aktie!A$3:AM$103,8,FALSE)&lt;&gt;"",VLOOKUP(A101,Dividende_je_Aktie!A$3:AM$103,8,FALSE)/VLOOKUP(A101,Schlußkurse!A$5:AU$105,36,FALSE),""),"")</f>
        <v>#N/A</v>
      </c>
      <c r="E101" s="82" t="e">
        <f>IF(VLOOKUP(A101,Schlußkurse!A$5:AU$105,37,FALSE)&gt;0,IF(VLOOKUP(A101,Dividende_je_Aktie!A$3:AM$103,9,FALSE)&lt;&gt;"",VLOOKUP(A101,Dividende_je_Aktie!A$3:AM$103,9,FALSE)/VLOOKUP(A101,Schlußkurse!A$5:AU$105,37,FALSE),""),"")</f>
        <v>#N/A</v>
      </c>
      <c r="F101" s="82" t="e">
        <f>IF(VLOOKUP(A101,Schlußkurse!A$5:AU$105,38,FALSE)&gt;0,IF(VLOOKUP(A101,Dividende_je_Aktie!A$3:AM$103,10,FALSE)&lt;&gt;"",VLOOKUP(A101,Dividende_je_Aktie!A$3:AM$103,10,FALSE)/VLOOKUP(A101,Schlußkurse!A$5:AU$105,38,FALSE),""),"")</f>
        <v>#N/A</v>
      </c>
      <c r="G101" s="82" t="e">
        <f>IF(VLOOKUP(A101,Schlußkurse!A$5:AU$105,39,FALSE)&gt;0,IF(VLOOKUP(A101,Dividende_je_Aktie!A$3:AM$103,11,FALSE)&lt;&gt;"",VLOOKUP(A101,Dividende_je_Aktie!A$3:AM$103,11,FALSE)/VLOOKUP(A101,Schlußkurse!A$5:AU$105,39,FALSE),""),"")</f>
        <v>#N/A</v>
      </c>
      <c r="H101" s="82" t="e">
        <f>IF(VLOOKUP(A101,Schlußkurse!A$5:AU$105,40,FALSE)&gt;0,IF(VLOOKUP(A101,Dividende_je_Aktie!A$3:AM$103,12,FALSE)&lt;&gt;"",VLOOKUP(A101,Dividende_je_Aktie!A$3:AM$103,12,FALSE)/VLOOKUP(A101,Schlußkurse!A$5:AU$105,40,FALSE),""),"")</f>
        <v>#N/A</v>
      </c>
      <c r="I101" s="82" t="e">
        <f>IF(VLOOKUP(A101,Schlußkurse!A$5:AU$105,41,FALSE)&gt;0,IF(VLOOKUP(A101,Dividende_je_Aktie!A$3:AM$103,13,FALSE)&lt;&gt;"",VLOOKUP(A101,Dividende_je_Aktie!A$3:AM$103,13,FALSE)/VLOOKUP(A101,Schlußkurse!A$5:AU$105,41,FALSE),""),"")</f>
        <v>#N/A</v>
      </c>
      <c r="J101" s="82" t="e">
        <f>IF(VLOOKUP(A101,Schlußkurse!A$5:AU$105,42,FALSE)&gt;0,IF(VLOOKUP(A101,Dividende_je_Aktie!A$3:AM$103,14,FALSE)&lt;&gt;"",VLOOKUP(A101,Dividende_je_Aktie!A$3:AM$103,14,FALSE)/VLOOKUP(A101,Schlußkurse!A$5:AU$105,42,FALSE),""),"")</f>
        <v>#N/A</v>
      </c>
      <c r="K101" s="82" t="e">
        <f>IF(VLOOKUP(A101,Schlußkurse!A$5:AU$105,43,FALSE)&gt;0,IF(VLOOKUP(A101,Dividende_je_Aktie!A$3:AM$103,15,FALSE)&lt;&gt;"",VLOOKUP(A101,Dividende_je_Aktie!A$3:AM$103,15,FALSE)/VLOOKUP(A101,Schlußkurse!A$5:AU$105,43,FALSE),""),"")</f>
        <v>#N/A</v>
      </c>
      <c r="L101" s="82" t="e">
        <f>IF(VLOOKUP(A101,Schlußkurse!A$5:AU$105,44,FALSE)&gt;0,IF(VLOOKUP(A101,Dividende_je_Aktie!A$3:AM$103,16,FALSE)&lt;&gt;"",VLOOKUP(A101,Dividende_je_Aktie!A$3:AM$103,16,FALSE)/VLOOKUP(A101,Schlußkurse!A$5:AU$105,44,FALSE),""),"")</f>
        <v>#N/A</v>
      </c>
      <c r="M101" s="82" t="e">
        <f>IF(VLOOKUP(A101,Schlußkurse!A$5:AU$105,45,FALSE)&gt;0,IF(VLOOKUP(A101,Dividende_je_Aktie!A$3:AM$103,17,FALSE)&lt;&gt;"",VLOOKUP(A101,Dividende_je_Aktie!A$3:AM$103,17,FALSE)/VLOOKUP(A101,Schlußkurse!A$5:AU$105,45,FALSE),""),"")</f>
        <v>#N/A</v>
      </c>
      <c r="N101" s="82" t="e">
        <f>IF(VLOOKUP(A101,Schlußkurse!A$5:AU$105,46,FALSE)&gt;0,IF(VLOOKUP(A101,Dividende_je_Aktie!A$3:AM$103,18,FALSE)&lt;&gt;"",VLOOKUP(A101,Dividende_je_Aktie!A$3:AM$103,18,FALSE)/VLOOKUP(A101,Schlußkurse!A$5:AU$105,46,FALSE),""),"")</f>
        <v>#N/A</v>
      </c>
      <c r="O101" s="83" t="e">
        <f>IF(VLOOKUP(A101,Schlußkurse!A$5:AU$105,47,FALSE)&gt;0,IF(VLOOKUP(A101,Dividende_je_Aktie!A$3:AM$103,19,FALSE)&lt;&gt;"",VLOOKUP(A101,Dividende_je_Aktie!A$3:AM$103,19,FALSE)/VLOOKUP(A101,Schlußkurse!A$5:AU$105,47,FALSE),""),"")</f>
        <v>#N/A</v>
      </c>
      <c r="P101" s="5" t="e">
        <f t="shared" si="2"/>
        <v>#N/A</v>
      </c>
      <c r="Q101" s="5" t="e">
        <f>VLOOKUP(A101,Dividende_je_Aktie!A$3:AM$103,24,FALSE)/VLOOKUP(A101,Schlußkurse!A$5:AU$105,35,FALSE)</f>
        <v>#N/A</v>
      </c>
      <c r="R101" s="5" t="e">
        <f t="shared" si="3"/>
        <v>#N/A</v>
      </c>
    </row>
    <row r="102" spans="3:18" x14ac:dyDescent="0.25">
      <c r="C102" s="81" t="e">
        <f>IF(VLOOKUP(A102,Schlußkurse!A$5:AU$105,35,FALSE)&gt;0,IF(VLOOKUP(A102,Dividende_je_Aktie!A$3:AM$103,7,FALSE)&lt;&gt;"",VLOOKUP(A102,Dividende_je_Aktie!A$3:AM$103,7,FALSE)/VLOOKUP(A102,Schlußkurse!A$5:AU$105,35,FALSE),""),"")</f>
        <v>#N/A</v>
      </c>
      <c r="D102" s="82" t="e">
        <f>IF(VLOOKUP(A102,Schlußkurse!A$5:AU$105,36,FALSE)&gt;0,IF(VLOOKUP(A102,Dividende_je_Aktie!A$3:AM$103,8,FALSE)&lt;&gt;"",VLOOKUP(A102,Dividende_je_Aktie!A$3:AM$103,8,FALSE)/VLOOKUP(A102,Schlußkurse!A$5:AU$105,36,FALSE),""),"")</f>
        <v>#N/A</v>
      </c>
      <c r="E102" s="82" t="e">
        <f>IF(VLOOKUP(A102,Schlußkurse!A$5:AU$105,37,FALSE)&gt;0,IF(VLOOKUP(A102,Dividende_je_Aktie!A$3:AM$103,9,FALSE)&lt;&gt;"",VLOOKUP(A102,Dividende_je_Aktie!A$3:AM$103,9,FALSE)/VLOOKUP(A102,Schlußkurse!A$5:AU$105,37,FALSE),""),"")</f>
        <v>#N/A</v>
      </c>
      <c r="F102" s="82" t="e">
        <f>IF(VLOOKUP(A102,Schlußkurse!A$5:AU$105,38,FALSE)&gt;0,IF(VLOOKUP(A102,Dividende_je_Aktie!A$3:AM$103,10,FALSE)&lt;&gt;"",VLOOKUP(A102,Dividende_je_Aktie!A$3:AM$103,10,FALSE)/VLOOKUP(A102,Schlußkurse!A$5:AU$105,38,FALSE),""),"")</f>
        <v>#N/A</v>
      </c>
      <c r="G102" s="82" t="e">
        <f>IF(VLOOKUP(A102,Schlußkurse!A$5:AU$105,39,FALSE)&gt;0,IF(VLOOKUP(A102,Dividende_je_Aktie!A$3:AM$103,11,FALSE)&lt;&gt;"",VLOOKUP(A102,Dividende_je_Aktie!A$3:AM$103,11,FALSE)/VLOOKUP(A102,Schlußkurse!A$5:AU$105,39,FALSE),""),"")</f>
        <v>#N/A</v>
      </c>
      <c r="H102" s="82" t="e">
        <f>IF(VLOOKUP(A102,Schlußkurse!A$5:AU$105,40,FALSE)&gt;0,IF(VLOOKUP(A102,Dividende_je_Aktie!A$3:AM$103,12,FALSE)&lt;&gt;"",VLOOKUP(A102,Dividende_je_Aktie!A$3:AM$103,12,FALSE)/VLOOKUP(A102,Schlußkurse!A$5:AU$105,40,FALSE),""),"")</f>
        <v>#N/A</v>
      </c>
      <c r="I102" s="82" t="e">
        <f>IF(VLOOKUP(A102,Schlußkurse!A$5:AU$105,41,FALSE)&gt;0,IF(VLOOKUP(A102,Dividende_je_Aktie!A$3:AM$103,13,FALSE)&lt;&gt;"",VLOOKUP(A102,Dividende_je_Aktie!A$3:AM$103,13,FALSE)/VLOOKUP(A102,Schlußkurse!A$5:AU$105,41,FALSE),""),"")</f>
        <v>#N/A</v>
      </c>
      <c r="J102" s="82" t="e">
        <f>IF(VLOOKUP(A102,Schlußkurse!A$5:AU$105,42,FALSE)&gt;0,IF(VLOOKUP(A102,Dividende_je_Aktie!A$3:AM$103,14,FALSE)&lt;&gt;"",VLOOKUP(A102,Dividende_je_Aktie!A$3:AM$103,14,FALSE)/VLOOKUP(A102,Schlußkurse!A$5:AU$105,42,FALSE),""),"")</f>
        <v>#N/A</v>
      </c>
      <c r="K102" s="82" t="e">
        <f>IF(VLOOKUP(A102,Schlußkurse!A$5:AU$105,43,FALSE)&gt;0,IF(VLOOKUP(A102,Dividende_je_Aktie!A$3:AM$103,15,FALSE)&lt;&gt;"",VLOOKUP(A102,Dividende_je_Aktie!A$3:AM$103,15,FALSE)/VLOOKUP(A102,Schlußkurse!A$5:AU$105,43,FALSE),""),"")</f>
        <v>#N/A</v>
      </c>
      <c r="L102" s="82" t="e">
        <f>IF(VLOOKUP(A102,Schlußkurse!A$5:AU$105,44,FALSE)&gt;0,IF(VLOOKUP(A102,Dividende_je_Aktie!A$3:AM$103,16,FALSE)&lt;&gt;"",VLOOKUP(A102,Dividende_je_Aktie!A$3:AM$103,16,FALSE)/VLOOKUP(A102,Schlußkurse!A$5:AU$105,44,FALSE),""),"")</f>
        <v>#N/A</v>
      </c>
      <c r="M102" s="82" t="e">
        <f>IF(VLOOKUP(A102,Schlußkurse!A$5:AU$105,45,FALSE)&gt;0,IF(VLOOKUP(A102,Dividende_je_Aktie!A$3:AM$103,17,FALSE)&lt;&gt;"",VLOOKUP(A102,Dividende_je_Aktie!A$3:AM$103,17,FALSE)/VLOOKUP(A102,Schlußkurse!A$5:AU$105,45,FALSE),""),"")</f>
        <v>#N/A</v>
      </c>
      <c r="N102" s="82" t="e">
        <f>IF(VLOOKUP(A102,Schlußkurse!A$5:AU$105,46,FALSE)&gt;0,IF(VLOOKUP(A102,Dividende_je_Aktie!A$3:AM$103,18,FALSE)&lt;&gt;"",VLOOKUP(A102,Dividende_je_Aktie!A$3:AM$103,18,FALSE)/VLOOKUP(A102,Schlußkurse!A$5:AU$105,46,FALSE),""),"")</f>
        <v>#N/A</v>
      </c>
      <c r="O102" s="83" t="e">
        <f>IF(VLOOKUP(A102,Schlußkurse!A$5:AU$105,47,FALSE)&gt;0,IF(VLOOKUP(A102,Dividende_je_Aktie!A$3:AM$103,19,FALSE)&lt;&gt;"",VLOOKUP(A102,Dividende_je_Aktie!A$3:AM$103,19,FALSE)/VLOOKUP(A102,Schlußkurse!A$5:AU$105,47,FALSE),""),"")</f>
        <v>#N/A</v>
      </c>
      <c r="P102" s="5" t="e">
        <f t="shared" si="2"/>
        <v>#N/A</v>
      </c>
      <c r="Q102" s="5" t="e">
        <f>VLOOKUP(A102,Dividende_je_Aktie!A$3:AM$103,24,FALSE)/VLOOKUP(A102,Schlußkurse!A$5:AU$105,35,FALSE)</f>
        <v>#N/A</v>
      </c>
      <c r="R102" s="5" t="e">
        <f t="shared" si="3"/>
        <v>#N/A</v>
      </c>
    </row>
    <row r="103" spans="3:18" x14ac:dyDescent="0.25">
      <c r="C103" s="81" t="e">
        <f>IF(VLOOKUP(A103,Schlußkurse!A$5:AU$105,35,FALSE)&gt;0,IF(VLOOKUP(A103,Dividende_je_Aktie!A$3:AM$103,7,FALSE)&lt;&gt;"",VLOOKUP(A103,Dividende_je_Aktie!A$3:AM$103,7,FALSE)/VLOOKUP(A103,Schlußkurse!A$5:AU$105,35,FALSE),""),"")</f>
        <v>#N/A</v>
      </c>
      <c r="D103" s="82" t="e">
        <f>IF(VLOOKUP(A103,Schlußkurse!A$5:AU$105,36,FALSE)&gt;0,IF(VLOOKUP(A103,Dividende_je_Aktie!A$3:AM$103,8,FALSE)&lt;&gt;"",VLOOKUP(A103,Dividende_je_Aktie!A$3:AM$103,8,FALSE)/VLOOKUP(A103,Schlußkurse!A$5:AU$105,36,FALSE),""),"")</f>
        <v>#N/A</v>
      </c>
      <c r="E103" s="82" t="e">
        <f>IF(VLOOKUP(A103,Schlußkurse!A$5:AU$105,37,FALSE)&gt;0,IF(VLOOKUP(A103,Dividende_je_Aktie!A$3:AM$103,9,FALSE)&lt;&gt;"",VLOOKUP(A103,Dividende_je_Aktie!A$3:AM$103,9,FALSE)/VLOOKUP(A103,Schlußkurse!A$5:AU$105,37,FALSE),""),"")</f>
        <v>#N/A</v>
      </c>
      <c r="F103" s="82" t="e">
        <f>IF(VLOOKUP(A103,Schlußkurse!A$5:AU$105,38,FALSE)&gt;0,IF(VLOOKUP(A103,Dividende_je_Aktie!A$3:AM$103,10,FALSE)&lt;&gt;"",VLOOKUP(A103,Dividende_je_Aktie!A$3:AM$103,10,FALSE)/VLOOKUP(A103,Schlußkurse!A$5:AU$105,38,FALSE),""),"")</f>
        <v>#N/A</v>
      </c>
      <c r="G103" s="82" t="e">
        <f>IF(VLOOKUP(A103,Schlußkurse!A$5:AU$105,39,FALSE)&gt;0,IF(VLOOKUP(A103,Dividende_je_Aktie!A$3:AM$103,11,FALSE)&lt;&gt;"",VLOOKUP(A103,Dividende_je_Aktie!A$3:AM$103,11,FALSE)/VLOOKUP(A103,Schlußkurse!A$5:AU$105,39,FALSE),""),"")</f>
        <v>#N/A</v>
      </c>
      <c r="H103" s="82" t="e">
        <f>IF(VLOOKUP(A103,Schlußkurse!A$5:AU$105,40,FALSE)&gt;0,IF(VLOOKUP(A103,Dividende_je_Aktie!A$3:AM$103,12,FALSE)&lt;&gt;"",VLOOKUP(A103,Dividende_je_Aktie!A$3:AM$103,12,FALSE)/VLOOKUP(A103,Schlußkurse!A$5:AU$105,40,FALSE),""),"")</f>
        <v>#N/A</v>
      </c>
      <c r="I103" s="82" t="e">
        <f>IF(VLOOKUP(A103,Schlußkurse!A$5:AU$105,41,FALSE)&gt;0,IF(VLOOKUP(A103,Dividende_je_Aktie!A$3:AM$103,13,FALSE)&lt;&gt;"",VLOOKUP(A103,Dividende_je_Aktie!A$3:AM$103,13,FALSE)/VLOOKUP(A103,Schlußkurse!A$5:AU$105,41,FALSE),""),"")</f>
        <v>#N/A</v>
      </c>
      <c r="J103" s="82" t="e">
        <f>IF(VLOOKUP(A103,Schlußkurse!A$5:AU$105,42,FALSE)&gt;0,IF(VLOOKUP(A103,Dividende_je_Aktie!A$3:AM$103,14,FALSE)&lt;&gt;"",VLOOKUP(A103,Dividende_je_Aktie!A$3:AM$103,14,FALSE)/VLOOKUP(A103,Schlußkurse!A$5:AU$105,42,FALSE),""),"")</f>
        <v>#N/A</v>
      </c>
      <c r="K103" s="82" t="e">
        <f>IF(VLOOKUP(A103,Schlußkurse!A$5:AU$105,43,FALSE)&gt;0,IF(VLOOKUP(A103,Dividende_je_Aktie!A$3:AM$103,15,FALSE)&lt;&gt;"",VLOOKUP(A103,Dividende_je_Aktie!A$3:AM$103,15,FALSE)/VLOOKUP(A103,Schlußkurse!A$5:AU$105,43,FALSE),""),"")</f>
        <v>#N/A</v>
      </c>
      <c r="L103" s="82" t="e">
        <f>IF(VLOOKUP(A103,Schlußkurse!A$5:AU$105,44,FALSE)&gt;0,IF(VLOOKUP(A103,Dividende_je_Aktie!A$3:AM$103,16,FALSE)&lt;&gt;"",VLOOKUP(A103,Dividende_je_Aktie!A$3:AM$103,16,FALSE)/VLOOKUP(A103,Schlußkurse!A$5:AU$105,44,FALSE),""),"")</f>
        <v>#N/A</v>
      </c>
      <c r="M103" s="82" t="e">
        <f>IF(VLOOKUP(A103,Schlußkurse!A$5:AU$105,45,FALSE)&gt;0,IF(VLOOKUP(A103,Dividende_je_Aktie!A$3:AM$103,17,FALSE)&lt;&gt;"",VLOOKUP(A103,Dividende_je_Aktie!A$3:AM$103,17,FALSE)/VLOOKUP(A103,Schlußkurse!A$5:AU$105,45,FALSE),""),"")</f>
        <v>#N/A</v>
      </c>
      <c r="N103" s="82" t="e">
        <f>IF(VLOOKUP(A103,Schlußkurse!A$5:AU$105,46,FALSE)&gt;0,IF(VLOOKUP(A103,Dividende_je_Aktie!A$3:AM$103,18,FALSE)&lt;&gt;"",VLOOKUP(A103,Dividende_je_Aktie!A$3:AM$103,18,FALSE)/VLOOKUP(A103,Schlußkurse!A$5:AU$105,46,FALSE),""),"")</f>
        <v>#N/A</v>
      </c>
      <c r="O103" s="83" t="e">
        <f>IF(VLOOKUP(A103,Schlußkurse!A$5:AU$105,47,FALSE)&gt;0,IF(VLOOKUP(A103,Dividende_je_Aktie!A$3:AM$103,19,FALSE)&lt;&gt;"",VLOOKUP(A103,Dividende_je_Aktie!A$3:AM$103,19,FALSE)/VLOOKUP(A103,Schlußkurse!A$5:AU$105,47,FALSE),""),"")</f>
        <v>#N/A</v>
      </c>
      <c r="P103" s="5" t="e">
        <f t="shared" ref="P103" si="4">AVERAGE(C103:O103)</f>
        <v>#N/A</v>
      </c>
      <c r="Q103" s="5" t="e">
        <f>VLOOKUP(A103,Dividende_je_Aktie!A$3:AM$103,24,FALSE)/VLOOKUP(A103,Schlußkurse!A$5:AU$105,35,FALSE)</f>
        <v>#N/A</v>
      </c>
      <c r="R103" s="5" t="e">
        <f t="shared" ref="R103" si="5">(Q103/P103)-1</f>
        <v>#N/A</v>
      </c>
    </row>
  </sheetData>
  <autoFilter ref="A3:R3">
    <sortState ref="A4:R68">
      <sortCondition ref="B3"/>
    </sortState>
  </autoFilter>
  <mergeCells count="1">
    <mergeCell ref="C1:O1"/>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3"/>
  <sheetViews>
    <sheetView zoomScale="60" zoomScaleNormal="60" workbookViewId="0">
      <pane ySplit="3" topLeftCell="A4" activePane="bottomLeft" state="frozenSplit"/>
      <selection pane="bottomLeft"/>
    </sheetView>
  </sheetViews>
  <sheetFormatPr baseColWidth="10" defaultRowHeight="15" x14ac:dyDescent="0.25"/>
  <cols>
    <col min="1" max="1" width="28" customWidth="1"/>
    <col min="2" max="2" width="20.85546875" customWidth="1"/>
    <col min="3" max="3" width="10.42578125" bestFit="1" customWidth="1"/>
    <col min="4" max="4" width="13.7109375" customWidth="1"/>
    <col min="5" max="5" width="11.140625" bestFit="1" customWidth="1"/>
    <col min="6" max="6" width="15.140625" bestFit="1" customWidth="1"/>
    <col min="7" max="7" width="14.7109375" bestFit="1" customWidth="1"/>
    <col min="8" max="8" width="15.140625" customWidth="1"/>
    <col min="9" max="9" width="14.42578125" customWidth="1"/>
    <col min="10" max="17" width="14.85546875" customWidth="1"/>
    <col min="18" max="18" width="15.85546875" customWidth="1"/>
    <col min="19" max="19" width="18" customWidth="1"/>
    <col min="20" max="20" width="15.140625" customWidth="1"/>
    <col min="21" max="21" width="14.7109375" bestFit="1" customWidth="1"/>
    <col min="22" max="22" width="15.140625" customWidth="1"/>
    <col min="23" max="23" width="20.140625" customWidth="1"/>
    <col min="24" max="24" width="33.42578125" customWidth="1"/>
  </cols>
  <sheetData>
    <row r="1" spans="1:24" x14ac:dyDescent="0.25">
      <c r="A1" s="1"/>
      <c r="B1" s="1"/>
      <c r="C1" s="1"/>
      <c r="D1" s="1"/>
      <c r="E1" s="1"/>
      <c r="F1" s="75"/>
      <c r="G1" s="75"/>
      <c r="H1" s="75"/>
      <c r="I1" s="75"/>
      <c r="J1" s="75"/>
      <c r="K1" s="75"/>
      <c r="L1" s="75"/>
      <c r="M1" s="75"/>
      <c r="N1" s="75"/>
      <c r="O1" s="75"/>
      <c r="P1" s="75"/>
      <c r="Q1" s="75"/>
      <c r="R1" s="75"/>
      <c r="S1" s="1"/>
      <c r="T1" s="114" t="s">
        <v>114</v>
      </c>
      <c r="U1" s="114"/>
      <c r="V1" s="114"/>
      <c r="W1" s="1"/>
      <c r="X1" s="1"/>
    </row>
    <row r="2" spans="1:24" x14ac:dyDescent="0.25">
      <c r="A2" s="1"/>
      <c r="B2" s="1"/>
      <c r="C2" s="114" t="s">
        <v>165</v>
      </c>
      <c r="D2" s="114"/>
      <c r="E2" s="114"/>
      <c r="F2" s="1">
        <v>2017</v>
      </c>
      <c r="G2" s="1">
        <v>2016</v>
      </c>
      <c r="H2" s="1">
        <v>2015</v>
      </c>
      <c r="I2" s="1">
        <v>2014</v>
      </c>
      <c r="J2" s="1">
        <v>2013</v>
      </c>
      <c r="K2" s="1">
        <v>2012</v>
      </c>
      <c r="L2" s="1">
        <v>2011</v>
      </c>
      <c r="M2" s="1">
        <v>2010</v>
      </c>
      <c r="N2" s="1">
        <v>2009</v>
      </c>
      <c r="O2" s="1">
        <v>2008</v>
      </c>
      <c r="P2" s="1">
        <v>2007</v>
      </c>
      <c r="Q2" s="1">
        <v>2006</v>
      </c>
      <c r="R2" s="1">
        <v>2005</v>
      </c>
      <c r="S2" s="1"/>
      <c r="T2" s="1">
        <f>F2</f>
        <v>2017</v>
      </c>
      <c r="U2" s="1">
        <f>G2</f>
        <v>2016</v>
      </c>
      <c r="V2" s="1">
        <f>H2</f>
        <v>2015</v>
      </c>
      <c r="W2" s="1"/>
      <c r="X2" s="1"/>
    </row>
    <row r="3" spans="1:24" x14ac:dyDescent="0.25">
      <c r="A3" s="1" t="s">
        <v>0</v>
      </c>
      <c r="B3" s="1" t="s">
        <v>1</v>
      </c>
      <c r="C3" s="1" t="s">
        <v>166</v>
      </c>
      <c r="D3" s="1" t="s">
        <v>167</v>
      </c>
      <c r="E3" s="1" t="s">
        <v>137</v>
      </c>
      <c r="F3" s="1" t="s">
        <v>168</v>
      </c>
      <c r="G3" s="1" t="s">
        <v>111</v>
      </c>
      <c r="H3" s="1" t="s">
        <v>112</v>
      </c>
      <c r="I3" s="1" t="s">
        <v>101</v>
      </c>
      <c r="J3" s="1" t="s">
        <v>102</v>
      </c>
      <c r="K3" s="1" t="s">
        <v>103</v>
      </c>
      <c r="L3" s="1" t="s">
        <v>104</v>
      </c>
      <c r="M3" s="1" t="s">
        <v>105</v>
      </c>
      <c r="N3" s="1" t="s">
        <v>106</v>
      </c>
      <c r="O3" s="1" t="s">
        <v>107</v>
      </c>
      <c r="P3" s="1" t="s">
        <v>108</v>
      </c>
      <c r="Q3" s="1" t="s">
        <v>109</v>
      </c>
      <c r="R3" s="1" t="s">
        <v>110</v>
      </c>
      <c r="S3" s="1" t="s">
        <v>120</v>
      </c>
      <c r="T3" s="1" t="s">
        <v>168</v>
      </c>
      <c r="U3" s="1" t="s">
        <v>111</v>
      </c>
      <c r="V3" s="1" t="s">
        <v>112</v>
      </c>
      <c r="W3" s="1" t="s">
        <v>135</v>
      </c>
      <c r="X3" s="1" t="s">
        <v>121</v>
      </c>
    </row>
    <row r="4" spans="1:24" x14ac:dyDescent="0.25">
      <c r="A4" t="s">
        <v>80</v>
      </c>
      <c r="B4" t="s">
        <v>164</v>
      </c>
      <c r="C4" s="56">
        <v>31</v>
      </c>
      <c r="D4" s="56">
        <v>12</v>
      </c>
      <c r="E4" s="56">
        <v>2015</v>
      </c>
      <c r="F4" s="5">
        <f>IF(VLOOKUP(A4,Dividende_je_Aktie!A$3:AM$103,6,FALSE)&lt;&gt;"",IF(VLOOKUP(A4,Ergebnis_je_Aktie_verwässert!A$3:AK$103,6,FALSE)&lt;&gt;"",IF(VLOOKUP(A4,Ergebnis_je_Aktie_verwässert!A$3:AK$103,6,FALSE)&lt;=0,2,IF(VLOOKUP(A4,Dividende_je_Aktie!A$3:AM$103,6,FALSE)/VLOOKUP(A4,Ergebnis_je_Aktie_verwässert!A$3:AK$103,6,FALSE)&gt;=2,2,VLOOKUP(A4,Dividende_je_Aktie!A$3:AM$103,6,FALSE)/VLOOKUP(A4,Ergebnis_je_Aktie_verwässert!A$3:AK$103,6,FALSE))),""),"")</f>
        <v>0.62844036697247696</v>
      </c>
      <c r="G4" s="5">
        <f>IF(VLOOKUP(A4,Dividende_je_Aktie!A$3:AM$103,7,FALSE)&lt;&gt;"",IF(VLOOKUP(A4,Ergebnis_je_Aktie_verwässert!A$3:AK$103,7,FALSE)&lt;&gt;"",IF(VLOOKUP(A4,Ergebnis_je_Aktie_verwässert!A$3:AK$103,7,FALSE)&lt;=0,2,IF(VLOOKUP(A4,Dividende_je_Aktie!A$3:AM$103,7,FALSE)/VLOOKUP(A4,Ergebnis_je_Aktie_verwässert!A$3:AK$103,7,FALSE)&gt;=2,2,VLOOKUP(A4,Dividende_je_Aktie!A$3:AM$103,7,FALSE)/VLOOKUP(A4,Ergebnis_je_Aktie_verwässert!A$3:AK$103,7,FALSE))),""),"")</f>
        <v>0.64615384615384619</v>
      </c>
      <c r="H4" s="5">
        <f>IF(VLOOKUP(A4,Dividende_je_Aktie!A$3:AM$103,8,FALSE)&lt;&gt;"",IF(VLOOKUP(A4,Ergebnis_je_Aktie_verwässert!A$3:AK$103,8,FALSE)&lt;&gt;"",IF(VLOOKUP(A4,Ergebnis_je_Aktie_verwässert!A$3:AK$103,8,FALSE)&lt;=0,2,IF(VLOOKUP(A4,Dividende_je_Aktie!A$3:AM$103,8,FALSE)/VLOOKUP(A4,Ergebnis_je_Aktie_verwässert!A$3:AK$103,8,FALSE)&gt;=2,2,VLOOKUP(A4,Dividende_je_Aktie!A$3:AM$103,8,FALSE)/VLOOKUP(A4,Ergebnis_je_Aktie_verwässert!A$3:AK$103,8,FALSE))),""),"")</f>
        <v>0.70833333333333337</v>
      </c>
      <c r="I4" s="5">
        <f>IF(VLOOKUP(A4,Dividende_je_Aktie!A$3:AM$103,9,FALSE)&lt;&gt;"",IF(VLOOKUP(A4,Ergebnis_je_Aktie_verwässert!A$3:AK$103,9,FALSE)&lt;&gt;"",IF(VLOOKUP(A4,Ergebnis_je_Aktie_verwässert!A$3:AK$103,9,FALSE)&lt;=0,2,IF(VLOOKUP(A4,Dividende_je_Aktie!A$3:AM$103,9,FALSE)/VLOOKUP(A4,Ergebnis_je_Aktie_verwässert!A$3:AK$103,9,FALSE)&gt;=2,2,VLOOKUP(A4,Dividende_je_Aktie!A$3:AM$103,9,FALSE)/VLOOKUP(A4,Ergebnis_je_Aktie_verwässert!A$3:AK$103,9,FALSE))),""),"")</f>
        <v>0.63181818181818172</v>
      </c>
      <c r="J4" s="5">
        <f>IF(VLOOKUP(A4,Dividende_je_Aktie!A$3:AM$103,10,FALSE)&lt;&gt;"",IF(VLOOKUP(A4,Ergebnis_je_Aktie_verwässert!A$3:AK$103,10,FALSE)&lt;&gt;"",IF(VLOOKUP(A4,Ergebnis_je_Aktie_verwässert!A$3:AK$103,10,FALSE)&lt;=0,2,IF(VLOOKUP(A4,Dividende_je_Aktie!A$3:AM$103,10,FALSE)/VLOOKUP(A4,Ergebnis_je_Aktie_verwässert!A$3:AK$103,10,FALSE)&gt;=2,2,VLOOKUP(A4,Dividende_je_Aktie!A$3:AM$103,10,FALSE)/VLOOKUP(A4,Ergebnis_je_Aktie_verwässert!A$3:AK$103,10,FALSE))),""),"")</f>
        <v>0.63273340832395941</v>
      </c>
      <c r="K4" s="5">
        <f>IF(VLOOKUP(A4,Dividende_je_Aktie!A$3:AM$103,11,FALSE)&lt;&gt;"",IF(VLOOKUP(A4,Ergebnis_je_Aktie_verwässert!A$3:AK$103,11,FALSE)&lt;&gt;"",IF(VLOOKUP(A4,Ergebnis_je_Aktie_verwässert!A$3:AK$103,11,FALSE)&lt;=0,2,IF(VLOOKUP(A4,Dividende_je_Aktie!A$3:AM$103,11,FALSE)/VLOOKUP(A4,Ergebnis_je_Aktie_verwässert!A$3:AK$103,11,FALSE)&gt;=2,2,VLOOKUP(A4,Dividende_je_Aktie!A$3:AM$103,11,FALSE)/VLOOKUP(A4,Ergebnis_je_Aktie_verwässert!A$3:AK$103,11,FALSE))),""),"")</f>
        <v>0.51082677165354329</v>
      </c>
      <c r="L4" s="5">
        <f>IF(VLOOKUP(A4,Dividende_je_Aktie!A$3:AM$103,12,FALSE)&lt;&gt;"",IF(VLOOKUP(A4,Ergebnis_je_Aktie_verwässert!A$3:AK$103,12,FALSE)&lt;&gt;"",IF(VLOOKUP(A4,Ergebnis_je_Aktie_verwässert!A$3:AK$103,12,FALSE)&lt;=0,2,IF(VLOOKUP(A4,Dividende_je_Aktie!A$3:AM$103,12,FALSE)/VLOOKUP(A4,Ergebnis_je_Aktie_verwässert!A$3:AK$103,12,FALSE)&gt;=2,2,VLOOKUP(A4,Dividende_je_Aktie!A$3:AM$103,12,FALSE)/VLOOKUP(A4,Ergebnis_je_Aktie_verwässert!A$3:AK$103,12,FALSE))),""),"")</f>
        <v>0.50953206239168114</v>
      </c>
      <c r="M4" s="5">
        <f>IF(VLOOKUP(A4,Dividende_je_Aktie!A$3:AM$103,13,FALSE)&lt;&gt;"",IF(VLOOKUP(A4,Ergebnis_je_Aktie_verwässert!A$3:AK$103,13,FALSE)&lt;&gt;"",IF(VLOOKUP(A4,Ergebnis_je_Aktie_verwässert!A$3:AK$103,13,FALSE)&lt;=0,2,IF(VLOOKUP(A4,Dividende_je_Aktie!A$3:AM$103,13,FALSE)/VLOOKUP(A4,Ergebnis_je_Aktie_verwässert!A$3:AK$103,13,FALSE)&gt;=2,2,VLOOKUP(A4,Dividende_je_Aktie!A$3:AM$103,13,FALSE)/VLOOKUP(A4,Ergebnis_je_Aktie_verwässert!A$3:AK$103,13,FALSE))),""),"")</f>
        <v>0.50967311541027349</v>
      </c>
      <c r="N4" s="5">
        <f>IF(VLOOKUP(A4,Dividende_je_Aktie!A$3:AM$103,14,FALSE)&lt;&gt;"",IF(VLOOKUP(A4,Ergebnis_je_Aktie_verwässert!A$3:AK$103,14,FALSE)&lt;&gt;"",IF(VLOOKUP(A4,Ergebnis_je_Aktie_verwässert!A$3:AK$103,14,FALSE)&lt;=0,2,IF(VLOOKUP(A4,Dividende_je_Aktie!A$3:AM$103,14,FALSE)/VLOOKUP(A4,Ergebnis_je_Aktie_verwässert!A$3:AK$103,14,FALSE)&gt;=2,2,VLOOKUP(A4,Dividende_je_Aktie!A$3:AM$103,14,FALSE)/VLOOKUP(A4,Ergebnis_je_Aktie_verwässert!A$3:AK$103,14,FALSE))),""),"")</f>
        <v>0.38372093023255816</v>
      </c>
      <c r="O4" s="5">
        <f>IF(VLOOKUP(A4,Dividende_je_Aktie!A$3:AM$103,15,FALSE)&lt;&gt;"",IF(VLOOKUP(A4,Ergebnis_je_Aktie_verwässert!A$3:AK$103,15,FALSE)&lt;&gt;"",IF(VLOOKUP(A4,Ergebnis_je_Aktie_verwässert!A$3:AK$103,15,FALSE)&lt;=0,2,IF(VLOOKUP(A4,Dividende_je_Aktie!A$3:AM$103,15,FALSE)/VLOOKUP(A4,Ergebnis_je_Aktie_verwässert!A$3:AK$103,15,FALSE)&gt;=2,2,VLOOKUP(A4,Dividende_je_Aktie!A$3:AM$103,15,FALSE)/VLOOKUP(A4,Ergebnis_je_Aktie_verwässert!A$3:AK$103,15,FALSE))),""),"")</f>
        <v>0.36021872863978122</v>
      </c>
      <c r="P4" s="5">
        <f>IF(VLOOKUP(A4,Dividende_je_Aktie!A$3:AM$103,16,FALSE)&lt;&gt;"",IF(VLOOKUP(A4,Ergebnis_je_Aktie_verwässert!A$3:AK$103,16,FALSE)&lt;&gt;"",IF(VLOOKUP(A4,Ergebnis_je_Aktie_verwässert!A$3:AK$103,16,FALSE)&lt;=0,2,IF(VLOOKUP(A4,Dividende_je_Aktie!A$3:AM$103,16,FALSE)/VLOOKUP(A4,Ergebnis_je_Aktie_verwässert!A$3:AK$103,16,FALSE)&gt;=2,2,VLOOKUP(A4,Dividende_je_Aktie!A$3:AM$103,16,FALSE)/VLOOKUP(A4,Ergebnis_je_Aktie_verwässert!A$3:AK$103,16,FALSE))),""),"")</f>
        <v>0.41681260945709281</v>
      </c>
      <c r="Q4" s="5">
        <f>IF(VLOOKUP(A4,Dividende_je_Aktie!A$3:AM$103,17,FALSE)&lt;&gt;"",IF(VLOOKUP(A4,Ergebnis_je_Aktie_verwässert!A$3:AK$103,17,FALSE)&lt;&gt;"",IF(VLOOKUP(A4,Ergebnis_je_Aktie_verwässert!A$3:AK$103,17,FALSE)&lt;=0,2,IF(VLOOKUP(A4,Dividende_je_Aktie!A$3:AM$103,17,FALSE)/VLOOKUP(A4,Ergebnis_je_Aktie_verwässert!A$3:AK$103,17,FALSE)&gt;=2,2,VLOOKUP(A4,Dividende_je_Aktie!A$3:AM$103,17,FALSE)/VLOOKUP(A4,Ergebnis_je_Aktie_verwässert!A$3:AK$103,17,FALSE))),""),"")</f>
        <v>0.41574803149606304</v>
      </c>
      <c r="R4" s="5">
        <f>IF(VLOOKUP(A4,Dividende_je_Aktie!A$3:AM$103,18,FALSE)&lt;&gt;"",IF(VLOOKUP(A4,Ergebnis_je_Aktie_verwässert!A$3:AK$103,18,FALSE)&lt;&gt;"",IF(VLOOKUP(A4,Ergebnis_je_Aktie_verwässert!A$3:AK$103,18,FALSE)&lt;=0,2,IF(VLOOKUP(A4,Dividende_je_Aktie!A$3:AM$103,18,FALSE)/VLOOKUP(A4,Ergebnis_je_Aktie_verwässert!A$3:AK$103,18,FALSE)&gt;=2,2,VLOOKUP(A4,Dividende_je_Aktie!A$3:AM$103,18,FALSE)/VLOOKUP(A4,Ergebnis_je_Aktie_verwässert!A$3:AK$103,18,FALSE))),""),"")</f>
        <v>0.53833605220228387</v>
      </c>
      <c r="S4" s="10">
        <f t="shared" ref="S4:S35" si="0">AVERAGE(F4:R4)</f>
        <v>0.53018057216039038</v>
      </c>
      <c r="T4" s="4">
        <f t="shared" ref="T4:T35" ca="1" si="1">IF(DAYS360(TODAY(),DATE(E4+2,D4,C4))&gt;=720,0,360-U4)</f>
        <v>0</v>
      </c>
      <c r="U4" s="4">
        <f t="shared" ref="U4:U35" ca="1" si="2">IF(DAYS360(TODAY(),DATE(E4+1,D4,C4))&lt;=360,DAYS360(TODAY(),DATE(E4+1,D4,C4)),360-V4)</f>
        <v>122</v>
      </c>
      <c r="V4" s="4">
        <f t="shared" ref="V4:V35" ca="1" si="3">IF(DATE(E4,D4,C4)&lt;=TODAY(),0,DAYS360(TODAY(),DATE(E4,D4,C4)))</f>
        <v>238</v>
      </c>
      <c r="W4" s="10">
        <f t="shared" ref="W4:W35" ca="1" si="4">IF(T4&gt;0,(F4/360*T4)+(G4/360*U4)+(H4/360*V4),(G4/360*U4)+(H4/360*V4))</f>
        <v>0.68726139601139602</v>
      </c>
      <c r="X4" s="5">
        <f t="shared" ref="X4:X35" ca="1" si="5">(W4/S4)-1</f>
        <v>0.29627797037324388</v>
      </c>
    </row>
    <row r="5" spans="1:24" x14ac:dyDescent="0.25">
      <c r="A5" t="s">
        <v>2</v>
      </c>
      <c r="B5" t="s">
        <v>3</v>
      </c>
      <c r="C5" s="56">
        <v>31</v>
      </c>
      <c r="D5" s="56">
        <v>12</v>
      </c>
      <c r="E5" s="56">
        <v>2015</v>
      </c>
      <c r="F5" s="5">
        <f>IF(VLOOKUP(A5,Dividende_je_Aktie!A$3:AM$103,6,FALSE)&lt;&gt;"",IF(VLOOKUP(A5,Ergebnis_je_Aktie_verwässert!A$3:AK$103,6,FALSE)&lt;&gt;"",IF(VLOOKUP(A5,Ergebnis_je_Aktie_verwässert!A$3:AK$103,6,FALSE)&lt;=0,2,IF(VLOOKUP(A5,Dividende_je_Aktie!A$3:AM$103,6,FALSE)/VLOOKUP(A5,Ergebnis_je_Aktie_verwässert!A$3:AK$103,6,FALSE)&gt;=2,2,VLOOKUP(A5,Dividende_je_Aktie!A$3:AM$103,6,FALSE)/VLOOKUP(A5,Ergebnis_je_Aktie_verwässert!A$3:AK$103,6,FALSE))),""),"")</f>
        <v>0.62643678160919547</v>
      </c>
      <c r="G5" s="5">
        <f>IF(VLOOKUP(A5,Dividende_je_Aktie!A$3:AM$103,7,FALSE)&lt;&gt;"",IF(VLOOKUP(A5,Ergebnis_je_Aktie_verwässert!A$3:AK$103,7,FALSE)&lt;&gt;"",IF(VLOOKUP(A5,Ergebnis_je_Aktie_verwässert!A$3:AK$103,7,FALSE)&lt;=0,2,IF(VLOOKUP(A5,Dividende_je_Aktie!A$3:AM$103,7,FALSE)/VLOOKUP(A5,Ergebnis_je_Aktie_verwässert!A$3:AK$103,7,FALSE)&gt;=2,2,VLOOKUP(A5,Dividende_je_Aktie!A$3:AM$103,7,FALSE)/VLOOKUP(A5,Ergebnis_je_Aktie_verwässert!A$3:AK$103,7,FALSE))),""),"")</f>
        <v>0.65555555555555556</v>
      </c>
      <c r="H5" s="5">
        <f>IF(VLOOKUP(A5,Dividende_je_Aktie!A$3:AM$103,8,FALSE)&lt;&gt;"",IF(VLOOKUP(A5,Ergebnis_je_Aktie_verwässert!A$3:AK$103,8,FALSE)&lt;&gt;"",IF(VLOOKUP(A5,Ergebnis_je_Aktie_verwässert!A$3:AK$103,8,FALSE)&lt;=0,2,IF(VLOOKUP(A5,Dividende_je_Aktie!A$3:AM$103,8,FALSE)/VLOOKUP(A5,Ergebnis_je_Aktie_verwässert!A$3:AK$103,8,FALSE)&gt;=2,2,VLOOKUP(A5,Dividende_je_Aktie!A$3:AM$103,8,FALSE)/VLOOKUP(A5,Ergebnis_je_Aktie_verwässert!A$3:AK$103,8,FALSE))),""),"")</f>
        <v>0.47758620689655173</v>
      </c>
      <c r="I5" s="5">
        <f>IF(VLOOKUP(A5,Dividende_je_Aktie!A$3:AM$103,9,FALSE)&lt;&gt;"",IF(VLOOKUP(A5,Ergebnis_je_Aktie_verwässert!A$3:AK$103,9,FALSE)&lt;&gt;"",IF(VLOOKUP(A5,Ergebnis_je_Aktie_verwässert!A$3:AK$103,9,FALSE)&lt;=0,2,IF(VLOOKUP(A5,Dividende_je_Aktie!A$3:AM$103,9,FALSE)/VLOOKUP(A5,Ergebnis_je_Aktie_verwässert!A$3:AK$103,9,FALSE)&gt;=2,2,VLOOKUP(A5,Dividende_je_Aktie!A$3:AM$103,9,FALSE)/VLOOKUP(A5,Ergebnis_je_Aktie_verwässert!A$3:AK$103,9,FALSE))),""),"")</f>
        <v>0.61020881670533644</v>
      </c>
      <c r="J5" s="5">
        <f>IF(VLOOKUP(A5,Dividende_je_Aktie!A$3:AM$103,10,FALSE)&lt;&gt;"",IF(VLOOKUP(A5,Ergebnis_je_Aktie_verwässert!A$3:AK$103,10,FALSE)&lt;&gt;"",IF(VLOOKUP(A5,Ergebnis_je_Aktie_verwässert!A$3:AK$103,10,FALSE)&lt;=0,2,IF(VLOOKUP(A5,Dividende_je_Aktie!A$3:AM$103,10,FALSE)/VLOOKUP(A5,Ergebnis_je_Aktie_verwässert!A$3:AK$103,10,FALSE)&gt;=2,2,VLOOKUP(A5,Dividende_je_Aktie!A$3:AM$103,10,FALSE)/VLOOKUP(A5,Ergebnis_je_Aktie_verwässert!A$3:AK$103,10,FALSE))),""),"")</f>
        <v>0.74864864864864866</v>
      </c>
      <c r="K5" s="5">
        <f>IF(VLOOKUP(A5,Dividende_je_Aktie!A$3:AM$103,11,FALSE)&lt;&gt;"",IF(VLOOKUP(A5,Ergebnis_je_Aktie_verwässert!A$3:AK$103,11,FALSE)&lt;&gt;"",IF(VLOOKUP(A5,Ergebnis_je_Aktie_verwässert!A$3:AK$103,11,FALSE)&lt;=0,2,IF(VLOOKUP(A5,Dividende_je_Aktie!A$3:AM$103,11,FALSE)/VLOOKUP(A5,Ergebnis_je_Aktie_verwässert!A$3:AK$103,11,FALSE)&gt;=2,2,VLOOKUP(A5,Dividende_je_Aktie!A$3:AM$103,11,FALSE)/VLOOKUP(A5,Ergebnis_je_Aktie_verwässert!A$3:AK$103,11,FALSE))),""),"")</f>
        <v>0.634961439588689</v>
      </c>
      <c r="L5" s="5">
        <f>IF(VLOOKUP(A5,Dividende_je_Aktie!A$3:AM$103,12,FALSE)&lt;&gt;"",IF(VLOOKUP(A5,Ergebnis_je_Aktie_verwässert!A$3:AK$103,12,FALSE)&lt;&gt;"",IF(VLOOKUP(A5,Ergebnis_je_Aktie_verwässert!A$3:AK$103,12,FALSE)&lt;=0,2,IF(VLOOKUP(A5,Dividende_je_Aktie!A$3:AM$103,12,FALSE)/VLOOKUP(A5,Ergebnis_je_Aktie_verwässert!A$3:AK$103,12,FALSE)&gt;=2,2,VLOOKUP(A5,Dividende_je_Aktie!A$3:AM$103,12,FALSE)/VLOOKUP(A5,Ergebnis_je_Aktie_verwässert!A$3:AK$103,12,FALSE))),""),"")</f>
        <v>0.64021164021164023</v>
      </c>
      <c r="M5" s="5">
        <f>IF(VLOOKUP(A5,Dividende_je_Aktie!A$3:AM$103,13,FALSE)&lt;&gt;"",IF(VLOOKUP(A5,Ergebnis_je_Aktie_verwässert!A$3:AK$103,13,FALSE)&lt;&gt;"",IF(VLOOKUP(A5,Ergebnis_je_Aktie_verwässert!A$3:AK$103,13,FALSE)&lt;=0,2,IF(VLOOKUP(A5,Dividende_je_Aktie!A$3:AM$103,13,FALSE)/VLOOKUP(A5,Ergebnis_je_Aktie_verwässert!A$3:AK$103,13,FALSE)&gt;=2,2,VLOOKUP(A5,Dividende_je_Aktie!A$3:AM$103,13,FALSE)/VLOOKUP(A5,Ergebnis_je_Aktie_verwässert!A$3:AK$103,13,FALSE))),""),"")</f>
        <v>0.54929577464788737</v>
      </c>
      <c r="N5" s="5">
        <f>IF(VLOOKUP(A5,Dividende_je_Aktie!A$3:AM$103,14,FALSE)&lt;&gt;"",IF(VLOOKUP(A5,Ergebnis_je_Aktie_verwässert!A$3:AK$103,14,FALSE)&lt;&gt;"",IF(VLOOKUP(A5,Ergebnis_je_Aktie_verwässert!A$3:AK$103,14,FALSE)&lt;=0,2,IF(VLOOKUP(A5,Dividende_je_Aktie!A$3:AM$103,14,FALSE)/VLOOKUP(A5,Ergebnis_je_Aktie_verwässert!A$3:AK$103,14,FALSE)&gt;=2,2,VLOOKUP(A5,Dividende_je_Aktie!A$3:AM$103,14,FALSE)/VLOOKUP(A5,Ergebnis_je_Aktie_verwässert!A$3:AK$103,14,FALSE))),""),"")</f>
        <v>0.54742547425474253</v>
      </c>
      <c r="O5" s="5">
        <f>IF(VLOOKUP(A5,Dividende_je_Aktie!A$3:AM$103,15,FALSE)&lt;&gt;"",IF(VLOOKUP(A5,Ergebnis_je_Aktie_verwässert!A$3:AK$103,15,FALSE)&lt;&gt;"",IF(VLOOKUP(A5,Ergebnis_je_Aktie_verwässert!A$3:AK$103,15,FALSE)&lt;=0,2,IF(VLOOKUP(A5,Dividende_je_Aktie!A$3:AM$103,15,FALSE)/VLOOKUP(A5,Ergebnis_je_Aktie_verwässert!A$3:AK$103,15,FALSE)&gt;=2,2,VLOOKUP(A5,Dividende_je_Aktie!A$3:AM$103,15,FALSE)/VLOOKUP(A5,Ergebnis_je_Aktie_verwässert!A$3:AK$103,15,FALSE))),""),"")</f>
        <v>0.52646239554317553</v>
      </c>
      <c r="P5" s="5">
        <f>IF(VLOOKUP(A5,Dividende_je_Aktie!A$3:AM$103,16,FALSE)&lt;&gt;"",IF(VLOOKUP(A5,Ergebnis_je_Aktie_verwässert!A$3:AK$103,16,FALSE)&lt;&gt;"",IF(VLOOKUP(A5,Ergebnis_je_Aktie_verwässert!A$3:AK$103,16,FALSE)&lt;=0,2,IF(VLOOKUP(A5,Dividende_je_Aktie!A$3:AM$103,16,FALSE)/VLOOKUP(A5,Ergebnis_je_Aktie_verwässert!A$3:AK$103,16,FALSE)&gt;=2,2,VLOOKUP(A5,Dividende_je_Aktie!A$3:AM$103,16,FALSE)/VLOOKUP(A5,Ergebnis_je_Aktie_verwässert!A$3:AK$103,16,FALSE))),""),"")</f>
        <v>0.50533807829181487</v>
      </c>
      <c r="Q5" s="5">
        <f>IF(VLOOKUP(A5,Dividende_je_Aktie!A$3:AM$103,17,FALSE)&lt;&gt;"",IF(VLOOKUP(A5,Ergebnis_je_Aktie_verwässert!A$3:AK$103,17,FALSE)&lt;&gt;"",IF(VLOOKUP(A5,Ergebnis_je_Aktie_verwässert!A$3:AK$103,17,FALSE)&lt;=0,2,IF(VLOOKUP(A5,Dividende_je_Aktie!A$3:AM$103,17,FALSE)/VLOOKUP(A5,Ergebnis_je_Aktie_verwässert!A$3:AK$103,17,FALSE)&gt;=2,2,VLOOKUP(A5,Dividende_je_Aktie!A$3:AM$103,17,FALSE)/VLOOKUP(A5,Ergebnis_je_Aktie_verwässert!A$3:AK$103,17,FALSE))),""),"")</f>
        <v>0.36513157894736847</v>
      </c>
      <c r="R5" s="5">
        <f>IF(VLOOKUP(A5,Dividende_je_Aktie!A$3:AM$103,18,FALSE)&lt;&gt;"",IF(VLOOKUP(A5,Ergebnis_je_Aktie_verwässert!A$3:AK$103,18,FALSE)&lt;&gt;"",IF(VLOOKUP(A5,Ergebnis_je_Aktie_verwässert!A$3:AK$103,18,FALSE)&lt;=0,2,IF(VLOOKUP(A5,Dividende_je_Aktie!A$3:AM$103,18,FALSE)/VLOOKUP(A5,Ergebnis_je_Aktie_verwässert!A$3:AK$103,18,FALSE)&gt;=2,2,VLOOKUP(A5,Dividende_je_Aktie!A$3:AM$103,18,FALSE)/VLOOKUP(A5,Ergebnis_je_Aktie_verwässert!A$3:AK$103,18,FALSE))),""),"")</f>
        <v>0.33587786259541985</v>
      </c>
      <c r="S5" s="10">
        <f t="shared" si="0"/>
        <v>0.55562617334584818</v>
      </c>
      <c r="T5" s="4">
        <f t="shared" ca="1" si="1"/>
        <v>0</v>
      </c>
      <c r="U5" s="4">
        <f t="shared" ca="1" si="2"/>
        <v>122</v>
      </c>
      <c r="V5" s="4">
        <f t="shared" ca="1" si="3"/>
        <v>238</v>
      </c>
      <c r="W5" s="10">
        <f t="shared" ca="1" si="4"/>
        <v>0.53789804171988076</v>
      </c>
      <c r="X5" s="5">
        <f t="shared" ca="1" si="5"/>
        <v>-3.1906581216671004E-2</v>
      </c>
    </row>
    <row r="6" spans="1:24" x14ac:dyDescent="0.25">
      <c r="A6" t="s">
        <v>4</v>
      </c>
      <c r="B6" t="s">
        <v>5</v>
      </c>
      <c r="C6" s="56">
        <v>31</v>
      </c>
      <c r="D6" s="56">
        <v>12</v>
      </c>
      <c r="E6" s="56">
        <v>2015</v>
      </c>
      <c r="F6" s="5">
        <f>IF(VLOOKUP(A6,Dividende_je_Aktie!A$3:AM$103,6,FALSE)&lt;&gt;"",IF(VLOOKUP(A6,Ergebnis_je_Aktie_verwässert!A$3:AK$103,6,FALSE)&lt;&gt;"",IF(VLOOKUP(A6,Ergebnis_je_Aktie_verwässert!A$3:AK$103,6,FALSE)&lt;=0,2,IF(VLOOKUP(A6,Dividende_je_Aktie!A$3:AM$103,6,FALSE)/VLOOKUP(A6,Ergebnis_je_Aktie_verwässert!A$3:AK$103,6,FALSE)&gt;=2,2,VLOOKUP(A6,Dividende_je_Aktie!A$3:AM$103,6,FALSE)/VLOOKUP(A6,Ergebnis_je_Aktie_verwässert!A$3:AK$103,6,FALSE))),""),"")</f>
        <v>0.61806451612903224</v>
      </c>
      <c r="G6" s="5">
        <f>IF(VLOOKUP(A6,Dividende_je_Aktie!A$3:AM$103,7,FALSE)&lt;&gt;"",IF(VLOOKUP(A6,Ergebnis_je_Aktie_verwässert!A$3:AK$103,7,FALSE)&lt;&gt;"",IF(VLOOKUP(A6,Ergebnis_je_Aktie_verwässert!A$3:AK$103,7,FALSE)&lt;=0,2,IF(VLOOKUP(A6,Dividende_je_Aktie!A$3:AM$103,7,FALSE)/VLOOKUP(A6,Ergebnis_je_Aktie_verwässert!A$3:AK$103,7,FALSE)&gt;=2,2,VLOOKUP(A6,Dividende_je_Aktie!A$3:AM$103,7,FALSE)/VLOOKUP(A6,Ergebnis_je_Aktie_verwässert!A$3:AK$103,7,FALSE))),""),"")</f>
        <v>0.61095890410958908</v>
      </c>
      <c r="H6" s="5">
        <f>IF(VLOOKUP(A6,Dividende_je_Aktie!A$3:AM$103,8,FALSE)&lt;&gt;"",IF(VLOOKUP(A6,Ergebnis_je_Aktie_verwässert!A$3:AK$103,8,FALSE)&lt;&gt;"",IF(VLOOKUP(A6,Ergebnis_je_Aktie_verwässert!A$3:AK$103,8,FALSE)&lt;=0,2,IF(VLOOKUP(A6,Dividende_je_Aktie!A$3:AM$103,8,FALSE)/VLOOKUP(A6,Ergebnis_je_Aktie_verwässert!A$3:AK$103,8,FALSE)&gt;=2,2,VLOOKUP(A6,Dividende_je_Aktie!A$3:AM$103,8,FALSE)/VLOOKUP(A6,Ergebnis_je_Aktie_verwässert!A$3:AK$103,8,FALSE))),""),"")</f>
        <v>0.62611940298507462</v>
      </c>
      <c r="I6" s="5">
        <f>IF(VLOOKUP(A6,Dividende_je_Aktie!A$3:AM$103,9,FALSE)&lt;&gt;"",IF(VLOOKUP(A6,Ergebnis_je_Aktie_verwässert!A$3:AK$103,9,FALSE)&lt;&gt;"",IF(VLOOKUP(A6,Ergebnis_je_Aktie_verwässert!A$3:AK$103,9,FALSE)&lt;=0,2,IF(VLOOKUP(A6,Dividende_je_Aktie!A$3:AM$103,9,FALSE)/VLOOKUP(A6,Ergebnis_je_Aktie_verwässert!A$3:AK$103,9,FALSE)&gt;=2,2,VLOOKUP(A6,Dividende_je_Aktie!A$3:AM$103,9,FALSE)/VLOOKUP(A6,Ergebnis_je_Aktie_verwässert!A$3:AK$103,9,FALSE))),""),"")</f>
        <v>0.74005550416281218</v>
      </c>
      <c r="J6" s="5">
        <f>IF(VLOOKUP(A6,Dividende_je_Aktie!A$3:AM$103,10,FALSE)&lt;&gt;"",IF(VLOOKUP(A6,Ergebnis_je_Aktie_verwässert!A$3:AK$103,10,FALSE)&lt;&gt;"",IF(VLOOKUP(A6,Ergebnis_je_Aktie_verwässert!A$3:AK$103,10,FALSE)&lt;=0,2,IF(VLOOKUP(A6,Dividende_je_Aktie!A$3:AM$103,10,FALSE)/VLOOKUP(A6,Ergebnis_je_Aktie_verwässert!A$3:AK$103,10,FALSE)&gt;=2,2,VLOOKUP(A6,Dividende_je_Aktie!A$3:AM$103,10,FALSE)/VLOOKUP(A6,Ergebnis_je_Aktie_verwässert!A$3:AK$103,10,FALSE))),""),"")</f>
        <v>0.60324825986078889</v>
      </c>
      <c r="K6" s="5">
        <f>IF(VLOOKUP(A6,Dividende_je_Aktie!A$3:AM$103,11,FALSE)&lt;&gt;"",IF(VLOOKUP(A6,Ergebnis_je_Aktie_verwässert!A$3:AK$103,11,FALSE)&lt;&gt;"",IF(VLOOKUP(A6,Ergebnis_je_Aktie_verwässert!A$3:AK$103,11,FALSE)&lt;=0,2,IF(VLOOKUP(A6,Dividende_je_Aktie!A$3:AM$103,11,FALSE)/VLOOKUP(A6,Ergebnis_je_Aktie_verwässert!A$3:AK$103,11,FALSE)&gt;=2,2,VLOOKUP(A6,Dividende_je_Aktie!A$3:AM$103,11,FALSE)/VLOOKUP(A6,Ergebnis_je_Aktie_verwässert!A$3:AK$103,11,FALSE))),""),"")</f>
        <v>0.65860215053763438</v>
      </c>
      <c r="L6" s="5">
        <f>IF(VLOOKUP(A6,Dividende_je_Aktie!A$3:AM$103,12,FALSE)&lt;&gt;"",IF(VLOOKUP(A6,Ergebnis_je_Aktie_verwässert!A$3:AK$103,12,FALSE)&lt;&gt;"",IF(VLOOKUP(A6,Ergebnis_je_Aktie_verwässert!A$3:AK$103,12,FALSE)&lt;=0,2,IF(VLOOKUP(A6,Dividende_je_Aktie!A$3:AM$103,12,FALSE)/VLOOKUP(A6,Ergebnis_je_Aktie_verwässert!A$3:AK$103,12,FALSE)&gt;=2,2,VLOOKUP(A6,Dividende_je_Aktie!A$3:AM$103,12,FALSE)/VLOOKUP(A6,Ergebnis_je_Aktie_verwässert!A$3:AK$103,12,FALSE))),""),"")</f>
        <v>0.61930783242258647</v>
      </c>
      <c r="M6" s="5">
        <f>IF(VLOOKUP(A6,Dividende_je_Aktie!A$3:AM$103,13,FALSE)&lt;&gt;"",IF(VLOOKUP(A6,Ergebnis_je_Aktie_verwässert!A$3:AK$103,13,FALSE)&lt;&gt;"",IF(VLOOKUP(A6,Ergebnis_je_Aktie_verwässert!A$3:AK$103,13,FALSE)&lt;=0,2,IF(VLOOKUP(A6,Dividende_je_Aktie!A$3:AM$103,13,FALSE)/VLOOKUP(A6,Ergebnis_je_Aktie_verwässert!A$3:AK$103,13,FALSE)&gt;=2,2,VLOOKUP(A6,Dividende_je_Aktie!A$3:AM$103,13,FALSE)/VLOOKUP(A6,Ergebnis_je_Aktie_verwässert!A$3:AK$103,13,FALSE))),""),"")</f>
        <v>0.65281899109792285</v>
      </c>
      <c r="N6" s="5">
        <f>IF(VLOOKUP(A6,Dividende_je_Aktie!A$3:AM$103,14,FALSE)&lt;&gt;"",IF(VLOOKUP(A6,Ergebnis_je_Aktie_verwässert!A$3:AK$103,14,FALSE)&lt;&gt;"",IF(VLOOKUP(A6,Ergebnis_je_Aktie_verwässert!A$3:AK$103,14,FALSE)&lt;=0,2,IF(VLOOKUP(A6,Dividende_je_Aktie!A$3:AM$103,14,FALSE)/VLOOKUP(A6,Ergebnis_je_Aktie_verwässert!A$3:AK$103,14,FALSE)&gt;=2,2,VLOOKUP(A6,Dividende_je_Aktie!A$3:AM$103,14,FALSE)/VLOOKUP(A6,Ergebnis_je_Aktie_verwässert!A$3:AK$103,14,FALSE))),""),"")</f>
        <v>0.66518847006651893</v>
      </c>
      <c r="O6" s="5">
        <f>IF(VLOOKUP(A6,Dividende_je_Aktie!A$3:AM$103,15,FALSE)&lt;&gt;"",IF(VLOOKUP(A6,Ergebnis_je_Aktie_verwässert!A$3:AK$103,15,FALSE)&lt;&gt;"",IF(VLOOKUP(A6,Ergebnis_je_Aktie_verwässert!A$3:AK$103,15,FALSE)&lt;=0,2,IF(VLOOKUP(A6,Dividende_je_Aktie!A$3:AM$103,15,FALSE)/VLOOKUP(A6,Ergebnis_je_Aktie_verwässert!A$3:AK$103,15,FALSE)&gt;=2,2,VLOOKUP(A6,Dividende_je_Aktie!A$3:AM$103,15,FALSE)/VLOOKUP(A6,Ergebnis_je_Aktie_verwässert!A$3:AK$103,15,FALSE))),""),"")</f>
        <v>0.48875855327468226</v>
      </c>
      <c r="P6" s="5">
        <f>IF(VLOOKUP(A6,Dividende_je_Aktie!A$3:AM$103,16,FALSE)&lt;&gt;"",IF(VLOOKUP(A6,Ergebnis_je_Aktie_verwässert!A$3:AK$103,16,FALSE)&lt;&gt;"",IF(VLOOKUP(A6,Ergebnis_je_Aktie_verwässert!A$3:AK$103,16,FALSE)&lt;=0,2,IF(VLOOKUP(A6,Dividende_je_Aktie!A$3:AM$103,16,FALSE)/VLOOKUP(A6,Ergebnis_je_Aktie_verwässert!A$3:AK$103,16,FALSE)&gt;=2,2,VLOOKUP(A6,Dividende_je_Aktie!A$3:AM$103,16,FALSE)/VLOOKUP(A6,Ergebnis_je_Aktie_verwässert!A$3:AK$103,16,FALSE))),""),"")</f>
        <v>0.41218637992831536</v>
      </c>
      <c r="Q6" s="5">
        <f>IF(VLOOKUP(A6,Dividende_je_Aktie!A$3:AM$103,17,FALSE)&lt;&gt;"",IF(VLOOKUP(A6,Ergebnis_je_Aktie_verwässert!A$3:AK$103,17,FALSE)&lt;&gt;"",IF(VLOOKUP(A6,Ergebnis_je_Aktie_verwässert!A$3:AK$103,17,FALSE)&lt;=0,2,IF(VLOOKUP(A6,Dividende_je_Aktie!A$3:AM$103,17,FALSE)/VLOOKUP(A6,Ergebnis_je_Aktie_verwässert!A$3:AK$103,17,FALSE)&gt;=2,2,VLOOKUP(A6,Dividende_je_Aktie!A$3:AM$103,17,FALSE)/VLOOKUP(A6,Ergebnis_je_Aktie_verwässert!A$3:AK$103,17,FALSE))),""),"")</f>
        <v>0.37569060773480661</v>
      </c>
      <c r="R6" s="5">
        <f>IF(VLOOKUP(A6,Dividende_je_Aktie!A$3:AM$103,18,FALSE)&lt;&gt;"",IF(VLOOKUP(A6,Ergebnis_je_Aktie_verwässert!A$3:AK$103,18,FALSE)&lt;&gt;"",IF(VLOOKUP(A6,Ergebnis_je_Aktie_verwässert!A$3:AK$103,18,FALSE)&lt;=0,2,IF(VLOOKUP(A6,Dividende_je_Aktie!A$3:AM$103,18,FALSE)/VLOOKUP(A6,Ergebnis_je_Aktie_verwässert!A$3:AK$103,18,FALSE)&gt;=2,2,VLOOKUP(A6,Dividende_je_Aktie!A$3:AM$103,18,FALSE)/VLOOKUP(A6,Ergebnis_je_Aktie_verwässert!A$3:AK$103,18,FALSE))),""),"")</f>
        <v>0.37257824143070045</v>
      </c>
      <c r="S6" s="10">
        <f t="shared" si="0"/>
        <v>0.57258290874926654</v>
      </c>
      <c r="T6" s="4">
        <f t="shared" ca="1" si="1"/>
        <v>0</v>
      </c>
      <c r="U6" s="4">
        <f t="shared" ca="1" si="2"/>
        <v>122</v>
      </c>
      <c r="V6" s="4">
        <f t="shared" ca="1" si="3"/>
        <v>238</v>
      </c>
      <c r="W6" s="10">
        <f t="shared" ca="1" si="4"/>
        <v>0.62098167836616014</v>
      </c>
      <c r="X6" s="5">
        <f t="shared" ca="1" si="5"/>
        <v>8.4527094464999841E-2</v>
      </c>
    </row>
    <row r="7" spans="1:24" x14ac:dyDescent="0.25">
      <c r="A7" t="s">
        <v>6</v>
      </c>
      <c r="B7" t="s">
        <v>7</v>
      </c>
      <c r="C7" s="56">
        <v>31</v>
      </c>
      <c r="D7" s="56">
        <v>12</v>
      </c>
      <c r="E7" s="56">
        <v>2015</v>
      </c>
      <c r="F7" s="5">
        <f>IF(VLOOKUP(A7,Dividende_je_Aktie!A$3:AM$103,6,FALSE)&lt;&gt;"",IF(VLOOKUP(A7,Ergebnis_je_Aktie_verwässert!A$3:AK$103,6,FALSE)&lt;&gt;"",IF(VLOOKUP(A7,Ergebnis_je_Aktie_verwässert!A$3:AK$103,6,FALSE)&lt;=0,2,IF(VLOOKUP(A7,Dividende_je_Aktie!A$3:AM$103,6,FALSE)/VLOOKUP(A7,Ergebnis_je_Aktie_verwässert!A$3:AK$103,6,FALSE)&gt;=2,2,VLOOKUP(A7,Dividende_je_Aktie!A$3:AM$103,6,FALSE)/VLOOKUP(A7,Ergebnis_je_Aktie_verwässert!A$3:AK$103,6,FALSE))),""),"")</f>
        <v>0.64829396325459321</v>
      </c>
      <c r="G7" s="5">
        <f>IF(VLOOKUP(A7,Dividende_je_Aktie!A$3:AM$103,7,FALSE)&lt;&gt;"",IF(VLOOKUP(A7,Ergebnis_je_Aktie_verwässert!A$3:AK$103,7,FALSE)&lt;&gt;"",IF(VLOOKUP(A7,Ergebnis_je_Aktie_verwässert!A$3:AK$103,7,FALSE)&lt;=0,2,IF(VLOOKUP(A7,Dividende_je_Aktie!A$3:AM$103,7,FALSE)/VLOOKUP(A7,Ergebnis_je_Aktie_verwässert!A$3:AK$103,7,FALSE)&gt;=2,2,VLOOKUP(A7,Dividende_je_Aktie!A$3:AM$103,7,FALSE)/VLOOKUP(A7,Ergebnis_je_Aktie_verwässert!A$3:AK$103,7,FALSE))),""),"")</f>
        <v>0.66760563380281701</v>
      </c>
      <c r="H7" s="5">
        <f>IF(VLOOKUP(A7,Dividende_je_Aktie!A$3:AM$103,8,FALSE)&lt;&gt;"",IF(VLOOKUP(A7,Ergebnis_je_Aktie_verwässert!A$3:AK$103,8,FALSE)&lt;&gt;"",IF(VLOOKUP(A7,Ergebnis_je_Aktie_verwässert!A$3:AK$103,8,FALSE)&lt;=0,2,IF(VLOOKUP(A7,Dividende_je_Aktie!A$3:AM$103,8,FALSE)/VLOOKUP(A7,Ergebnis_je_Aktie_verwässert!A$3:AK$103,8,FALSE)&gt;=2,2,VLOOKUP(A7,Dividende_je_Aktie!A$3:AM$103,8,FALSE)/VLOOKUP(A7,Ergebnis_je_Aktie_verwässert!A$3:AK$103,8,FALSE))),""),"")</f>
        <v>0.67867867867867859</v>
      </c>
      <c r="I7" s="5">
        <f>IF(VLOOKUP(A7,Dividende_je_Aktie!A$3:AM$103,9,FALSE)&lt;&gt;"",IF(VLOOKUP(A7,Ergebnis_je_Aktie_verwässert!A$3:AK$103,9,FALSE)&lt;&gt;"",IF(VLOOKUP(A7,Ergebnis_je_Aktie_verwässert!A$3:AK$103,9,FALSE)&lt;=0,2,IF(VLOOKUP(A7,Dividende_je_Aktie!A$3:AM$103,9,FALSE)/VLOOKUP(A7,Ergebnis_je_Aktie_verwässert!A$3:AK$103,9,FALSE)&gt;=2,2,VLOOKUP(A7,Dividende_je_Aktie!A$3:AM$103,9,FALSE)/VLOOKUP(A7,Ergebnis_je_Aktie_verwässert!A$3:AK$103,9,FALSE))),""),"")</f>
        <v>1.291079812206573</v>
      </c>
      <c r="J7" s="5">
        <f>IF(VLOOKUP(A7,Dividende_je_Aktie!A$3:AM$103,10,FALSE)&lt;&gt;"",IF(VLOOKUP(A7,Ergebnis_je_Aktie_verwässert!A$3:AK$103,10,FALSE)&lt;&gt;"",IF(VLOOKUP(A7,Ergebnis_je_Aktie_verwässert!A$3:AK$103,10,FALSE)&lt;=0,2,IF(VLOOKUP(A7,Dividende_je_Aktie!A$3:AM$103,10,FALSE)/VLOOKUP(A7,Ergebnis_je_Aktie_verwässert!A$3:AK$103,10,FALSE)&gt;=2,2,VLOOKUP(A7,Dividende_je_Aktie!A$3:AM$103,10,FALSE)/VLOOKUP(A7,Ergebnis_je_Aktie_verwässert!A$3:AK$103,10,FALSE))),""),"")</f>
        <v>0.81377744133232399</v>
      </c>
      <c r="K7" s="5">
        <f>IF(VLOOKUP(A7,Dividende_je_Aktie!A$3:AM$103,11,FALSE)&lt;&gt;"",IF(VLOOKUP(A7,Ergebnis_je_Aktie_verwässert!A$3:AK$103,11,FALSE)&lt;&gt;"",IF(VLOOKUP(A7,Ergebnis_je_Aktie_verwässert!A$3:AK$103,11,FALSE)&lt;=0,2,IF(VLOOKUP(A7,Dividende_je_Aktie!A$3:AM$103,11,FALSE)/VLOOKUP(A7,Ergebnis_je_Aktie_verwässert!A$3:AK$103,11,FALSE)&gt;=2,2,VLOOKUP(A7,Dividende_je_Aktie!A$3:AM$103,11,FALSE)/VLOOKUP(A7,Ergebnis_je_Aktie_verwässert!A$3:AK$103,11,FALSE))),""),"")</f>
        <v>0.61746987951807231</v>
      </c>
      <c r="L7" s="5">
        <f>IF(VLOOKUP(A7,Dividende_je_Aktie!A$3:AM$103,12,FALSE)&lt;&gt;"",IF(VLOOKUP(A7,Ergebnis_je_Aktie_verwässert!A$3:AK$103,12,FALSE)&lt;&gt;"",IF(VLOOKUP(A7,Ergebnis_je_Aktie_verwässert!A$3:AK$103,12,FALSE)&lt;=0,2,IF(VLOOKUP(A7,Dividende_je_Aktie!A$3:AM$103,12,FALSE)/VLOOKUP(A7,Ergebnis_je_Aktie_verwässert!A$3:AK$103,12,FALSE)&gt;=2,2,VLOOKUP(A7,Dividende_je_Aktie!A$3:AM$103,12,FALSE)/VLOOKUP(A7,Ergebnis_je_Aktie_verwässert!A$3:AK$103,12,FALSE))),""),"")</f>
        <v>0.65878378378378377</v>
      </c>
      <c r="M7" s="5">
        <f>IF(VLOOKUP(A7,Dividende_je_Aktie!A$3:AM$103,13,FALSE)&lt;&gt;"",IF(VLOOKUP(A7,Ergebnis_je_Aktie_verwässert!A$3:AK$103,13,FALSE)&lt;&gt;"",IF(VLOOKUP(A7,Ergebnis_je_Aktie_verwässert!A$3:AK$103,13,FALSE)&lt;=0,2,IF(VLOOKUP(A7,Dividende_je_Aktie!A$3:AM$103,13,FALSE)/VLOOKUP(A7,Ergebnis_je_Aktie_verwässert!A$3:AK$103,13,FALSE)&gt;=2,2,VLOOKUP(A7,Dividende_je_Aktie!A$3:AM$103,13,FALSE)/VLOOKUP(A7,Ergebnis_je_Aktie_verwässert!A$3:AK$103,13,FALSE))),""),"")</f>
        <v>0.86854460093896724</v>
      </c>
      <c r="N7" s="5">
        <f>IF(VLOOKUP(A7,Dividende_je_Aktie!A$3:AM$103,14,FALSE)&lt;&gt;"",IF(VLOOKUP(A7,Ergebnis_je_Aktie_verwässert!A$3:AK$103,14,FALSE)&lt;&gt;"",IF(VLOOKUP(A7,Ergebnis_je_Aktie_verwässert!A$3:AK$103,14,FALSE)&lt;=0,2,IF(VLOOKUP(A7,Dividende_je_Aktie!A$3:AM$103,14,FALSE)/VLOOKUP(A7,Ergebnis_je_Aktie_verwässert!A$3:AK$103,14,FALSE)&gt;=2,2,VLOOKUP(A7,Dividende_je_Aktie!A$3:AM$103,14,FALSE)/VLOOKUP(A7,Ergebnis_je_Aktie_verwässert!A$3:AK$103,14,FALSE))),""),"")</f>
        <v>0.54982817869415812</v>
      </c>
      <c r="O7" s="5">
        <f>IF(VLOOKUP(A7,Dividende_je_Aktie!A$3:AM$103,15,FALSE)&lt;&gt;"",IF(VLOOKUP(A7,Ergebnis_je_Aktie_verwässert!A$3:AK$103,15,FALSE)&lt;&gt;"",IF(VLOOKUP(A7,Ergebnis_je_Aktie_verwässert!A$3:AK$103,15,FALSE)&lt;=0,2,IF(VLOOKUP(A7,Dividende_je_Aktie!A$3:AM$103,15,FALSE)/VLOOKUP(A7,Ergebnis_je_Aktie_verwässert!A$3:AK$103,15,FALSE)&gt;=2,2,VLOOKUP(A7,Dividende_je_Aktie!A$3:AM$103,15,FALSE)/VLOOKUP(A7,Ergebnis_je_Aktie_verwässert!A$3:AK$103,15,FALSE))),""),"")</f>
        <v>0.57377049180327866</v>
      </c>
      <c r="P7" s="5">
        <f>IF(VLOOKUP(A7,Dividende_je_Aktie!A$3:AM$103,16,FALSE)&lt;&gt;"",IF(VLOOKUP(A7,Ergebnis_je_Aktie_verwässert!A$3:AK$103,16,FALSE)&lt;&gt;"",IF(VLOOKUP(A7,Ergebnis_je_Aktie_verwässert!A$3:AK$103,16,FALSE)&lt;=0,2,IF(VLOOKUP(A7,Dividende_je_Aktie!A$3:AM$103,16,FALSE)/VLOOKUP(A7,Ergebnis_je_Aktie_verwässert!A$3:AK$103,16,FALSE)&gt;=2,2,VLOOKUP(A7,Dividende_je_Aktie!A$3:AM$103,16,FALSE)/VLOOKUP(A7,Ergebnis_je_Aktie_verwässert!A$3:AK$103,16,FALSE))),""),"")</f>
        <v>0.4420289855072464</v>
      </c>
      <c r="Q7" s="5">
        <f>IF(VLOOKUP(A7,Dividende_je_Aktie!A$3:AM$103,17,FALSE)&lt;&gt;"",IF(VLOOKUP(A7,Ergebnis_je_Aktie_verwässert!A$3:AK$103,17,FALSE)&lt;&gt;"",IF(VLOOKUP(A7,Ergebnis_je_Aktie_verwässert!A$3:AK$103,17,FALSE)&lt;=0,2,IF(VLOOKUP(A7,Dividende_je_Aktie!A$3:AM$103,17,FALSE)/VLOOKUP(A7,Ergebnis_je_Aktie_verwässert!A$3:AK$103,17,FALSE)&gt;=2,2,VLOOKUP(A7,Dividende_je_Aktie!A$3:AM$103,17,FALSE)/VLOOKUP(A7,Ergebnis_je_Aktie_verwässert!A$3:AK$103,17,FALSE))),""),"")</f>
        <v>0.44067796610169496</v>
      </c>
      <c r="R7" s="5">
        <f>IF(VLOOKUP(A7,Dividende_je_Aktie!A$3:AM$103,18,FALSE)&lt;&gt;"",IF(VLOOKUP(A7,Ergebnis_je_Aktie_verwässert!A$3:AK$103,18,FALSE)&lt;&gt;"",IF(VLOOKUP(A7,Ergebnis_je_Aktie_verwässert!A$3:AK$103,18,FALSE)&lt;=0,2,IF(VLOOKUP(A7,Dividende_je_Aktie!A$3:AM$103,18,FALSE)/VLOOKUP(A7,Ergebnis_je_Aktie_verwässert!A$3:AK$103,18,FALSE)&gt;=2,2,VLOOKUP(A7,Dividende_je_Aktie!A$3:AM$103,18,FALSE)/VLOOKUP(A7,Ergebnis_je_Aktie_verwässert!A$3:AK$103,18,FALSE))),""),"")</f>
        <v>0.44117647058823528</v>
      </c>
      <c r="S7" s="10">
        <f t="shared" si="0"/>
        <v>0.66859352970849406</v>
      </c>
      <c r="T7" s="4">
        <f t="shared" ca="1" si="1"/>
        <v>0</v>
      </c>
      <c r="U7" s="4">
        <f t="shared" ca="1" si="2"/>
        <v>122</v>
      </c>
      <c r="V7" s="4">
        <f t="shared" ca="1" si="3"/>
        <v>238</v>
      </c>
      <c r="W7" s="10">
        <f t="shared" ca="1" si="4"/>
        <v>0.67492614680408103</v>
      </c>
      <c r="X7" s="5">
        <f t="shared" ca="1" si="5"/>
        <v>9.4715500737017067E-3</v>
      </c>
    </row>
    <row r="8" spans="1:24" x14ac:dyDescent="0.25">
      <c r="A8" t="s">
        <v>8</v>
      </c>
      <c r="B8" t="s">
        <v>9</v>
      </c>
      <c r="C8" s="56">
        <v>31</v>
      </c>
      <c r="D8" s="56">
        <v>12</v>
      </c>
      <c r="E8" s="56">
        <v>2015</v>
      </c>
      <c r="F8" s="5">
        <f>IF(VLOOKUP(A8,Dividende_je_Aktie!A$3:AM$103,6,FALSE)&lt;&gt;"",IF(VLOOKUP(A8,Ergebnis_je_Aktie_verwässert!A$3:AK$103,6,FALSE)&lt;&gt;"",IF(VLOOKUP(A8,Ergebnis_je_Aktie_verwässert!A$3:AK$103,6,FALSE)&lt;=0,2,IF(VLOOKUP(A8,Dividende_je_Aktie!A$3:AM$103,6,FALSE)/VLOOKUP(A8,Ergebnis_je_Aktie_verwässert!A$3:AK$103,6,FALSE)&gt;=2,2,VLOOKUP(A8,Dividende_je_Aktie!A$3:AM$103,6,FALSE)/VLOOKUP(A8,Ergebnis_je_Aktie_verwässert!A$3:AK$103,6,FALSE))),""),"")</f>
        <v>0.24397590361445787</v>
      </c>
      <c r="G8" s="5">
        <f>IF(VLOOKUP(A8,Dividende_je_Aktie!A$3:AM$103,7,FALSE)&lt;&gt;"",IF(VLOOKUP(A8,Ergebnis_je_Aktie_verwässert!A$3:AK$103,7,FALSE)&lt;&gt;"",IF(VLOOKUP(A8,Ergebnis_je_Aktie_verwässert!A$3:AK$103,7,FALSE)&lt;=0,2,IF(VLOOKUP(A8,Dividende_je_Aktie!A$3:AM$103,7,FALSE)/VLOOKUP(A8,Ergebnis_je_Aktie_verwässert!A$3:AK$103,7,FALSE)&gt;=2,2,VLOOKUP(A8,Dividende_je_Aktie!A$3:AM$103,7,FALSE)/VLOOKUP(A8,Ergebnis_je_Aktie_verwässert!A$3:AK$103,7,FALSE))),""),"")</f>
        <v>0.25827814569536423</v>
      </c>
      <c r="H8" s="5">
        <f>IF(VLOOKUP(A8,Dividende_je_Aktie!A$3:AM$103,8,FALSE)&lt;&gt;"",IF(VLOOKUP(A8,Ergebnis_je_Aktie_verwässert!A$3:AK$103,8,FALSE)&lt;&gt;"",IF(VLOOKUP(A8,Ergebnis_je_Aktie_verwässert!A$3:AK$103,8,FALSE)&lt;=0,2,IF(VLOOKUP(A8,Dividende_je_Aktie!A$3:AM$103,8,FALSE)/VLOOKUP(A8,Ergebnis_je_Aktie_verwässert!A$3:AK$103,8,FALSE)&gt;=2,2,VLOOKUP(A8,Dividende_je_Aktie!A$3:AM$103,8,FALSE)/VLOOKUP(A8,Ergebnis_je_Aktie_verwässert!A$3:AK$103,8,FALSE))),""),"")</f>
        <v>0.26978417266187055</v>
      </c>
      <c r="I8" s="5">
        <f>IF(VLOOKUP(A8,Dividende_je_Aktie!A$3:AM$103,9,FALSE)&lt;&gt;"",IF(VLOOKUP(A8,Ergebnis_je_Aktie_verwässert!A$3:AK$103,9,FALSE)&lt;&gt;"",IF(VLOOKUP(A8,Ergebnis_je_Aktie_verwässert!A$3:AK$103,9,FALSE)&lt;=0,2,IF(VLOOKUP(A8,Dividende_je_Aktie!A$3:AM$103,9,FALSE)/VLOOKUP(A8,Ergebnis_je_Aktie_verwässert!A$3:AK$103,9,FALSE)&gt;=2,2,VLOOKUP(A8,Dividende_je_Aktie!A$3:AM$103,9,FALSE)/VLOOKUP(A8,Ergebnis_je_Aktie_verwässert!A$3:AK$103,9,FALSE))),""),"")</f>
        <v>0.30303030303030298</v>
      </c>
      <c r="J8" s="5">
        <f>IF(VLOOKUP(A8,Dividende_je_Aktie!A$3:AM$103,10,FALSE)&lt;&gt;"",IF(VLOOKUP(A8,Ergebnis_je_Aktie_verwässert!A$3:AK$103,10,FALSE)&lt;&gt;"",IF(VLOOKUP(A8,Ergebnis_je_Aktie_verwässert!A$3:AK$103,10,FALSE)&lt;=0,2,IF(VLOOKUP(A8,Dividende_je_Aktie!A$3:AM$103,10,FALSE)/VLOOKUP(A8,Ergebnis_je_Aktie_verwässert!A$3:AK$103,10,FALSE)&gt;=2,2,VLOOKUP(A8,Dividende_je_Aktie!A$3:AM$103,10,FALSE)/VLOOKUP(A8,Ergebnis_je_Aktie_verwässert!A$3:AK$103,10,FALSE))),""),"")</f>
        <v>0.30042918454935619</v>
      </c>
      <c r="K8" s="5">
        <f>IF(VLOOKUP(A8,Dividende_je_Aktie!A$3:AM$103,11,FALSE)&lt;&gt;"",IF(VLOOKUP(A8,Ergebnis_je_Aktie_verwässert!A$3:AK$103,11,FALSE)&lt;&gt;"",IF(VLOOKUP(A8,Ergebnis_je_Aktie_verwässert!A$3:AK$103,11,FALSE)&lt;=0,2,IF(VLOOKUP(A8,Dividende_je_Aktie!A$3:AM$103,11,FALSE)/VLOOKUP(A8,Ergebnis_je_Aktie_verwässert!A$3:AK$103,11,FALSE)&gt;=2,2,VLOOKUP(A8,Dividende_je_Aktie!A$3:AM$103,11,FALSE)/VLOOKUP(A8,Ergebnis_je_Aktie_verwässert!A$3:AK$103,11,FALSE))),""),"")</f>
        <v>0.33653846153846151</v>
      </c>
      <c r="L8" s="5">
        <f>IF(VLOOKUP(A8,Dividende_je_Aktie!A$3:AM$103,12,FALSE)&lt;&gt;"",IF(VLOOKUP(A8,Ergebnis_je_Aktie_verwässert!A$3:AK$103,12,FALSE)&lt;&gt;"",IF(VLOOKUP(A8,Ergebnis_je_Aktie_verwässert!A$3:AK$103,12,FALSE)&lt;=0,2,IF(VLOOKUP(A8,Dividende_je_Aktie!A$3:AM$103,12,FALSE)/VLOOKUP(A8,Ergebnis_je_Aktie_verwässert!A$3:AK$103,12,FALSE)&gt;=2,2,VLOOKUP(A8,Dividende_je_Aktie!A$3:AM$103,12,FALSE)/VLOOKUP(A8,Ergebnis_je_Aktie_verwässert!A$3:AK$103,12,FALSE))),""),"")</f>
        <v>0.37433155080213898</v>
      </c>
      <c r="M8" s="5">
        <f>IF(VLOOKUP(A8,Dividende_je_Aktie!A$3:AM$103,13,FALSE)&lt;&gt;"",IF(VLOOKUP(A8,Ergebnis_je_Aktie_verwässert!A$3:AK$103,13,FALSE)&lt;&gt;"",IF(VLOOKUP(A8,Ergebnis_je_Aktie_verwässert!A$3:AK$103,13,FALSE)&lt;=0,2,IF(VLOOKUP(A8,Dividende_je_Aktie!A$3:AM$103,13,FALSE)/VLOOKUP(A8,Ergebnis_je_Aktie_verwässert!A$3:AK$103,13,FALSE)&gt;=2,2,VLOOKUP(A8,Dividende_je_Aktie!A$3:AM$103,13,FALSE)/VLOOKUP(A8,Ergebnis_je_Aktie_verwässert!A$3:AK$103,13,FALSE))),""),"")</f>
        <v>0.38043478260869562</v>
      </c>
      <c r="N8" s="5">
        <f>IF(VLOOKUP(A8,Dividende_je_Aktie!A$3:AM$103,14,FALSE)&lt;&gt;"",IF(VLOOKUP(A8,Ergebnis_je_Aktie_verwässert!A$3:AK$103,14,FALSE)&lt;&gt;"",IF(VLOOKUP(A8,Ergebnis_je_Aktie_verwässert!A$3:AK$103,14,FALSE)&lt;=0,2,IF(VLOOKUP(A8,Dividende_je_Aktie!A$3:AM$103,14,FALSE)/VLOOKUP(A8,Ergebnis_je_Aktie_verwässert!A$3:AK$103,14,FALSE)&gt;=2,2,VLOOKUP(A8,Dividende_je_Aktie!A$3:AM$103,14,FALSE)/VLOOKUP(A8,Ergebnis_je_Aktie_verwässert!A$3:AK$103,14,FALSE))),""),"")</f>
        <v>0.42424242424242425</v>
      </c>
      <c r="O8" s="5">
        <f>IF(VLOOKUP(A8,Dividende_je_Aktie!A$3:AM$103,15,FALSE)&lt;&gt;"",IF(VLOOKUP(A8,Ergebnis_je_Aktie_verwässert!A$3:AK$103,15,FALSE)&lt;&gt;"",IF(VLOOKUP(A8,Ergebnis_je_Aktie_verwässert!A$3:AK$103,15,FALSE)&lt;=0,2,IF(VLOOKUP(A8,Dividende_je_Aktie!A$3:AM$103,15,FALSE)/VLOOKUP(A8,Ergebnis_je_Aktie_verwässert!A$3:AK$103,15,FALSE)&gt;=2,2,VLOOKUP(A8,Dividende_je_Aktie!A$3:AM$103,15,FALSE)/VLOOKUP(A8,Ergebnis_je_Aktie_verwässert!A$3:AK$103,15,FALSE))),""),"")</f>
        <v>0.41095890410958907</v>
      </c>
      <c r="P8" s="5">
        <f>IF(VLOOKUP(A8,Dividende_je_Aktie!A$3:AM$103,16,FALSE)&lt;&gt;"",IF(VLOOKUP(A8,Ergebnis_je_Aktie_verwässert!A$3:AK$103,16,FALSE)&lt;&gt;"",IF(VLOOKUP(A8,Ergebnis_je_Aktie_verwässert!A$3:AK$103,16,FALSE)&lt;=0,2,IF(VLOOKUP(A8,Dividende_je_Aktie!A$3:AM$103,16,FALSE)/VLOOKUP(A8,Ergebnis_je_Aktie_verwässert!A$3:AK$103,16,FALSE)&gt;=2,2,VLOOKUP(A8,Dividende_je_Aktie!A$3:AM$103,16,FALSE)/VLOOKUP(A8,Ergebnis_je_Aktie_verwässert!A$3:AK$103,16,FALSE))),""),"")</f>
        <v>0.330188679245283</v>
      </c>
      <c r="Q8" s="5">
        <f>IF(VLOOKUP(A8,Dividende_je_Aktie!A$3:AM$103,17,FALSE)&lt;&gt;"",IF(VLOOKUP(A8,Ergebnis_je_Aktie_verwässert!A$3:AK$103,17,FALSE)&lt;&gt;"",IF(VLOOKUP(A8,Ergebnis_je_Aktie_verwässert!A$3:AK$103,17,FALSE)&lt;=0,2,IF(VLOOKUP(A8,Dividende_je_Aktie!A$3:AM$103,17,FALSE)/VLOOKUP(A8,Ergebnis_je_Aktie_verwässert!A$3:AK$103,17,FALSE)&gt;=2,2,VLOOKUP(A8,Dividende_je_Aktie!A$3:AM$103,17,FALSE)/VLOOKUP(A8,Ergebnis_je_Aktie_verwässert!A$3:AK$103,17,FALSE))),""),"")</f>
        <v>0.35502958579881655</v>
      </c>
      <c r="R8" s="5">
        <f>IF(VLOOKUP(A8,Dividende_je_Aktie!A$3:AM$103,18,FALSE)&lt;&gt;"",IF(VLOOKUP(A8,Ergebnis_je_Aktie_verwässert!A$3:AK$103,18,FALSE)&lt;&gt;"",IF(VLOOKUP(A8,Ergebnis_je_Aktie_verwässert!A$3:AK$103,18,FALSE)&lt;=0,2,IF(VLOOKUP(A8,Dividende_je_Aktie!A$3:AM$103,18,FALSE)/VLOOKUP(A8,Ergebnis_je_Aktie_verwässert!A$3:AK$103,18,FALSE)&gt;=2,2,VLOOKUP(A8,Dividende_je_Aktie!A$3:AM$103,18,FALSE)/VLOOKUP(A8,Ergebnis_je_Aktie_verwässert!A$3:AK$103,18,FALSE))),""),"")</f>
        <v>0.39310344827586202</v>
      </c>
      <c r="S8" s="10">
        <f t="shared" si="0"/>
        <v>0.33694811893635557</v>
      </c>
      <c r="T8" s="4">
        <f t="shared" ca="1" si="1"/>
        <v>0</v>
      </c>
      <c r="U8" s="4">
        <f t="shared" ca="1" si="2"/>
        <v>122</v>
      </c>
      <c r="V8" s="4">
        <f t="shared" ca="1" si="3"/>
        <v>238</v>
      </c>
      <c r="W8" s="10">
        <f t="shared" ca="1" si="4"/>
        <v>0.26588490796766562</v>
      </c>
      <c r="X8" s="5">
        <f t="shared" ca="1" si="5"/>
        <v>-0.21090253061217634</v>
      </c>
    </row>
    <row r="9" spans="1:24" x14ac:dyDescent="0.25">
      <c r="A9" t="s">
        <v>10</v>
      </c>
      <c r="B9" t="s">
        <v>11</v>
      </c>
      <c r="C9" s="56">
        <v>31</v>
      </c>
      <c r="D9" s="56">
        <v>12</v>
      </c>
      <c r="E9" s="56">
        <v>2015</v>
      </c>
      <c r="F9" s="5">
        <f>IF(VLOOKUP(A9,Dividende_je_Aktie!A$3:AM$103,6,FALSE)&lt;&gt;"",IF(VLOOKUP(A9,Ergebnis_je_Aktie_verwässert!A$3:AK$103,6,FALSE)&lt;&gt;"",IF(VLOOKUP(A9,Ergebnis_je_Aktie_verwässert!A$3:AK$103,6,FALSE)&lt;=0,2,IF(VLOOKUP(A9,Dividende_je_Aktie!A$3:AM$103,6,FALSE)/VLOOKUP(A9,Ergebnis_je_Aktie_verwässert!A$3:AK$103,6,FALSE)&gt;=2,2,VLOOKUP(A9,Dividende_je_Aktie!A$3:AM$103,6,FALSE)/VLOOKUP(A9,Ergebnis_je_Aktie_verwässert!A$3:AK$103,6,FALSE))),""),"")</f>
        <v>0.50691244239631339</v>
      </c>
      <c r="G9" s="5">
        <f>IF(VLOOKUP(A9,Dividende_je_Aktie!A$3:AM$103,7,FALSE)&lt;&gt;"",IF(VLOOKUP(A9,Ergebnis_je_Aktie_verwässert!A$3:AK$103,7,FALSE)&lt;&gt;"",IF(VLOOKUP(A9,Ergebnis_je_Aktie_verwässert!A$3:AK$103,7,FALSE)&lt;=0,2,IF(VLOOKUP(A9,Dividende_je_Aktie!A$3:AM$103,7,FALSE)/VLOOKUP(A9,Ergebnis_je_Aktie_verwässert!A$3:AK$103,7,FALSE)&gt;=2,2,VLOOKUP(A9,Dividende_je_Aktie!A$3:AM$103,7,FALSE)/VLOOKUP(A9,Ergebnis_je_Aktie_verwässert!A$3:AK$103,7,FALSE))),""),"")</f>
        <v>0.50248756218905477</v>
      </c>
      <c r="H9" s="5">
        <f>IF(VLOOKUP(A9,Dividende_je_Aktie!A$3:AM$103,8,FALSE)&lt;&gt;"",IF(VLOOKUP(A9,Ergebnis_je_Aktie_verwässert!A$3:AK$103,8,FALSE)&lt;&gt;"",IF(VLOOKUP(A9,Ergebnis_je_Aktie_verwässert!A$3:AK$103,8,FALSE)&lt;=0,2,IF(VLOOKUP(A9,Dividende_je_Aktie!A$3:AM$103,8,FALSE)/VLOOKUP(A9,Ergebnis_je_Aktie_verwässert!A$3:AK$103,8,FALSE)&gt;=2,2,VLOOKUP(A9,Dividende_je_Aktie!A$3:AM$103,8,FALSE)/VLOOKUP(A9,Ergebnis_je_Aktie_verwässert!A$3:AK$103,8,FALSE))),""),"")</f>
        <v>0.50555555555555554</v>
      </c>
      <c r="I9" s="5">
        <f>IF(VLOOKUP(A9,Dividende_je_Aktie!A$3:AM$103,9,FALSE)&lt;&gt;"",IF(VLOOKUP(A9,Ergebnis_je_Aktie_verwässert!A$3:AK$103,9,FALSE)&lt;&gt;"",IF(VLOOKUP(A9,Ergebnis_je_Aktie_verwässert!A$3:AK$103,9,FALSE)&lt;=0,2,IF(VLOOKUP(A9,Dividende_je_Aktie!A$3:AM$103,9,FALSE)/VLOOKUP(A9,Ergebnis_je_Aktie_verwässert!A$3:AK$103,9,FALSE)&gt;=2,2,VLOOKUP(A9,Dividende_je_Aktie!A$3:AM$103,9,FALSE)/VLOOKUP(A9,Ergebnis_je_Aktie_verwässert!A$3:AK$103,9,FALSE))),""),"")</f>
        <v>0.51829268292682928</v>
      </c>
      <c r="J9" s="5">
        <f>IF(VLOOKUP(A9,Dividende_je_Aktie!A$3:AM$103,10,FALSE)&lt;&gt;"",IF(VLOOKUP(A9,Ergebnis_je_Aktie_verwässert!A$3:AK$103,10,FALSE)&lt;&gt;"",IF(VLOOKUP(A9,Ergebnis_je_Aktie_verwässert!A$3:AK$103,10,FALSE)&lt;=0,2,IF(VLOOKUP(A9,Dividende_je_Aktie!A$3:AM$103,10,FALSE)/VLOOKUP(A9,Ergebnis_je_Aktie_verwässert!A$3:AK$103,10,FALSE)&gt;=2,2,VLOOKUP(A9,Dividende_je_Aktie!A$3:AM$103,10,FALSE)/VLOOKUP(A9,Ergebnis_je_Aktie_verwässert!A$3:AK$103,10,FALSE))),""),"")</f>
        <v>0.48192771084337355</v>
      </c>
      <c r="K9" s="5">
        <f>IF(VLOOKUP(A9,Dividende_je_Aktie!A$3:AM$103,11,FALSE)&lt;&gt;"",IF(VLOOKUP(A9,Ergebnis_je_Aktie_verwässert!A$3:AK$103,11,FALSE)&lt;&gt;"",IF(VLOOKUP(A9,Ergebnis_je_Aktie_verwässert!A$3:AK$103,11,FALSE)&lt;=0,2,IF(VLOOKUP(A9,Dividende_je_Aktie!A$3:AM$103,11,FALSE)/VLOOKUP(A9,Ergebnis_je_Aktie_verwässert!A$3:AK$103,11,FALSE)&gt;=2,2,VLOOKUP(A9,Dividende_je_Aktie!A$3:AM$103,11,FALSE)/VLOOKUP(A9,Ergebnis_je_Aktie_verwässert!A$3:AK$103,11,FALSE))),""),"")</f>
        <v>0.53030303030303028</v>
      </c>
      <c r="L9" s="5">
        <f>IF(VLOOKUP(A9,Dividende_je_Aktie!A$3:AM$103,12,FALSE)&lt;&gt;"",IF(VLOOKUP(A9,Ergebnis_je_Aktie_verwässert!A$3:AK$103,12,FALSE)&lt;&gt;"",IF(VLOOKUP(A9,Ergebnis_je_Aktie_verwässert!A$3:AK$103,12,FALSE)&lt;=0,2,IF(VLOOKUP(A9,Dividende_je_Aktie!A$3:AM$103,12,FALSE)/VLOOKUP(A9,Ergebnis_je_Aktie_verwässert!A$3:AK$103,12,FALSE)&gt;=2,2,VLOOKUP(A9,Dividende_je_Aktie!A$3:AM$103,12,FALSE)/VLOOKUP(A9,Ergebnis_je_Aktie_verwässert!A$3:AK$103,12,FALSE))),""),"")</f>
        <v>0.72916666666666663</v>
      </c>
      <c r="M9" s="5">
        <f>IF(VLOOKUP(A9,Dividende_je_Aktie!A$3:AM$103,13,FALSE)&lt;&gt;"",IF(VLOOKUP(A9,Ergebnis_je_Aktie_verwässert!A$3:AK$103,13,FALSE)&lt;&gt;"",IF(VLOOKUP(A9,Ergebnis_je_Aktie_verwässert!A$3:AK$103,13,FALSE)&lt;=0,2,IF(VLOOKUP(A9,Dividende_je_Aktie!A$3:AM$103,13,FALSE)/VLOOKUP(A9,Ergebnis_je_Aktie_verwässert!A$3:AK$103,13,FALSE)&gt;=2,2,VLOOKUP(A9,Dividende_je_Aktie!A$3:AM$103,13,FALSE)/VLOOKUP(A9,Ergebnis_je_Aktie_verwässert!A$3:AK$103,13,FALSE))),""),"")</f>
        <v>0.30952380952380953</v>
      </c>
      <c r="N9" s="5">
        <f>IF(VLOOKUP(A9,Dividende_je_Aktie!A$3:AM$103,14,FALSE)&lt;&gt;"",IF(VLOOKUP(A9,Ergebnis_je_Aktie_verwässert!A$3:AK$103,14,FALSE)&lt;&gt;"",IF(VLOOKUP(A9,Ergebnis_je_Aktie_verwässert!A$3:AK$103,14,FALSE)&lt;=0,2,IF(VLOOKUP(A9,Dividende_je_Aktie!A$3:AM$103,14,FALSE)/VLOOKUP(A9,Ergebnis_je_Aktie_verwässert!A$3:AK$103,14,FALSE)&gt;=2,2,VLOOKUP(A9,Dividende_je_Aktie!A$3:AM$103,14,FALSE)/VLOOKUP(A9,Ergebnis_je_Aktie_verwässert!A$3:AK$103,14,FALSE))),""),"")</f>
        <v>1.1320754716981132</v>
      </c>
      <c r="O9" s="5">
        <f>IF(VLOOKUP(A9,Dividende_je_Aktie!A$3:AM$103,15,FALSE)&lt;&gt;"",IF(VLOOKUP(A9,Ergebnis_je_Aktie_verwässert!A$3:AK$103,15,FALSE)&lt;&gt;"",IF(VLOOKUP(A9,Ergebnis_je_Aktie_verwässert!A$3:AK$103,15,FALSE)&lt;=0,2,IF(VLOOKUP(A9,Dividende_je_Aktie!A$3:AM$103,15,FALSE)/VLOOKUP(A9,Ergebnis_je_Aktie_verwässert!A$3:AK$103,15,FALSE)&gt;=2,2,VLOOKUP(A9,Dividende_je_Aktie!A$3:AM$103,15,FALSE)/VLOOKUP(A9,Ergebnis_je_Aktie_verwässert!A$3:AK$103,15,FALSE))),""),"")</f>
        <v>2</v>
      </c>
      <c r="P9" s="5">
        <f>IF(VLOOKUP(A9,Dividende_je_Aktie!A$3:AM$103,16,FALSE)&lt;&gt;"",IF(VLOOKUP(A9,Ergebnis_je_Aktie_verwässert!A$3:AK$103,16,FALSE)&lt;&gt;"",IF(VLOOKUP(A9,Ergebnis_je_Aktie_verwässert!A$3:AK$103,16,FALSE)&lt;=0,2,IF(VLOOKUP(A9,Dividende_je_Aktie!A$3:AM$103,16,FALSE)/VLOOKUP(A9,Ergebnis_je_Aktie_verwässert!A$3:AK$103,16,FALSE)&gt;=2,2,VLOOKUP(A9,Dividende_je_Aktie!A$3:AM$103,16,FALSE)/VLOOKUP(A9,Ergebnis_je_Aktie_verwässert!A$3:AK$103,16,FALSE))),""),"")</f>
        <v>0.78260869565217395</v>
      </c>
      <c r="Q9" s="5">
        <f>IF(VLOOKUP(A9,Dividende_je_Aktie!A$3:AM$103,17,FALSE)&lt;&gt;"",IF(VLOOKUP(A9,Ergebnis_je_Aktie_verwässert!A$3:AK$103,17,FALSE)&lt;&gt;"",IF(VLOOKUP(A9,Ergebnis_je_Aktie_verwässert!A$3:AK$103,17,FALSE)&lt;=0,2,IF(VLOOKUP(A9,Dividende_je_Aktie!A$3:AM$103,17,FALSE)/VLOOKUP(A9,Ergebnis_je_Aktie_verwässert!A$3:AK$103,17,FALSE)&gt;=2,2,VLOOKUP(A9,Dividende_je_Aktie!A$3:AM$103,17,FALSE)/VLOOKUP(A9,Ergebnis_je_Aktie_verwässert!A$3:AK$103,17,FALSE))),""),"")</f>
        <v>0.46875</v>
      </c>
      <c r="R9" s="5">
        <f>IF(VLOOKUP(A9,Dividende_je_Aktie!A$3:AM$103,18,FALSE)&lt;&gt;"",IF(VLOOKUP(A9,Ergebnis_je_Aktie_verwässert!A$3:AK$103,18,FALSE)&lt;&gt;"",IF(VLOOKUP(A9,Ergebnis_je_Aktie_verwässert!A$3:AK$103,18,FALSE)&lt;=0,2,IF(VLOOKUP(A9,Dividende_je_Aktie!A$3:AM$103,18,FALSE)/VLOOKUP(A9,Ergebnis_je_Aktie_verwässert!A$3:AK$103,18,FALSE)&gt;=2,2,VLOOKUP(A9,Dividende_je_Aktie!A$3:AM$103,18,FALSE)/VLOOKUP(A9,Ergebnis_je_Aktie_verwässert!A$3:AK$103,18,FALSE))),""),"")</f>
        <v>0.35175879396984921</v>
      </c>
      <c r="S9" s="10">
        <f t="shared" si="0"/>
        <v>0.67841249397882841</v>
      </c>
      <c r="T9" s="4">
        <f t="shared" ca="1" si="1"/>
        <v>0</v>
      </c>
      <c r="U9" s="4">
        <f t="shared" ca="1" si="2"/>
        <v>122</v>
      </c>
      <c r="V9" s="4">
        <f t="shared" ca="1" si="3"/>
        <v>238</v>
      </c>
      <c r="W9" s="10">
        <f t="shared" ca="1" si="4"/>
        <v>0.50451584669246352</v>
      </c>
      <c r="X9" s="5">
        <f t="shared" ca="1" si="5"/>
        <v>-0.25632878054246411</v>
      </c>
    </row>
    <row r="10" spans="1:24" x14ac:dyDescent="0.25">
      <c r="A10" t="s">
        <v>12</v>
      </c>
      <c r="B10" t="s">
        <v>13</v>
      </c>
      <c r="C10" s="56">
        <v>31</v>
      </c>
      <c r="D10" s="56">
        <v>12</v>
      </c>
      <c r="E10" s="56">
        <v>2015</v>
      </c>
      <c r="F10" s="5">
        <f>IF(VLOOKUP(A10,Dividende_je_Aktie!A$3:AM$103,6,FALSE)&lt;&gt;"",IF(VLOOKUP(A10,Ergebnis_je_Aktie_verwässert!A$3:AK$103,6,FALSE)&lt;&gt;"",IF(VLOOKUP(A10,Ergebnis_je_Aktie_verwässert!A$3:AK$103,6,FALSE)&lt;=0,2,IF(VLOOKUP(A10,Dividende_je_Aktie!A$3:AM$103,6,FALSE)/VLOOKUP(A10,Ergebnis_je_Aktie_verwässert!A$3:AK$103,6,FALSE)&gt;=2,2,VLOOKUP(A10,Dividende_je_Aktie!A$3:AM$103,6,FALSE)/VLOOKUP(A10,Ergebnis_je_Aktie_verwässert!A$3:AK$103,6,FALSE))),""),"")</f>
        <v>0.68478260869565211</v>
      </c>
      <c r="G10" s="5">
        <f>IF(VLOOKUP(A10,Dividende_je_Aktie!A$3:AM$103,7,FALSE)&lt;&gt;"",IF(VLOOKUP(A10,Ergebnis_je_Aktie_verwässert!A$3:AK$103,7,FALSE)&lt;&gt;"",IF(VLOOKUP(A10,Ergebnis_je_Aktie_verwässert!A$3:AK$103,7,FALSE)&lt;=0,2,IF(VLOOKUP(A10,Dividende_je_Aktie!A$3:AM$103,7,FALSE)/VLOOKUP(A10,Ergebnis_je_Aktie_verwässert!A$3:AK$103,7,FALSE)&gt;=2,2,VLOOKUP(A10,Dividende_je_Aktie!A$3:AM$103,7,FALSE)/VLOOKUP(A10,Ergebnis_je_Aktie_verwässert!A$3:AK$103,7,FALSE))),""),"")</f>
        <v>0.79729729729729726</v>
      </c>
      <c r="H10" s="5">
        <f>IF(VLOOKUP(A10,Dividende_je_Aktie!A$3:AM$103,8,FALSE)&lt;&gt;"",IF(VLOOKUP(A10,Ergebnis_je_Aktie_verwässert!A$3:AK$103,8,FALSE)&lt;&gt;"",IF(VLOOKUP(A10,Ergebnis_je_Aktie_verwässert!A$3:AK$103,8,FALSE)&lt;=0,2,IF(VLOOKUP(A10,Dividende_je_Aktie!A$3:AM$103,8,FALSE)/VLOOKUP(A10,Ergebnis_je_Aktie_verwässert!A$3:AK$103,8,FALSE)&gt;=2,2,VLOOKUP(A10,Dividende_je_Aktie!A$3:AM$103,8,FALSE)/VLOOKUP(A10,Ergebnis_je_Aktie_verwässert!A$3:AK$103,8,FALSE))),""),"")</f>
        <v>0.87096774193548399</v>
      </c>
      <c r="I10" s="5">
        <f>IF(VLOOKUP(A10,Dividende_je_Aktie!A$3:AM$103,9,FALSE)&lt;&gt;"",IF(VLOOKUP(A10,Ergebnis_je_Aktie_verwässert!A$3:AK$103,9,FALSE)&lt;&gt;"",IF(VLOOKUP(A10,Ergebnis_je_Aktie_verwässert!A$3:AK$103,9,FALSE)&lt;=0,2,IF(VLOOKUP(A10,Dividende_je_Aktie!A$3:AM$103,9,FALSE)/VLOOKUP(A10,Ergebnis_je_Aktie_verwässert!A$3:AK$103,9,FALSE)&gt;=2,2,VLOOKUP(A10,Dividende_je_Aktie!A$3:AM$103,9,FALSE)/VLOOKUP(A10,Ergebnis_je_Aktie_verwässert!A$3:AK$103,9,FALSE))),""),"")</f>
        <v>0.94339622641509424</v>
      </c>
      <c r="J10" s="5">
        <f>IF(VLOOKUP(A10,Dividende_je_Aktie!A$3:AM$103,10,FALSE)&lt;&gt;"",IF(VLOOKUP(A10,Ergebnis_je_Aktie_verwässert!A$3:AK$103,10,FALSE)&lt;&gt;"",IF(VLOOKUP(A10,Ergebnis_je_Aktie_verwässert!A$3:AK$103,10,FALSE)&lt;=0,2,IF(VLOOKUP(A10,Dividende_je_Aktie!A$3:AM$103,10,FALSE)/VLOOKUP(A10,Ergebnis_je_Aktie_verwässert!A$3:AK$103,10,FALSE)&gt;=2,2,VLOOKUP(A10,Dividende_je_Aktie!A$3:AM$103,10,FALSE)/VLOOKUP(A10,Ergebnis_je_Aktie_verwässert!A$3:AK$103,10,FALSE))),""),"")</f>
        <v>0.79365079365079361</v>
      </c>
      <c r="K10" s="5">
        <f>IF(VLOOKUP(A10,Dividende_je_Aktie!A$3:AM$103,11,FALSE)&lt;&gt;"",IF(VLOOKUP(A10,Ergebnis_je_Aktie_verwässert!A$3:AK$103,11,FALSE)&lt;&gt;"",IF(VLOOKUP(A10,Ergebnis_je_Aktie_verwässert!A$3:AK$103,11,FALSE)&lt;=0,2,IF(VLOOKUP(A10,Dividende_je_Aktie!A$3:AM$103,11,FALSE)/VLOOKUP(A10,Ergebnis_je_Aktie_verwässert!A$3:AK$103,11,FALSE)&gt;=2,2,VLOOKUP(A10,Dividende_je_Aktie!A$3:AM$103,11,FALSE)/VLOOKUP(A10,Ergebnis_je_Aktie_verwässert!A$3:AK$103,11,FALSE))),""),"")</f>
        <v>1.2068965517241379</v>
      </c>
      <c r="L10" s="5">
        <f>IF(VLOOKUP(A10,Dividende_je_Aktie!A$3:AM$103,12,FALSE)&lt;&gt;"",IF(VLOOKUP(A10,Ergebnis_je_Aktie_verwässert!A$3:AK$103,12,FALSE)&lt;&gt;"",IF(VLOOKUP(A10,Ergebnis_je_Aktie_verwässert!A$3:AK$103,12,FALSE)&lt;=0,2,IF(VLOOKUP(A10,Dividende_je_Aktie!A$3:AM$103,12,FALSE)/VLOOKUP(A10,Ergebnis_je_Aktie_verwässert!A$3:AK$103,12,FALSE)&gt;=2,2,VLOOKUP(A10,Dividende_je_Aktie!A$3:AM$103,12,FALSE)/VLOOKUP(A10,Ergebnis_je_Aktie_verwässert!A$3:AK$103,12,FALSE))),""),"")</f>
        <v>1.044776119402985</v>
      </c>
      <c r="M10" s="5">
        <f>IF(VLOOKUP(A10,Dividende_je_Aktie!A$3:AM$103,13,FALSE)&lt;&gt;"",IF(VLOOKUP(A10,Ergebnis_je_Aktie_verwässert!A$3:AK$103,13,FALSE)&lt;&gt;"",IF(VLOOKUP(A10,Ergebnis_je_Aktie_verwässert!A$3:AK$103,13,FALSE)&lt;=0,2,IF(VLOOKUP(A10,Dividende_je_Aktie!A$3:AM$103,13,FALSE)/VLOOKUP(A10,Ergebnis_je_Aktie_verwässert!A$3:AK$103,13,FALSE)&gt;=2,2,VLOOKUP(A10,Dividende_je_Aktie!A$3:AM$103,13,FALSE)/VLOOKUP(A10,Ergebnis_je_Aktie_verwässert!A$3:AK$103,13,FALSE))),""),"")</f>
        <v>0.88607594936708856</v>
      </c>
      <c r="N10" s="5">
        <f>IF(VLOOKUP(A10,Dividende_je_Aktie!A$3:AM$103,14,FALSE)&lt;&gt;"",IF(VLOOKUP(A10,Ergebnis_je_Aktie_verwässert!A$3:AK$103,14,FALSE)&lt;&gt;"",IF(VLOOKUP(A10,Ergebnis_je_Aktie_verwässert!A$3:AK$103,14,FALSE)&lt;=0,2,IF(VLOOKUP(A10,Dividende_je_Aktie!A$3:AM$103,14,FALSE)/VLOOKUP(A10,Ergebnis_je_Aktie_verwässert!A$3:AK$103,14,FALSE)&gt;=2,2,VLOOKUP(A10,Dividende_je_Aktie!A$3:AM$103,14,FALSE)/VLOOKUP(A10,Ergebnis_je_Aktie_verwässert!A$3:AK$103,14,FALSE))),""),"")</f>
        <v>1</v>
      </c>
      <c r="O10" s="5">
        <f>IF(VLOOKUP(A10,Dividende_je_Aktie!A$3:AM$103,15,FALSE)&lt;&gt;"",IF(VLOOKUP(A10,Ergebnis_je_Aktie_verwässert!A$3:AK$103,15,FALSE)&lt;&gt;"",IF(VLOOKUP(A10,Ergebnis_je_Aktie_verwässert!A$3:AK$103,15,FALSE)&lt;=0,2,IF(VLOOKUP(A10,Dividende_je_Aktie!A$3:AM$103,15,FALSE)/VLOOKUP(A10,Ergebnis_je_Aktie_verwässert!A$3:AK$103,15,FALSE)&gt;=2,2,VLOOKUP(A10,Dividende_je_Aktie!A$3:AM$103,15,FALSE)/VLOOKUP(A10,Ergebnis_je_Aktie_verwässert!A$3:AK$103,15,FALSE))),""),"")</f>
        <v>1</v>
      </c>
      <c r="P10" s="5">
        <f>IF(VLOOKUP(A10,Dividende_je_Aktie!A$3:AM$103,16,FALSE)&lt;&gt;"",IF(VLOOKUP(A10,Ergebnis_je_Aktie_verwässert!A$3:AK$103,16,FALSE)&lt;&gt;"",IF(VLOOKUP(A10,Ergebnis_je_Aktie_verwässert!A$3:AK$103,16,FALSE)&lt;=0,2,IF(VLOOKUP(A10,Dividende_je_Aktie!A$3:AM$103,16,FALSE)/VLOOKUP(A10,Ergebnis_je_Aktie_verwässert!A$3:AK$103,16,FALSE)&gt;=2,2,VLOOKUP(A10,Dividende_je_Aktie!A$3:AM$103,16,FALSE)/VLOOKUP(A10,Ergebnis_je_Aktie_verwässert!A$3:AK$103,16,FALSE))),""),"")</f>
        <v>1.1304347826086958</v>
      </c>
      <c r="Q10" s="5">
        <f>IF(VLOOKUP(A10,Dividende_je_Aktie!A$3:AM$103,17,FALSE)&lt;&gt;"",IF(VLOOKUP(A10,Ergebnis_je_Aktie_verwässert!A$3:AK$103,17,FALSE)&lt;&gt;"",IF(VLOOKUP(A10,Ergebnis_je_Aktie_verwässert!A$3:AK$103,17,FALSE)&lt;=0,2,IF(VLOOKUP(A10,Dividende_je_Aktie!A$3:AM$103,17,FALSE)/VLOOKUP(A10,Ergebnis_je_Aktie_verwässert!A$3:AK$103,17,FALSE)&gt;=2,2,VLOOKUP(A10,Dividende_je_Aktie!A$3:AM$103,17,FALSE)/VLOOKUP(A10,Ergebnis_je_Aktie_verwässert!A$3:AK$103,17,FALSE))),""),"")</f>
        <v>0.79999999999999993</v>
      </c>
      <c r="R10" s="5">
        <f>IF(VLOOKUP(A10,Dividende_je_Aktie!A$3:AM$103,18,FALSE)&lt;&gt;"",IF(VLOOKUP(A10,Ergebnis_je_Aktie_verwässert!A$3:AK$103,18,FALSE)&lt;&gt;"",IF(VLOOKUP(A10,Ergebnis_je_Aktie_verwässert!A$3:AK$103,18,FALSE)&lt;=0,2,IF(VLOOKUP(A10,Dividende_je_Aktie!A$3:AM$103,18,FALSE)/VLOOKUP(A10,Ergebnis_je_Aktie_verwässert!A$3:AK$103,18,FALSE)&gt;=2,2,VLOOKUP(A10,Dividende_je_Aktie!A$3:AM$103,18,FALSE)/VLOOKUP(A10,Ergebnis_je_Aktie_verwässert!A$3:AK$103,18,FALSE))),""),"")</f>
        <v>0.66666666666666663</v>
      </c>
      <c r="S10" s="10">
        <f t="shared" si="0"/>
        <v>0.9096111336741457</v>
      </c>
      <c r="T10" s="4">
        <f t="shared" ca="1" si="1"/>
        <v>0</v>
      </c>
      <c r="U10" s="4">
        <f t="shared" ca="1" si="2"/>
        <v>122</v>
      </c>
      <c r="V10" s="4">
        <f t="shared" ca="1" si="3"/>
        <v>238</v>
      </c>
      <c r="W10" s="10">
        <f t="shared" ca="1" si="4"/>
        <v>0.84600164680809842</v>
      </c>
      <c r="X10" s="5">
        <f t="shared" ca="1" si="5"/>
        <v>-6.9930418077791878E-2</v>
      </c>
    </row>
    <row r="11" spans="1:24" x14ac:dyDescent="0.25">
      <c r="A11" t="s">
        <v>14</v>
      </c>
      <c r="B11" t="s">
        <v>15</v>
      </c>
      <c r="C11" s="56">
        <v>31</v>
      </c>
      <c r="D11" s="56">
        <v>12</v>
      </c>
      <c r="E11" s="56">
        <v>2015</v>
      </c>
      <c r="F11" s="5">
        <f>IF(VLOOKUP(A11,Dividende_je_Aktie!A$3:AM$103,6,FALSE)&lt;&gt;"",IF(VLOOKUP(A11,Ergebnis_je_Aktie_verwässert!A$3:AK$103,6,FALSE)&lt;&gt;"",IF(VLOOKUP(A11,Ergebnis_je_Aktie_verwässert!A$3:AK$103,6,FALSE)&lt;=0,2,IF(VLOOKUP(A11,Dividende_je_Aktie!A$3:AM$103,6,FALSE)/VLOOKUP(A11,Ergebnis_je_Aktie_verwässert!A$3:AK$103,6,FALSE)&gt;=2,2,VLOOKUP(A11,Dividende_je_Aktie!A$3:AM$103,6,FALSE)/VLOOKUP(A11,Ergebnis_je_Aktie_verwässert!A$3:AK$103,6,FALSE))),""),"")</f>
        <v>0.34871794871794876</v>
      </c>
      <c r="G11" s="5">
        <f>IF(VLOOKUP(A11,Dividende_je_Aktie!A$3:AM$103,7,FALSE)&lt;&gt;"",IF(VLOOKUP(A11,Ergebnis_je_Aktie_verwässert!A$3:AK$103,7,FALSE)&lt;&gt;"",IF(VLOOKUP(A11,Ergebnis_je_Aktie_verwässert!A$3:AK$103,7,FALSE)&lt;=0,2,IF(VLOOKUP(A11,Dividende_je_Aktie!A$3:AM$103,7,FALSE)/VLOOKUP(A11,Ergebnis_je_Aktie_verwässert!A$3:AK$103,7,FALSE)&gt;=2,2,VLOOKUP(A11,Dividende_je_Aktie!A$3:AM$103,7,FALSE)/VLOOKUP(A11,Ergebnis_je_Aktie_verwässert!A$3:AK$103,7,FALSE))),""),"")</f>
        <v>0.33888888888888885</v>
      </c>
      <c r="H11" s="5">
        <f>IF(VLOOKUP(A11,Dividende_je_Aktie!A$3:AM$103,8,FALSE)&lt;&gt;"",IF(VLOOKUP(A11,Ergebnis_je_Aktie_verwässert!A$3:AK$103,8,FALSE)&lt;&gt;"",IF(VLOOKUP(A11,Ergebnis_je_Aktie_verwässert!A$3:AK$103,8,FALSE)&lt;=0,2,IF(VLOOKUP(A11,Dividende_je_Aktie!A$3:AM$103,8,FALSE)/VLOOKUP(A11,Ergebnis_je_Aktie_verwässert!A$3:AK$103,8,FALSE)&gt;=2,2,VLOOKUP(A11,Dividende_je_Aktie!A$3:AM$103,8,FALSE)/VLOOKUP(A11,Ergebnis_je_Aktie_verwässert!A$3:AK$103,8,FALSE))),""),"")</f>
        <v>0.36655948553054662</v>
      </c>
      <c r="I11" s="5">
        <f>IF(VLOOKUP(A11,Dividende_je_Aktie!A$3:AM$103,9,FALSE)&lt;&gt;"",IF(VLOOKUP(A11,Ergebnis_je_Aktie_verwässert!A$3:AK$103,9,FALSE)&lt;&gt;"",IF(VLOOKUP(A11,Ergebnis_je_Aktie_verwässert!A$3:AK$103,9,FALSE)&lt;=0,2,IF(VLOOKUP(A11,Dividende_je_Aktie!A$3:AM$103,9,FALSE)/VLOOKUP(A11,Ergebnis_je_Aktie_verwässert!A$3:AK$103,9,FALSE)&gt;=2,2,VLOOKUP(A11,Dividende_je_Aktie!A$3:AM$103,9,FALSE)/VLOOKUP(A11,Ergebnis_je_Aktie_verwässert!A$3:AK$103,9,FALSE))),""),"")</f>
        <v>0.40145985401459855</v>
      </c>
      <c r="J11" s="5">
        <f>IF(VLOOKUP(A11,Dividende_je_Aktie!A$3:AM$103,10,FALSE)&lt;&gt;"",IF(VLOOKUP(A11,Ergebnis_je_Aktie_verwässert!A$3:AK$103,10,FALSE)&lt;&gt;"",IF(VLOOKUP(A11,Ergebnis_je_Aktie_verwässert!A$3:AK$103,10,FALSE)&lt;=0,2,IF(VLOOKUP(A11,Dividende_je_Aktie!A$3:AM$103,10,FALSE)/VLOOKUP(A11,Ergebnis_je_Aktie_verwässert!A$3:AK$103,10,FALSE)&gt;=2,2,VLOOKUP(A11,Dividende_je_Aktie!A$3:AM$103,10,FALSE)/VLOOKUP(A11,Ergebnis_je_Aktie_verwässert!A$3:AK$103,10,FALSE))),""),"")</f>
        <v>0.35971223021582738</v>
      </c>
      <c r="K11" s="5">
        <f>IF(VLOOKUP(A11,Dividende_je_Aktie!A$3:AM$103,11,FALSE)&lt;&gt;"",IF(VLOOKUP(A11,Ergebnis_je_Aktie_verwässert!A$3:AK$103,11,FALSE)&lt;&gt;"",IF(VLOOKUP(A11,Ergebnis_je_Aktie_verwässert!A$3:AK$103,11,FALSE)&lt;=0,2,IF(VLOOKUP(A11,Dividende_je_Aktie!A$3:AM$103,11,FALSE)/VLOOKUP(A11,Ergebnis_je_Aktie_verwässert!A$3:AK$103,11,FALSE)&gt;=2,2,VLOOKUP(A11,Dividende_je_Aktie!A$3:AM$103,11,FALSE)/VLOOKUP(A11,Ergebnis_je_Aktie_verwässert!A$3:AK$103,11,FALSE))),""),"")</f>
        <v>0.35864978902953581</v>
      </c>
      <c r="L11" s="5">
        <f>IF(VLOOKUP(A11,Dividende_je_Aktie!A$3:AM$103,12,FALSE)&lt;&gt;"",IF(VLOOKUP(A11,Ergebnis_je_Aktie_verwässert!A$3:AK$103,12,FALSE)&lt;&gt;"",IF(VLOOKUP(A11,Ergebnis_je_Aktie_verwässert!A$3:AK$103,12,FALSE)&lt;=0,2,IF(VLOOKUP(A11,Dividende_je_Aktie!A$3:AM$103,12,FALSE)/VLOOKUP(A11,Ergebnis_je_Aktie_verwässert!A$3:AK$103,12,FALSE)&gt;=2,2,VLOOKUP(A11,Dividende_je_Aktie!A$3:AM$103,12,FALSE)/VLOOKUP(A11,Ergebnis_je_Aktie_verwässert!A$3:AK$103,12,FALSE))),""),"")</f>
        <v>0.44534412955465585</v>
      </c>
      <c r="M11" s="5">
        <f>IF(VLOOKUP(A11,Dividende_je_Aktie!A$3:AM$103,13,FALSE)&lt;&gt;"",IF(VLOOKUP(A11,Ergebnis_je_Aktie_verwässert!A$3:AK$103,13,FALSE)&lt;&gt;"",IF(VLOOKUP(A11,Ergebnis_je_Aktie_verwässert!A$3:AK$103,13,FALSE)&lt;=0,2,IF(VLOOKUP(A11,Dividende_je_Aktie!A$3:AM$103,13,FALSE)/VLOOKUP(A11,Ergebnis_je_Aktie_verwässert!A$3:AK$103,13,FALSE)&gt;=2,2,VLOOKUP(A11,Dividende_je_Aktie!A$3:AM$103,13,FALSE)/VLOOKUP(A11,Ergebnis_je_Aktie_verwässert!A$3:AK$103,13,FALSE))),""),"")</f>
        <v>0.2857142857142857</v>
      </c>
      <c r="N11" s="5">
        <f>IF(VLOOKUP(A11,Dividende_je_Aktie!A$3:AM$103,14,FALSE)&lt;&gt;"",IF(VLOOKUP(A11,Ergebnis_je_Aktie_verwässert!A$3:AK$103,14,FALSE)&lt;&gt;"",IF(VLOOKUP(A11,Ergebnis_je_Aktie_verwässert!A$3:AK$103,14,FALSE)&lt;=0,2,IF(VLOOKUP(A11,Dividende_je_Aktie!A$3:AM$103,14,FALSE)/VLOOKUP(A11,Ergebnis_je_Aktie_verwässert!A$3:AK$103,14,FALSE)&gt;=2,2,VLOOKUP(A11,Dividende_je_Aktie!A$3:AM$103,14,FALSE)/VLOOKUP(A11,Ergebnis_je_Aktie_verwässert!A$3:AK$103,14,FALSE))),""),"")</f>
        <v>0.3401360544217687</v>
      </c>
      <c r="O11" s="5">
        <f>IF(VLOOKUP(A11,Dividende_je_Aktie!A$3:AM$103,15,FALSE)&lt;&gt;"",IF(VLOOKUP(A11,Ergebnis_je_Aktie_verwässert!A$3:AK$103,15,FALSE)&lt;&gt;"",IF(VLOOKUP(A11,Ergebnis_je_Aktie_verwässert!A$3:AK$103,15,FALSE)&lt;=0,2,IF(VLOOKUP(A11,Dividende_je_Aktie!A$3:AM$103,15,FALSE)/VLOOKUP(A11,Ergebnis_je_Aktie_verwässert!A$3:AK$103,15,FALSE)&gt;=2,2,VLOOKUP(A11,Dividende_je_Aktie!A$3:AM$103,15,FALSE)/VLOOKUP(A11,Ergebnis_je_Aktie_verwässert!A$3:AK$103,15,FALSE))),""),"")</f>
        <v>0.32258064516129031</v>
      </c>
      <c r="P11" s="5">
        <f>IF(VLOOKUP(A11,Dividende_je_Aktie!A$3:AM$103,16,FALSE)&lt;&gt;"",IF(VLOOKUP(A11,Ergebnis_je_Aktie_verwässert!A$3:AK$103,16,FALSE)&lt;&gt;"",IF(VLOOKUP(A11,Ergebnis_je_Aktie_verwässert!A$3:AK$103,16,FALSE)&lt;=0,2,IF(VLOOKUP(A11,Dividende_je_Aktie!A$3:AM$103,16,FALSE)/VLOOKUP(A11,Ergebnis_je_Aktie_verwässert!A$3:AK$103,16,FALSE)&gt;=2,2,VLOOKUP(A11,Dividende_je_Aktie!A$3:AM$103,16,FALSE)/VLOOKUP(A11,Ergebnis_je_Aktie_verwässert!A$3:AK$103,16,FALSE))),""),"")</f>
        <v>0.31446540880503143</v>
      </c>
      <c r="Q11" s="5">
        <f>IF(VLOOKUP(A11,Dividende_je_Aktie!A$3:AM$103,17,FALSE)&lt;&gt;"",IF(VLOOKUP(A11,Ergebnis_je_Aktie_verwässert!A$3:AK$103,17,FALSE)&lt;&gt;"",IF(VLOOKUP(A11,Ergebnis_je_Aktie_verwässert!A$3:AK$103,17,FALSE)&lt;=0,2,IF(VLOOKUP(A11,Dividende_je_Aktie!A$3:AM$103,17,FALSE)/VLOOKUP(A11,Ergebnis_je_Aktie_verwässert!A$3:AK$103,17,FALSE)&gt;=2,2,VLOOKUP(A11,Dividende_je_Aktie!A$3:AM$103,17,FALSE)/VLOOKUP(A11,Ergebnis_je_Aktie_verwässert!A$3:AK$103,17,FALSE))),""),"")</f>
        <v>0.30263157894736842</v>
      </c>
      <c r="R11" s="5">
        <f>IF(VLOOKUP(A11,Dividende_je_Aktie!A$3:AM$103,18,FALSE)&lt;&gt;"",IF(VLOOKUP(A11,Ergebnis_je_Aktie_verwässert!A$3:AK$103,18,FALSE)&lt;&gt;"",IF(VLOOKUP(A11,Ergebnis_je_Aktie_verwässert!A$3:AK$103,18,FALSE)&lt;=0,2,IF(VLOOKUP(A11,Dividende_je_Aktie!A$3:AM$103,18,FALSE)/VLOOKUP(A11,Ergebnis_je_Aktie_verwässert!A$3:AK$103,18,FALSE)&gt;=2,2,VLOOKUP(A11,Dividende_je_Aktie!A$3:AM$103,18,FALSE)/VLOOKUP(A11,Ergebnis_je_Aktie_verwässert!A$3:AK$103,18,FALSE))),""),"")</f>
        <v>0.3</v>
      </c>
      <c r="S11" s="10">
        <f t="shared" si="0"/>
        <v>0.34498925376936512</v>
      </c>
      <c r="T11" s="4">
        <f t="shared" ca="1" si="1"/>
        <v>0</v>
      </c>
      <c r="U11" s="4">
        <f t="shared" ca="1" si="2"/>
        <v>122</v>
      </c>
      <c r="V11" s="4">
        <f t="shared" ca="1" si="3"/>
        <v>238</v>
      </c>
      <c r="W11" s="10">
        <f t="shared" ca="1" si="4"/>
        <v>0.35718222777976261</v>
      </c>
      <c r="X11" s="5">
        <f t="shared" ca="1" si="5"/>
        <v>3.5343054536269181E-2</v>
      </c>
    </row>
    <row r="12" spans="1:24" x14ac:dyDescent="0.25">
      <c r="A12" t="s">
        <v>16</v>
      </c>
      <c r="B12" t="s">
        <v>17</v>
      </c>
      <c r="C12" s="56">
        <v>30</v>
      </c>
      <c r="D12" s="56">
        <v>9</v>
      </c>
      <c r="E12" s="56">
        <v>2015</v>
      </c>
      <c r="F12" s="5">
        <f>IF(VLOOKUP(A12,Dividende_je_Aktie!A$3:AM$103,6,FALSE)&lt;&gt;"",IF(VLOOKUP(A12,Ergebnis_je_Aktie_verwässert!A$3:AK$103,6,FALSE)&lt;&gt;"",IF(VLOOKUP(A12,Ergebnis_je_Aktie_verwässert!A$3:AK$103,6,FALSE)&lt;=0,2,IF(VLOOKUP(A12,Dividende_je_Aktie!A$3:AM$103,6,FALSE)/VLOOKUP(A12,Ergebnis_je_Aktie_verwässert!A$3:AK$103,6,FALSE)&gt;=2,2,VLOOKUP(A12,Dividende_je_Aktie!A$3:AM$103,6,FALSE)/VLOOKUP(A12,Ergebnis_je_Aktie_verwässert!A$3:AK$103,6,FALSE))),""),"")</f>
        <v>0.52777777777777779</v>
      </c>
      <c r="G12" s="5">
        <f>IF(VLOOKUP(A12,Dividende_je_Aktie!A$3:AM$103,7,FALSE)&lt;&gt;"",IF(VLOOKUP(A12,Ergebnis_je_Aktie_verwässert!A$3:AK$103,7,FALSE)&lt;&gt;"",IF(VLOOKUP(A12,Ergebnis_je_Aktie_verwässert!A$3:AK$103,7,FALSE)&lt;=0,2,IF(VLOOKUP(A12,Dividende_je_Aktie!A$3:AM$103,7,FALSE)/VLOOKUP(A12,Ergebnis_je_Aktie_verwässert!A$3:AK$103,7,FALSE)&gt;=2,2,VLOOKUP(A12,Dividende_je_Aktie!A$3:AM$103,7,FALSE)/VLOOKUP(A12,Ergebnis_je_Aktie_verwässert!A$3:AK$103,7,FALSE))),""),"")</f>
        <v>0.52353780313837373</v>
      </c>
      <c r="H12" s="5">
        <f>IF(VLOOKUP(A12,Dividende_je_Aktie!A$3:AM$103,8,FALSE)&lt;&gt;"",IF(VLOOKUP(A12,Ergebnis_je_Aktie_verwässert!A$3:AK$103,8,FALSE)&lt;&gt;"",IF(VLOOKUP(A12,Ergebnis_je_Aktie_verwässert!A$3:AK$103,8,FALSE)&lt;=0,2,IF(VLOOKUP(A12,Dividende_je_Aktie!A$3:AM$103,8,FALSE)/VLOOKUP(A12,Ergebnis_je_Aktie_verwässert!A$3:AK$103,8,FALSE)&gt;=2,2,VLOOKUP(A12,Dividende_je_Aktie!A$3:AM$103,8,FALSE)/VLOOKUP(A12,Ergebnis_je_Aktie_verwässert!A$3:AK$103,8,FALSE))),""),"")</f>
        <v>0.4577373211963589</v>
      </c>
      <c r="I12" s="5">
        <f>IF(VLOOKUP(A12,Dividende_je_Aktie!A$3:AM$103,9,FALSE)&lt;&gt;"",IF(VLOOKUP(A12,Ergebnis_je_Aktie_verwässert!A$3:AK$103,9,FALSE)&lt;&gt;"",IF(VLOOKUP(A12,Ergebnis_je_Aktie_verwässert!A$3:AK$103,9,FALSE)&lt;=0,2,IF(VLOOKUP(A12,Dividende_je_Aktie!A$3:AM$103,9,FALSE)/VLOOKUP(A12,Ergebnis_je_Aktie_verwässert!A$3:AK$103,9,FALSE)&gt;=2,2,VLOOKUP(A12,Dividende_je_Aktie!A$3:AM$103,9,FALSE)/VLOOKUP(A12,Ergebnis_je_Aktie_verwässert!A$3:AK$103,9,FALSE))),""),"")</f>
        <v>0.52297939778129954</v>
      </c>
      <c r="J12" s="5">
        <f>IF(VLOOKUP(A12,Dividende_je_Aktie!A$3:AM$103,10,FALSE)&lt;&gt;"",IF(VLOOKUP(A12,Ergebnis_je_Aktie_verwässert!A$3:AK$103,10,FALSE)&lt;&gt;"",IF(VLOOKUP(A12,Ergebnis_je_Aktie_verwässert!A$3:AK$103,10,FALSE)&lt;=0,2,IF(VLOOKUP(A12,Dividende_je_Aktie!A$3:AM$103,10,FALSE)/VLOOKUP(A12,Ergebnis_je_Aktie_verwässert!A$3:AK$103,10,FALSE)&gt;=2,2,VLOOKUP(A12,Dividende_je_Aktie!A$3:AM$103,10,FALSE)/VLOOKUP(A12,Ergebnis_je_Aktie_verwässert!A$3:AK$103,10,FALSE))),""),"")</f>
        <v>0.59642147117296218</v>
      </c>
      <c r="K12" s="5">
        <f>IF(VLOOKUP(A12,Dividende_je_Aktie!A$3:AM$103,11,FALSE)&lt;&gt;"",IF(VLOOKUP(A12,Ergebnis_je_Aktie_verwässert!A$3:AK$103,11,FALSE)&lt;&gt;"",IF(VLOOKUP(A12,Ergebnis_je_Aktie_verwässert!A$3:AK$103,11,FALSE)&lt;=0,2,IF(VLOOKUP(A12,Dividende_je_Aktie!A$3:AM$103,11,FALSE)/VLOOKUP(A12,Ergebnis_je_Aktie_verwässert!A$3:AK$103,11,FALSE)&gt;=2,2,VLOOKUP(A12,Dividende_je_Aktie!A$3:AM$103,11,FALSE)/VLOOKUP(A12,Ergebnis_je_Aktie_verwässert!A$3:AK$103,11,FALSE))),""),"")</f>
        <v>0.59523809523809523</v>
      </c>
      <c r="L12" s="5">
        <f>IF(VLOOKUP(A12,Dividende_je_Aktie!A$3:AM$103,12,FALSE)&lt;&gt;"",IF(VLOOKUP(A12,Ergebnis_je_Aktie_verwässert!A$3:AK$103,12,FALSE)&lt;&gt;"",IF(VLOOKUP(A12,Ergebnis_je_Aktie_verwässert!A$3:AK$103,12,FALSE)&lt;=0,2,IF(VLOOKUP(A12,Dividende_je_Aktie!A$3:AM$103,12,FALSE)/VLOOKUP(A12,Ergebnis_je_Aktie_verwässert!A$3:AK$103,12,FALSE)&gt;=2,2,VLOOKUP(A12,Dividende_je_Aktie!A$3:AM$103,12,FALSE)/VLOOKUP(A12,Ergebnis_je_Aktie_verwässert!A$3:AK$103,12,FALSE))),""),"")</f>
        <v>0.43103448275862072</v>
      </c>
      <c r="M12" s="5">
        <f>IF(VLOOKUP(A12,Dividende_je_Aktie!A$3:AM$103,13,FALSE)&lt;&gt;"",IF(VLOOKUP(A12,Ergebnis_je_Aktie_verwässert!A$3:AK$103,13,FALSE)&lt;&gt;"",IF(VLOOKUP(A12,Ergebnis_je_Aktie_verwässert!A$3:AK$103,13,FALSE)&lt;=0,2,IF(VLOOKUP(A12,Dividende_je_Aktie!A$3:AM$103,13,FALSE)/VLOOKUP(A12,Ergebnis_je_Aktie_verwässert!A$3:AK$103,13,FALSE)&gt;=2,2,VLOOKUP(A12,Dividende_je_Aktie!A$3:AM$103,13,FALSE)/VLOOKUP(A12,Ergebnis_je_Aktie_verwässert!A$3:AK$103,13,FALSE))),""),"")</f>
        <v>0.60810810810810811</v>
      </c>
      <c r="N12" s="5">
        <f>IF(VLOOKUP(A12,Dividende_je_Aktie!A$3:AM$103,14,FALSE)&lt;&gt;"",IF(VLOOKUP(A12,Ergebnis_je_Aktie_verwässert!A$3:AK$103,14,FALSE)&lt;&gt;"",IF(VLOOKUP(A12,Ergebnis_je_Aktie_verwässert!A$3:AK$103,14,FALSE)&lt;=0,2,IF(VLOOKUP(A12,Dividende_je_Aktie!A$3:AM$103,14,FALSE)/VLOOKUP(A12,Ergebnis_je_Aktie_verwässert!A$3:AK$103,14,FALSE)&gt;=2,2,VLOOKUP(A12,Dividende_je_Aktie!A$3:AM$103,14,FALSE)/VLOOKUP(A12,Ergebnis_je_Aktie_verwässert!A$3:AK$103,14,FALSE))),""),"")</f>
        <v>0.60836501901140694</v>
      </c>
      <c r="O12" s="5">
        <f>IF(VLOOKUP(A12,Dividende_je_Aktie!A$3:AM$103,15,FALSE)&lt;&gt;"",IF(VLOOKUP(A12,Ergebnis_je_Aktie_verwässert!A$3:AK$103,15,FALSE)&lt;&gt;"",IF(VLOOKUP(A12,Ergebnis_je_Aktie_verwässert!A$3:AK$103,15,FALSE)&lt;=0,2,IF(VLOOKUP(A12,Dividende_je_Aktie!A$3:AM$103,15,FALSE)/VLOOKUP(A12,Ergebnis_je_Aktie_verwässert!A$3:AK$103,15,FALSE)&gt;=2,2,VLOOKUP(A12,Dividende_je_Aktie!A$3:AM$103,15,FALSE)/VLOOKUP(A12,Ergebnis_je_Aktie_verwässert!A$3:AK$103,15,FALSE))),""),"")</f>
        <v>0.79207920792079212</v>
      </c>
      <c r="P12" s="5">
        <f>IF(VLOOKUP(A12,Dividende_je_Aktie!A$3:AM$103,16,FALSE)&lt;&gt;"",IF(VLOOKUP(A12,Ergebnis_je_Aktie_verwässert!A$3:AK$103,16,FALSE)&lt;&gt;"",IF(VLOOKUP(A12,Ergebnis_je_Aktie_verwässert!A$3:AK$103,16,FALSE)&lt;=0,2,IF(VLOOKUP(A12,Dividende_je_Aktie!A$3:AM$103,16,FALSE)/VLOOKUP(A12,Ergebnis_je_Aktie_verwässert!A$3:AK$103,16,FALSE)&gt;=2,2,VLOOKUP(A12,Dividende_je_Aktie!A$3:AM$103,16,FALSE)/VLOOKUP(A12,Ergebnis_je_Aktie_verwässert!A$3:AK$103,16,FALSE))),""),"")</f>
        <v>0.41450777202072542</v>
      </c>
      <c r="Q12" s="5">
        <f>IF(VLOOKUP(A12,Dividende_je_Aktie!A$3:AM$103,17,FALSE)&lt;&gt;"",IF(VLOOKUP(A12,Ergebnis_je_Aktie_verwässert!A$3:AK$103,17,FALSE)&lt;&gt;"",IF(VLOOKUP(A12,Ergebnis_je_Aktie_verwässert!A$3:AK$103,17,FALSE)&lt;=0,2,IF(VLOOKUP(A12,Dividende_je_Aktie!A$3:AM$103,17,FALSE)/VLOOKUP(A12,Ergebnis_je_Aktie_verwässert!A$3:AK$103,17,FALSE)&gt;=2,2,VLOOKUP(A12,Dividende_je_Aktie!A$3:AM$103,17,FALSE)/VLOOKUP(A12,Ergebnis_je_Aktie_verwässert!A$3:AK$103,17,FALSE))),""),"")</f>
        <v>0.44478527607361967</v>
      </c>
      <c r="R12" s="5">
        <f>IF(VLOOKUP(A12,Dividende_je_Aktie!A$3:AM$103,18,FALSE)&lt;&gt;"",IF(VLOOKUP(A12,Ergebnis_je_Aktie_verwässert!A$3:AK$103,18,FALSE)&lt;&gt;"",IF(VLOOKUP(A12,Ergebnis_je_Aktie_verwässert!A$3:AK$103,18,FALSE)&lt;=0,2,IF(VLOOKUP(A12,Dividende_je_Aktie!A$3:AM$103,18,FALSE)/VLOOKUP(A12,Ergebnis_je_Aktie_verwässert!A$3:AK$103,18,FALSE)&gt;=2,2,VLOOKUP(A12,Dividende_je_Aktie!A$3:AM$103,18,FALSE)/VLOOKUP(A12,Ergebnis_je_Aktie_verwässert!A$3:AK$103,18,FALSE))),""),"")</f>
        <v>0.55785123966942152</v>
      </c>
      <c r="S12" s="10">
        <f t="shared" si="0"/>
        <v>0.54464792091288927</v>
      </c>
      <c r="T12" s="4">
        <f t="shared" ca="1" si="1"/>
        <v>0</v>
      </c>
      <c r="U12" s="4">
        <f t="shared" ca="1" si="2"/>
        <v>213</v>
      </c>
      <c r="V12" s="4">
        <f t="shared" ca="1" si="3"/>
        <v>147</v>
      </c>
      <c r="W12" s="10">
        <f t="shared" ca="1" si="4"/>
        <v>0.49666927301205099</v>
      </c>
      <c r="X12" s="5">
        <f t="shared" ca="1" si="5"/>
        <v>-8.8091124667144305E-2</v>
      </c>
    </row>
    <row r="13" spans="1:24" x14ac:dyDescent="0.25">
      <c r="A13" t="s">
        <v>18</v>
      </c>
      <c r="B13" t="s">
        <v>19</v>
      </c>
      <c r="C13" s="56">
        <v>31</v>
      </c>
      <c r="D13" s="56">
        <v>12</v>
      </c>
      <c r="E13" s="56">
        <v>2015</v>
      </c>
      <c r="F13" s="5">
        <f>IF(VLOOKUP(A13,Dividende_je_Aktie!A$3:AM$103,6,FALSE)&lt;&gt;"",IF(VLOOKUP(A13,Ergebnis_je_Aktie_verwässert!A$3:AK$103,6,FALSE)&lt;&gt;"",IF(VLOOKUP(A13,Ergebnis_je_Aktie_verwässert!A$3:AK$103,6,FALSE)&lt;=0,2,IF(VLOOKUP(A13,Dividende_je_Aktie!A$3:AM$103,6,FALSE)/VLOOKUP(A13,Ergebnis_je_Aktie_verwässert!A$3:AK$103,6,FALSE)&gt;=2,2,VLOOKUP(A13,Dividende_je_Aktie!A$3:AM$103,6,FALSE)/VLOOKUP(A13,Ergebnis_je_Aktie_verwässert!A$3:AK$103,6,FALSE))),""),"")</f>
        <v>0.47876712328767124</v>
      </c>
      <c r="G13" s="5">
        <f>IF(VLOOKUP(A13,Dividende_je_Aktie!A$3:AM$103,7,FALSE)&lt;&gt;"",IF(VLOOKUP(A13,Ergebnis_je_Aktie_verwässert!A$3:AK$103,7,FALSE)&lt;&gt;"",IF(VLOOKUP(A13,Ergebnis_je_Aktie_verwässert!A$3:AK$103,7,FALSE)&lt;=0,2,IF(VLOOKUP(A13,Dividende_je_Aktie!A$3:AM$103,7,FALSE)/VLOOKUP(A13,Ergebnis_je_Aktie_verwässert!A$3:AK$103,7,FALSE)&gt;=2,2,VLOOKUP(A13,Dividende_je_Aktie!A$3:AM$103,7,FALSE)/VLOOKUP(A13,Ergebnis_je_Aktie_verwässert!A$3:AK$103,7,FALSE))),""),"")</f>
        <v>0.48095238095238102</v>
      </c>
      <c r="H13" s="5">
        <f>IF(VLOOKUP(A13,Dividende_je_Aktie!A$3:AM$103,8,FALSE)&lt;&gt;"",IF(VLOOKUP(A13,Ergebnis_je_Aktie_verwässert!A$3:AK$103,8,FALSE)&lt;&gt;"",IF(VLOOKUP(A13,Ergebnis_je_Aktie_verwässert!A$3:AK$103,8,FALSE)&lt;=0,2,IF(VLOOKUP(A13,Dividende_je_Aktie!A$3:AM$103,8,FALSE)/VLOOKUP(A13,Ergebnis_je_Aktie_verwässert!A$3:AK$103,8,FALSE)&gt;=2,2,VLOOKUP(A13,Dividende_je_Aktie!A$3:AM$103,8,FALSE)/VLOOKUP(A13,Ergebnis_je_Aktie_verwässert!A$3:AK$103,8,FALSE))),""),"")</f>
        <v>0.49577464788732395</v>
      </c>
      <c r="I13" s="5">
        <f>IF(VLOOKUP(A13,Dividende_je_Aktie!A$3:AM$103,9,FALSE)&lt;&gt;"",IF(VLOOKUP(A13,Ergebnis_je_Aktie_verwässert!A$3:AK$103,9,FALSE)&lt;&gt;"",IF(VLOOKUP(A13,Ergebnis_je_Aktie_verwässert!A$3:AK$103,9,FALSE)&lt;=0,2,IF(VLOOKUP(A13,Dividende_je_Aktie!A$3:AM$103,9,FALSE)/VLOOKUP(A13,Ergebnis_je_Aktie_verwässert!A$3:AK$103,9,FALSE)&gt;=2,2,VLOOKUP(A13,Dividende_je_Aktie!A$3:AM$103,9,FALSE)/VLOOKUP(A13,Ergebnis_je_Aktie_verwässert!A$3:AK$103,9,FALSE))),""),"")</f>
        <v>0.50219941348973607</v>
      </c>
      <c r="J13" s="5">
        <f>IF(VLOOKUP(A13,Dividende_je_Aktie!A$3:AM$103,10,FALSE)&lt;&gt;"",IF(VLOOKUP(A13,Ergebnis_je_Aktie_verwässert!A$3:AK$103,10,FALSE)&lt;&gt;"",IF(VLOOKUP(A13,Ergebnis_je_Aktie_verwässert!A$3:AK$103,10,FALSE)&lt;=0,2,IF(VLOOKUP(A13,Dividende_je_Aktie!A$3:AM$103,10,FALSE)/VLOOKUP(A13,Ergebnis_je_Aktie_verwässert!A$3:AK$103,10,FALSE)&gt;=2,2,VLOOKUP(A13,Dividende_je_Aktie!A$3:AM$103,10,FALSE)/VLOOKUP(A13,Ergebnis_je_Aktie_verwässert!A$3:AK$103,10,FALSE))),""),"")</f>
        <v>0.4061302681992337</v>
      </c>
      <c r="K13" s="5">
        <f>IF(VLOOKUP(A13,Dividende_je_Aktie!A$3:AM$103,11,FALSE)&lt;&gt;"",IF(VLOOKUP(A13,Ergebnis_je_Aktie_verwässert!A$3:AK$103,11,FALSE)&lt;&gt;"",IF(VLOOKUP(A13,Ergebnis_je_Aktie_verwässert!A$3:AK$103,11,FALSE)&lt;=0,2,IF(VLOOKUP(A13,Dividende_je_Aktie!A$3:AM$103,11,FALSE)/VLOOKUP(A13,Ergebnis_je_Aktie_verwässert!A$3:AK$103,11,FALSE)&gt;=2,2,VLOOKUP(A13,Dividende_je_Aktie!A$3:AM$103,11,FALSE)/VLOOKUP(A13,Ergebnis_je_Aktie_verwässert!A$3:AK$103,11,FALSE))),""),"")</f>
        <v>0.3968253968253968</v>
      </c>
      <c r="L13" s="5">
        <f>IF(VLOOKUP(A13,Dividende_je_Aktie!A$3:AM$103,12,FALSE)&lt;&gt;"",IF(VLOOKUP(A13,Ergebnis_je_Aktie_verwässert!A$3:AK$103,12,FALSE)&lt;&gt;"",IF(VLOOKUP(A13,Ergebnis_je_Aktie_verwässert!A$3:AK$103,12,FALSE)&lt;=0,2,IF(VLOOKUP(A13,Dividende_je_Aktie!A$3:AM$103,12,FALSE)/VLOOKUP(A13,Ergebnis_je_Aktie_verwässert!A$3:AK$103,12,FALSE)&gt;=2,2,VLOOKUP(A13,Dividende_je_Aktie!A$3:AM$103,12,FALSE)/VLOOKUP(A13,Ergebnis_je_Aktie_verwässert!A$3:AK$103,12,FALSE))),""),"")</f>
        <v>0.82116788321167877</v>
      </c>
      <c r="M13" s="5">
        <f>IF(VLOOKUP(A13,Dividende_je_Aktie!A$3:AM$103,13,FALSE)&lt;&gt;"",IF(VLOOKUP(A13,Ergebnis_je_Aktie_verwässert!A$3:AK$103,13,FALSE)&lt;&gt;"",IF(VLOOKUP(A13,Ergebnis_je_Aktie_verwässert!A$3:AK$103,13,FALSE)&lt;=0,2,IF(VLOOKUP(A13,Dividende_je_Aktie!A$3:AM$103,13,FALSE)/VLOOKUP(A13,Ergebnis_je_Aktie_verwässert!A$3:AK$103,13,FALSE)&gt;=2,2,VLOOKUP(A13,Dividende_je_Aktie!A$3:AM$103,13,FALSE)/VLOOKUP(A13,Ergebnis_je_Aktie_verwässert!A$3:AK$103,13,FALSE))),""),"")</f>
        <v>0.40467625899280579</v>
      </c>
      <c r="N13" s="5">
        <f>IF(VLOOKUP(A13,Dividende_je_Aktie!A$3:AM$103,14,FALSE)&lt;&gt;"",IF(VLOOKUP(A13,Ergebnis_je_Aktie_verwässert!A$3:AK$103,14,FALSE)&lt;&gt;"",IF(VLOOKUP(A13,Ergebnis_je_Aktie_verwässert!A$3:AK$103,14,FALSE)&lt;=0,2,IF(VLOOKUP(A13,Dividende_je_Aktie!A$3:AM$103,14,FALSE)/VLOOKUP(A13,Ergebnis_je_Aktie_verwässert!A$3:AK$103,14,FALSE)&gt;=2,2,VLOOKUP(A13,Dividende_je_Aktie!A$3:AM$103,14,FALSE)/VLOOKUP(A13,Ergebnis_je_Aktie_verwässert!A$3:AK$103,14,FALSE))),""),"")</f>
        <v>0.43157894736842101</v>
      </c>
      <c r="O13" s="5">
        <f>IF(VLOOKUP(A13,Dividende_je_Aktie!A$3:AM$103,15,FALSE)&lt;&gt;"",IF(VLOOKUP(A13,Ergebnis_je_Aktie_verwässert!A$3:AK$103,15,FALSE)&lt;&gt;"",IF(VLOOKUP(A13,Ergebnis_je_Aktie_verwässert!A$3:AK$103,15,FALSE)&lt;=0,2,IF(VLOOKUP(A13,Dividende_je_Aktie!A$3:AM$103,15,FALSE)/VLOOKUP(A13,Ergebnis_je_Aktie_verwässert!A$3:AK$103,15,FALSE)&gt;=2,2,VLOOKUP(A13,Dividende_je_Aktie!A$3:AM$103,15,FALSE)/VLOOKUP(A13,Ergebnis_je_Aktie_verwässert!A$3:AK$103,15,FALSE))),""),"")</f>
        <v>2</v>
      </c>
      <c r="P13" s="5">
        <f>IF(VLOOKUP(A13,Dividende_je_Aktie!A$3:AM$103,16,FALSE)&lt;&gt;"",IF(VLOOKUP(A13,Ergebnis_je_Aktie_verwässert!A$3:AK$103,16,FALSE)&lt;&gt;"",IF(VLOOKUP(A13,Ergebnis_je_Aktie_verwässert!A$3:AK$103,16,FALSE)&lt;=0,2,IF(VLOOKUP(A13,Dividende_je_Aktie!A$3:AM$103,16,FALSE)/VLOOKUP(A13,Ergebnis_je_Aktie_verwässert!A$3:AK$103,16,FALSE)&gt;=2,2,VLOOKUP(A13,Dividende_je_Aktie!A$3:AM$103,16,FALSE)/VLOOKUP(A13,Ergebnis_je_Aktie_verwässert!A$3:AK$103,16,FALSE))),""),"")</f>
        <v>0.3105590062111801</v>
      </c>
      <c r="Q13" s="5">
        <f>IF(VLOOKUP(A13,Dividende_je_Aktie!A$3:AM$103,17,FALSE)&lt;&gt;"",IF(VLOOKUP(A13,Ergebnis_je_Aktie_verwässert!A$3:AK$103,17,FALSE)&lt;&gt;"",IF(VLOOKUP(A13,Ergebnis_je_Aktie_verwässert!A$3:AK$103,17,FALSE)&lt;=0,2,IF(VLOOKUP(A13,Dividende_je_Aktie!A$3:AM$103,17,FALSE)/VLOOKUP(A13,Ergebnis_je_Aktie_verwässert!A$3:AK$103,17,FALSE)&gt;=2,2,VLOOKUP(A13,Dividende_je_Aktie!A$3:AM$103,17,FALSE)/VLOOKUP(A13,Ergebnis_je_Aktie_verwässert!A$3:AK$103,17,FALSE))),""),"")</f>
        <v>0.22646007151370676</v>
      </c>
      <c r="R13" s="5">
        <f>IF(VLOOKUP(A13,Dividende_je_Aktie!A$3:AM$103,18,FALSE)&lt;&gt;"",IF(VLOOKUP(A13,Ergebnis_je_Aktie_verwässert!A$3:AK$103,18,FALSE)&lt;&gt;"",IF(VLOOKUP(A13,Ergebnis_je_Aktie_verwässert!A$3:AK$103,18,FALSE)&lt;=0,2,IF(VLOOKUP(A13,Dividende_je_Aktie!A$3:AM$103,18,FALSE)/VLOOKUP(A13,Ergebnis_je_Aktie_verwässert!A$3:AK$103,18,FALSE)&gt;=2,2,VLOOKUP(A13,Dividende_je_Aktie!A$3:AM$103,18,FALSE)/VLOOKUP(A13,Ergebnis_je_Aktie_verwässert!A$3:AK$103,18,FALSE))),""),"")</f>
        <v>0.17793594306049823</v>
      </c>
      <c r="S13" s="10">
        <f t="shared" si="0"/>
        <v>0.54869441084615633</v>
      </c>
      <c r="T13" s="4">
        <f t="shared" ca="1" si="1"/>
        <v>0</v>
      </c>
      <c r="U13" s="4">
        <f t="shared" ca="1" si="2"/>
        <v>122</v>
      </c>
      <c r="V13" s="4">
        <f t="shared" ca="1" si="3"/>
        <v>238</v>
      </c>
      <c r="W13" s="10">
        <f t="shared" ca="1" si="4"/>
        <v>0.49075154631492662</v>
      </c>
      <c r="X13" s="5">
        <f t="shared" ca="1" si="5"/>
        <v>-0.10560133908029878</v>
      </c>
    </row>
    <row r="14" spans="1:24" x14ac:dyDescent="0.25">
      <c r="A14" t="s">
        <v>20</v>
      </c>
      <c r="B14" t="s">
        <v>21</v>
      </c>
      <c r="C14" s="56">
        <v>31</v>
      </c>
      <c r="D14" s="56">
        <v>12</v>
      </c>
      <c r="E14" s="56">
        <v>2015</v>
      </c>
      <c r="F14" s="5">
        <f>IF(VLOOKUP(A14,Dividende_je_Aktie!A$3:AM$103,6,FALSE)&lt;&gt;"",IF(VLOOKUP(A14,Ergebnis_je_Aktie_verwässert!A$3:AK$103,6,FALSE)&lt;&gt;"",IF(VLOOKUP(A14,Ergebnis_je_Aktie_verwässert!A$3:AK$103,6,FALSE)&lt;=0,2,IF(VLOOKUP(A14,Dividende_je_Aktie!A$3:AM$103,6,FALSE)/VLOOKUP(A14,Ergebnis_je_Aktie_verwässert!A$3:AK$103,6,FALSE)&gt;=2,2,VLOOKUP(A14,Dividende_je_Aktie!A$3:AM$103,6,FALSE)/VLOOKUP(A14,Ergebnis_je_Aktie_verwässert!A$3:AK$103,6,FALSE))),""),"")</f>
        <v>0.5125748502994012</v>
      </c>
      <c r="G14" s="5">
        <f>IF(VLOOKUP(A14,Dividende_je_Aktie!A$3:AM$103,7,FALSE)&lt;&gt;"",IF(VLOOKUP(A14,Ergebnis_je_Aktie_verwässert!A$3:AK$103,7,FALSE)&lt;&gt;"",IF(VLOOKUP(A14,Ergebnis_je_Aktie_verwässert!A$3:AK$103,7,FALSE)&lt;=0,2,IF(VLOOKUP(A14,Dividende_je_Aktie!A$3:AM$103,7,FALSE)/VLOOKUP(A14,Ergebnis_je_Aktie_verwässert!A$3:AK$103,7,FALSE)&gt;=2,2,VLOOKUP(A14,Dividende_je_Aktie!A$3:AM$103,7,FALSE)/VLOOKUP(A14,Ergebnis_je_Aktie_verwässert!A$3:AK$103,7,FALSE))),""),"")</f>
        <v>0.48690476190476184</v>
      </c>
      <c r="H14" s="5">
        <f>IF(VLOOKUP(A14,Dividende_je_Aktie!A$3:AM$103,8,FALSE)&lt;&gt;"",IF(VLOOKUP(A14,Ergebnis_je_Aktie_verwässert!A$3:AK$103,8,FALSE)&lt;&gt;"",IF(VLOOKUP(A14,Ergebnis_je_Aktie_verwässert!A$3:AK$103,8,FALSE)&lt;=0,2,IF(VLOOKUP(A14,Dividende_je_Aktie!A$3:AM$103,8,FALSE)/VLOOKUP(A14,Ergebnis_je_Aktie_verwässert!A$3:AK$103,8,FALSE)&gt;=2,2,VLOOKUP(A14,Dividende_je_Aktie!A$3:AM$103,8,FALSE)/VLOOKUP(A14,Ergebnis_je_Aktie_verwässert!A$3:AK$103,8,FALSE))),""),"")</f>
        <v>0.46529411764705886</v>
      </c>
      <c r="I14" s="5">
        <f>IF(VLOOKUP(A14,Dividende_je_Aktie!A$3:AM$103,9,FALSE)&lt;&gt;"",IF(VLOOKUP(A14,Ergebnis_je_Aktie_verwässert!A$3:AK$103,9,FALSE)&lt;&gt;"",IF(VLOOKUP(A14,Ergebnis_je_Aktie_verwässert!A$3:AK$103,9,FALSE)&lt;=0,2,IF(VLOOKUP(A14,Dividende_je_Aktie!A$3:AM$103,9,FALSE)/VLOOKUP(A14,Ergebnis_je_Aktie_verwässert!A$3:AK$103,9,FALSE)&gt;=2,2,VLOOKUP(A14,Dividende_je_Aktie!A$3:AM$103,9,FALSE)/VLOOKUP(A14,Ergebnis_je_Aktie_verwässert!A$3:AK$103,9,FALSE))),""),"")</f>
        <v>0.42326597487711637</v>
      </c>
      <c r="J14" s="5">
        <f>IF(VLOOKUP(A14,Dividende_je_Aktie!A$3:AM$103,10,FALSE)&lt;&gt;"",IF(VLOOKUP(A14,Ergebnis_je_Aktie_verwässert!A$3:AK$103,10,FALSE)&lt;&gt;"",IF(VLOOKUP(A14,Ergebnis_je_Aktie_verwässert!A$3:AK$103,10,FALSE)&lt;=0,2,IF(VLOOKUP(A14,Dividende_je_Aktie!A$3:AM$103,10,FALSE)/VLOOKUP(A14,Ergebnis_je_Aktie_verwässert!A$3:AK$103,10,FALSE)&gt;=2,2,VLOOKUP(A14,Dividende_je_Aktie!A$3:AM$103,10,FALSE)/VLOOKUP(A14,Ergebnis_je_Aktie_verwässert!A$3:AK$103,10,FALSE))),""),"")</f>
        <v>0.39189189189189189</v>
      </c>
      <c r="K14" s="5">
        <f>IF(VLOOKUP(A14,Dividende_je_Aktie!A$3:AM$103,11,FALSE)&lt;&gt;"",IF(VLOOKUP(A14,Ergebnis_je_Aktie_verwässert!A$3:AK$103,11,FALSE)&lt;&gt;"",IF(VLOOKUP(A14,Ergebnis_je_Aktie_verwässert!A$3:AK$103,11,FALSE)&lt;=0,2,IF(VLOOKUP(A14,Dividende_je_Aktie!A$3:AM$103,11,FALSE)/VLOOKUP(A14,Ergebnis_je_Aktie_verwässert!A$3:AK$103,11,FALSE)&gt;=2,2,VLOOKUP(A14,Dividende_je_Aktie!A$3:AM$103,11,FALSE)/VLOOKUP(A14,Ergebnis_je_Aktie_verwässert!A$3:AK$103,11,FALSE))),""),"")</f>
        <v>0.38932146829810899</v>
      </c>
      <c r="L14" s="5">
        <f>IF(VLOOKUP(A14,Dividende_je_Aktie!A$3:AM$103,12,FALSE)&lt;&gt;"",IF(VLOOKUP(A14,Ergebnis_je_Aktie_verwässert!A$3:AK$103,12,FALSE)&lt;&gt;"",IF(VLOOKUP(A14,Ergebnis_je_Aktie_verwässert!A$3:AK$103,12,FALSE)&lt;=0,2,IF(VLOOKUP(A14,Dividende_je_Aktie!A$3:AM$103,12,FALSE)/VLOOKUP(A14,Ergebnis_je_Aktie_verwässert!A$3:AK$103,12,FALSE)&gt;=2,2,VLOOKUP(A14,Dividende_je_Aktie!A$3:AM$103,12,FALSE)/VLOOKUP(A14,Ergebnis_je_Aktie_verwässert!A$3:AK$103,12,FALSE))),""),"")</f>
        <v>1.5862944162436547</v>
      </c>
      <c r="M14" s="5">
        <f>IF(VLOOKUP(A14,Dividende_je_Aktie!A$3:AM$103,13,FALSE)&lt;&gt;"",IF(VLOOKUP(A14,Ergebnis_je_Aktie_verwässert!A$3:AK$103,13,FALSE)&lt;&gt;"",IF(VLOOKUP(A14,Ergebnis_je_Aktie_verwässert!A$3:AK$103,13,FALSE)&lt;=0,2,IF(VLOOKUP(A14,Dividende_je_Aktie!A$3:AM$103,13,FALSE)/VLOOKUP(A14,Ergebnis_je_Aktie_verwässert!A$3:AK$103,13,FALSE)&gt;=2,2,VLOOKUP(A14,Dividende_je_Aktie!A$3:AM$103,13,FALSE)/VLOOKUP(A14,Ergebnis_je_Aktie_verwässert!A$3:AK$103,13,FALSE))),""),"")</f>
        <v>0.47856049004594181</v>
      </c>
      <c r="N14" s="5">
        <f>IF(VLOOKUP(A14,Dividende_je_Aktie!A$3:AM$103,14,FALSE)&lt;&gt;"",IF(VLOOKUP(A14,Ergebnis_je_Aktie_verwässert!A$3:AK$103,14,FALSE)&lt;&gt;"",IF(VLOOKUP(A14,Ergebnis_je_Aktie_verwässert!A$3:AK$103,14,FALSE)&lt;=0,2,IF(VLOOKUP(A14,Dividende_je_Aktie!A$3:AM$103,14,FALSE)/VLOOKUP(A14,Ergebnis_je_Aktie_verwässert!A$3:AK$103,14,FALSE)&gt;=2,2,VLOOKUP(A14,Dividende_je_Aktie!A$3:AM$103,14,FALSE)/VLOOKUP(A14,Ergebnis_je_Aktie_verwässert!A$3:AK$103,14,FALSE))),""),"")</f>
        <v>0.44401544401544402</v>
      </c>
      <c r="O14" s="5">
        <f>IF(VLOOKUP(A14,Dividende_je_Aktie!A$3:AM$103,15,FALSE)&lt;&gt;"",IF(VLOOKUP(A14,Ergebnis_je_Aktie_verwässert!A$3:AK$103,15,FALSE)&lt;&gt;"",IF(VLOOKUP(A14,Ergebnis_je_Aktie_verwässert!A$3:AK$103,15,FALSE)&lt;=0,2,IF(VLOOKUP(A14,Dividende_je_Aktie!A$3:AM$103,15,FALSE)/VLOOKUP(A14,Ergebnis_je_Aktie_verwässert!A$3:AK$103,15,FALSE)&gt;=2,2,VLOOKUP(A14,Dividende_je_Aktie!A$3:AM$103,15,FALSE)/VLOOKUP(A14,Ergebnis_je_Aktie_verwässert!A$3:AK$103,15,FALSE))),""),"")</f>
        <v>0.73529411764705876</v>
      </c>
      <c r="P14" s="5">
        <f>IF(VLOOKUP(A14,Dividende_je_Aktie!A$3:AM$103,16,FALSE)&lt;&gt;"",IF(VLOOKUP(A14,Ergebnis_je_Aktie_verwässert!A$3:AK$103,16,FALSE)&lt;&gt;"",IF(VLOOKUP(A14,Ergebnis_je_Aktie_verwässert!A$3:AK$103,16,FALSE)&lt;=0,2,IF(VLOOKUP(A14,Dividende_je_Aktie!A$3:AM$103,16,FALSE)/VLOOKUP(A14,Ergebnis_je_Aktie_verwässert!A$3:AK$103,16,FALSE)&gt;=2,2,VLOOKUP(A14,Dividende_je_Aktie!A$3:AM$103,16,FALSE)/VLOOKUP(A14,Ergebnis_je_Aktie_verwässert!A$3:AK$103,16,FALSE))),""),"")</f>
        <v>0.30726256983240224</v>
      </c>
      <c r="Q14" s="5">
        <f>IF(VLOOKUP(A14,Dividende_je_Aktie!A$3:AM$103,17,FALSE)&lt;&gt;"",IF(VLOOKUP(A14,Ergebnis_je_Aktie_verwässert!A$3:AK$103,17,FALSE)&lt;&gt;"",IF(VLOOKUP(A14,Ergebnis_je_Aktie_verwässert!A$3:AK$103,17,FALSE)&lt;=0,2,IF(VLOOKUP(A14,Dividende_je_Aktie!A$3:AM$103,17,FALSE)/VLOOKUP(A14,Ergebnis_je_Aktie_verwässert!A$3:AK$103,17,FALSE)&gt;=2,2,VLOOKUP(A14,Dividende_je_Aktie!A$3:AM$103,17,FALSE)/VLOOKUP(A14,Ergebnis_je_Aktie_verwässert!A$3:AK$103,17,FALSE))),""),"")</f>
        <v>0.29761904761904762</v>
      </c>
      <c r="R14" s="5">
        <f>IF(VLOOKUP(A14,Dividende_je_Aktie!A$3:AM$103,18,FALSE)&lt;&gt;"",IF(VLOOKUP(A14,Ergebnis_je_Aktie_verwässert!A$3:AK$103,18,FALSE)&lt;&gt;"",IF(VLOOKUP(A14,Ergebnis_je_Aktie_verwässert!A$3:AK$103,18,FALSE)&lt;=0,2,IF(VLOOKUP(A14,Dividende_je_Aktie!A$3:AM$103,18,FALSE)/VLOOKUP(A14,Ergebnis_je_Aktie_verwässert!A$3:AK$103,18,FALSE)&gt;=2,2,VLOOKUP(A14,Dividende_je_Aktie!A$3:AM$103,18,FALSE)/VLOOKUP(A14,Ergebnis_je_Aktie_verwässert!A$3:AK$103,18,FALSE))),""),"")</f>
        <v>0.26495726495726496</v>
      </c>
      <c r="S14" s="10">
        <f t="shared" si="0"/>
        <v>0.52178895502147327</v>
      </c>
      <c r="T14" s="4">
        <f t="shared" ca="1" si="1"/>
        <v>0</v>
      </c>
      <c r="U14" s="4">
        <f t="shared" ca="1" si="2"/>
        <v>122</v>
      </c>
      <c r="V14" s="4">
        <f t="shared" ca="1" si="3"/>
        <v>238</v>
      </c>
      <c r="W14" s="10">
        <f t="shared" ca="1" si="4"/>
        <v>0.47261772486772485</v>
      </c>
      <c r="X14" s="5">
        <f t="shared" ca="1" si="5"/>
        <v>-9.4235858541169892E-2</v>
      </c>
    </row>
    <row r="15" spans="1:24" x14ac:dyDescent="0.25">
      <c r="A15" t="s">
        <v>22</v>
      </c>
      <c r="B15" t="s">
        <v>23</v>
      </c>
      <c r="C15" s="56">
        <v>31</v>
      </c>
      <c r="D15" s="56">
        <v>12</v>
      </c>
      <c r="E15" s="56">
        <v>2015</v>
      </c>
      <c r="F15" s="5">
        <f>IF(VLOOKUP(A15,Dividende_je_Aktie!A$3:AM$103,6,FALSE)&lt;&gt;"",IF(VLOOKUP(A15,Ergebnis_je_Aktie_verwässert!A$3:AK$103,6,FALSE)&lt;&gt;"",IF(VLOOKUP(A15,Ergebnis_je_Aktie_verwässert!A$3:AK$103,6,FALSE)&lt;=0,2,IF(VLOOKUP(A15,Dividende_je_Aktie!A$3:AM$103,6,FALSE)/VLOOKUP(A15,Ergebnis_je_Aktie_verwässert!A$3:AK$103,6,FALSE)&gt;=2,2,VLOOKUP(A15,Dividende_je_Aktie!A$3:AM$103,6,FALSE)/VLOOKUP(A15,Ergebnis_je_Aktie_verwässert!A$3:AK$103,6,FALSE))),""),"")</f>
        <v>0.50952380952380949</v>
      </c>
      <c r="G15" s="5">
        <f>IF(VLOOKUP(A15,Dividende_je_Aktie!A$3:AM$103,7,FALSE)&lt;&gt;"",IF(VLOOKUP(A15,Ergebnis_je_Aktie_verwässert!A$3:AK$103,7,FALSE)&lt;&gt;"",IF(VLOOKUP(A15,Ergebnis_je_Aktie_verwässert!A$3:AK$103,7,FALSE)&lt;=0,2,IF(VLOOKUP(A15,Dividende_je_Aktie!A$3:AM$103,7,FALSE)/VLOOKUP(A15,Ergebnis_je_Aktie_verwässert!A$3:AK$103,7,FALSE)&gt;=2,2,VLOOKUP(A15,Dividende_je_Aktie!A$3:AM$103,7,FALSE)/VLOOKUP(A15,Ergebnis_je_Aktie_verwässert!A$3:AK$103,7,FALSE))),""),"")</f>
        <v>0.53333333333333333</v>
      </c>
      <c r="H15" s="5">
        <f>IF(VLOOKUP(A15,Dividende_je_Aktie!A$3:AM$103,8,FALSE)&lt;&gt;"",IF(VLOOKUP(A15,Ergebnis_je_Aktie_verwässert!A$3:AK$103,8,FALSE)&lt;&gt;"",IF(VLOOKUP(A15,Ergebnis_je_Aktie_verwässert!A$3:AK$103,8,FALSE)&lt;=0,2,IF(VLOOKUP(A15,Dividende_je_Aktie!A$3:AM$103,8,FALSE)/VLOOKUP(A15,Ergebnis_je_Aktie_verwässert!A$3:AK$103,8,FALSE)&gt;=2,2,VLOOKUP(A15,Dividende_je_Aktie!A$3:AM$103,8,FALSE)/VLOOKUP(A15,Ergebnis_je_Aktie_verwässert!A$3:AK$103,8,FALSE))),""),"")</f>
        <v>0.57199211045364884</v>
      </c>
      <c r="I15" s="5">
        <f>IF(VLOOKUP(A15,Dividende_je_Aktie!A$3:AM$103,9,FALSE)&lt;&gt;"",IF(VLOOKUP(A15,Ergebnis_je_Aktie_verwässert!A$3:AK$103,9,FALSE)&lt;&gt;"",IF(VLOOKUP(A15,Ergebnis_je_Aktie_verwässert!A$3:AK$103,9,FALSE)&lt;=0,2,IF(VLOOKUP(A15,Dividende_je_Aktie!A$3:AM$103,9,FALSE)/VLOOKUP(A15,Ergebnis_je_Aktie_verwässert!A$3:AK$103,9,FALSE)&gt;=2,2,VLOOKUP(A15,Dividende_je_Aktie!A$3:AM$103,9,FALSE)/VLOOKUP(A15,Ergebnis_je_Aktie_verwässert!A$3:AK$103,9,FALSE))),""),"")</f>
        <v>0.5</v>
      </c>
      <c r="J15" s="5">
        <f>IF(VLOOKUP(A15,Dividende_je_Aktie!A$3:AM$103,10,FALSE)&lt;&gt;"",IF(VLOOKUP(A15,Ergebnis_je_Aktie_verwässert!A$3:AK$103,10,FALSE)&lt;&gt;"",IF(VLOOKUP(A15,Ergebnis_je_Aktie_verwässert!A$3:AK$103,10,FALSE)&lt;=0,2,IF(VLOOKUP(A15,Dividende_je_Aktie!A$3:AM$103,10,FALSE)/VLOOKUP(A15,Ergebnis_je_Aktie_verwässert!A$3:AK$103,10,FALSE)&gt;=2,2,VLOOKUP(A15,Dividende_je_Aktie!A$3:AM$103,10,FALSE)/VLOOKUP(A15,Ergebnis_je_Aktie_verwässert!A$3:AK$103,10,FALSE))),""),"")</f>
        <v>0.51233396584440238</v>
      </c>
      <c r="K15" s="5">
        <f>IF(VLOOKUP(A15,Dividende_je_Aktie!A$3:AM$103,11,FALSE)&lt;&gt;"",IF(VLOOKUP(A15,Ergebnis_je_Aktie_verwässert!A$3:AK$103,11,FALSE)&lt;&gt;"",IF(VLOOKUP(A15,Ergebnis_je_Aktie_verwässert!A$3:AK$103,11,FALSE)&lt;=0,2,IF(VLOOKUP(A15,Dividende_je_Aktie!A$3:AM$103,11,FALSE)/VLOOKUP(A15,Ergebnis_je_Aktie_verwässert!A$3:AK$103,11,FALSE)&gt;=2,2,VLOOKUP(A15,Dividende_je_Aktie!A$3:AM$103,11,FALSE)/VLOOKUP(A15,Ergebnis_je_Aktie_verwässert!A$3:AK$103,11,FALSE))),""),"")</f>
        <v>0.48964218455743885</v>
      </c>
      <c r="L15" s="5">
        <f>IF(VLOOKUP(A15,Dividende_je_Aktie!A$3:AM$103,12,FALSE)&lt;&gt;"",IF(VLOOKUP(A15,Ergebnis_je_Aktie_verwässert!A$3:AK$103,12,FALSE)&lt;&gt;"",IF(VLOOKUP(A15,Ergebnis_je_Aktie_verwässert!A$3:AK$103,12,FALSE)&lt;=0,2,IF(VLOOKUP(A15,Dividende_je_Aktie!A$3:AM$103,12,FALSE)/VLOOKUP(A15,Ergebnis_je_Aktie_verwässert!A$3:AK$103,12,FALSE)&gt;=2,2,VLOOKUP(A15,Dividende_je_Aktie!A$3:AM$103,12,FALSE)/VLOOKUP(A15,Ergebnis_je_Aktie_verwässert!A$3:AK$103,12,FALSE))),""),"")</f>
        <v>0.37147102526002967</v>
      </c>
      <c r="M15" s="5">
        <f>IF(VLOOKUP(A15,Dividende_je_Aktie!A$3:AM$103,13,FALSE)&lt;&gt;"",IF(VLOOKUP(A15,Ergebnis_je_Aktie_verwässert!A$3:AK$103,13,FALSE)&lt;&gt;"",IF(VLOOKUP(A15,Ergebnis_je_Aktie_verwässert!A$3:AK$103,13,FALSE)&lt;=0,2,IF(VLOOKUP(A15,Dividende_je_Aktie!A$3:AM$103,13,FALSE)/VLOOKUP(A15,Ergebnis_je_Aktie_verwässert!A$3:AK$103,13,FALSE)&gt;=2,2,VLOOKUP(A15,Dividende_je_Aktie!A$3:AM$103,13,FALSE)/VLOOKUP(A15,Ergebnis_je_Aktie_verwässert!A$3:AK$103,13,FALSE))),""),"")</f>
        <v>0.44354838709677424</v>
      </c>
      <c r="N15" s="5">
        <f>IF(VLOOKUP(A15,Dividende_je_Aktie!A$3:AM$103,14,FALSE)&lt;&gt;"",IF(VLOOKUP(A15,Ergebnis_je_Aktie_verwässert!A$3:AK$103,14,FALSE)&lt;&gt;"",IF(VLOOKUP(A15,Ergebnis_je_Aktie_verwässert!A$3:AK$103,14,FALSE)&lt;=0,2,IF(VLOOKUP(A15,Dividende_je_Aktie!A$3:AM$103,14,FALSE)/VLOOKUP(A15,Ergebnis_je_Aktie_verwässert!A$3:AK$103,14,FALSE)&gt;=2,2,VLOOKUP(A15,Dividende_je_Aktie!A$3:AM$103,14,FALSE)/VLOOKUP(A15,Ergebnis_je_Aktie_verwässert!A$3:AK$103,14,FALSE))),""),"")</f>
        <v>1.1038961038961039</v>
      </c>
      <c r="O15" s="5">
        <f>IF(VLOOKUP(A15,Dividende_je_Aktie!A$3:AM$103,15,FALSE)&lt;&gt;"",IF(VLOOKUP(A15,Ergebnis_je_Aktie_verwässert!A$3:AK$103,15,FALSE)&lt;&gt;"",IF(VLOOKUP(A15,Ergebnis_je_Aktie_verwässert!A$3:AK$103,15,FALSE)&lt;=0,2,IF(VLOOKUP(A15,Dividende_je_Aktie!A$3:AM$103,15,FALSE)/VLOOKUP(A15,Ergebnis_je_Aktie_verwässert!A$3:AK$103,15,FALSE)&gt;=2,2,VLOOKUP(A15,Dividende_je_Aktie!A$3:AM$103,15,FALSE)/VLOOKUP(A15,Ergebnis_je_Aktie_verwässert!A$3:AK$103,15,FALSE))),""),"")</f>
        <v>0.6230031948881789</v>
      </c>
      <c r="P15" s="5">
        <f>IF(VLOOKUP(A15,Dividende_je_Aktie!A$3:AM$103,16,FALSE)&lt;&gt;"",IF(VLOOKUP(A15,Ergebnis_je_Aktie_verwässert!A$3:AK$103,16,FALSE)&lt;&gt;"",IF(VLOOKUP(A15,Ergebnis_je_Aktie_verwässert!A$3:AK$103,16,FALSE)&lt;=0,2,IF(VLOOKUP(A15,Dividende_je_Aktie!A$3:AM$103,16,FALSE)/VLOOKUP(A15,Ergebnis_je_Aktie_verwässert!A$3:AK$103,16,FALSE)&gt;=2,2,VLOOKUP(A15,Dividende_je_Aktie!A$3:AM$103,16,FALSE)/VLOOKUP(A15,Ergebnis_je_Aktie_verwässert!A$3:AK$103,16,FALSE))),""),"")</f>
        <v>0.46875</v>
      </c>
      <c r="Q15" s="5">
        <f>IF(VLOOKUP(A15,Dividende_je_Aktie!A$3:AM$103,17,FALSE)&lt;&gt;"",IF(VLOOKUP(A15,Ergebnis_je_Aktie_verwässert!A$3:AK$103,17,FALSE)&lt;&gt;"",IF(VLOOKUP(A15,Ergebnis_je_Aktie_verwässert!A$3:AK$103,17,FALSE)&lt;=0,2,IF(VLOOKUP(A15,Dividende_je_Aktie!A$3:AM$103,17,FALSE)/VLOOKUP(A15,Ergebnis_je_Aktie_verwässert!A$3:AK$103,17,FALSE)&gt;=2,2,VLOOKUP(A15,Dividende_je_Aktie!A$3:AM$103,17,FALSE)/VLOOKUP(A15,Ergebnis_je_Aktie_verwässert!A$3:AK$103,17,FALSE))),""),"")</f>
        <v>0.47021943573667713</v>
      </c>
      <c r="R15" s="5">
        <f>IF(VLOOKUP(A15,Dividende_je_Aktie!A$3:AM$103,18,FALSE)&lt;&gt;"",IF(VLOOKUP(A15,Ergebnis_je_Aktie_verwässert!A$3:AK$103,18,FALSE)&lt;&gt;"",IF(VLOOKUP(A15,Ergebnis_je_Aktie_verwässert!A$3:AK$103,18,FALSE)&lt;=0,2,IF(VLOOKUP(A15,Dividende_je_Aktie!A$3:AM$103,18,FALSE)/VLOOKUP(A15,Ergebnis_je_Aktie_verwässert!A$3:AK$103,18,FALSE)&gt;=2,2,VLOOKUP(A15,Dividende_je_Aktie!A$3:AM$103,18,FALSE)/VLOOKUP(A15,Ergebnis_je_Aktie_verwässert!A$3:AK$103,18,FALSE))),""),"")</f>
        <v>0.34843205574912889</v>
      </c>
      <c r="S15" s="10">
        <f t="shared" si="0"/>
        <v>0.53431889279534817</v>
      </c>
      <c r="T15" s="4">
        <f t="shared" ca="1" si="1"/>
        <v>0</v>
      </c>
      <c r="U15" s="4">
        <f t="shared" ca="1" si="2"/>
        <v>122</v>
      </c>
      <c r="V15" s="4">
        <f t="shared" ca="1" si="3"/>
        <v>238</v>
      </c>
      <c r="W15" s="10">
        <f t="shared" ca="1" si="4"/>
        <v>0.55889108042954194</v>
      </c>
      <c r="X15" s="5">
        <f t="shared" ca="1" si="5"/>
        <v>4.5987869726338282E-2</v>
      </c>
    </row>
    <row r="16" spans="1:24" x14ac:dyDescent="0.25">
      <c r="A16" t="s">
        <v>24</v>
      </c>
      <c r="B16" t="s">
        <v>25</v>
      </c>
      <c r="C16" s="56">
        <v>31</v>
      </c>
      <c r="D16" s="56">
        <v>12</v>
      </c>
      <c r="E16" s="56">
        <v>2015</v>
      </c>
      <c r="F16" s="5">
        <f>IF(VLOOKUP(A16,Dividende_je_Aktie!A$3:AM$103,6,FALSE)&lt;&gt;"",IF(VLOOKUP(A16,Ergebnis_je_Aktie_verwässert!A$3:AK$103,6,FALSE)&lt;&gt;"",IF(VLOOKUP(A16,Ergebnis_je_Aktie_verwässert!A$3:AK$103,6,FALSE)&lt;=0,2,IF(VLOOKUP(A16,Dividende_je_Aktie!A$3:AM$103,6,FALSE)/VLOOKUP(A16,Ergebnis_je_Aktie_verwässert!A$3:AK$103,6,FALSE)&gt;=2,2,VLOOKUP(A16,Dividende_je_Aktie!A$3:AM$103,6,FALSE)/VLOOKUP(A16,Ergebnis_je_Aktie_verwässert!A$3:AK$103,6,FALSE))),""),"")</f>
        <v>0.42597765363128487</v>
      </c>
      <c r="G16" s="5">
        <f>IF(VLOOKUP(A16,Dividende_je_Aktie!A$3:AM$103,7,FALSE)&lt;&gt;"",IF(VLOOKUP(A16,Ergebnis_je_Aktie_verwässert!A$3:AK$103,7,FALSE)&lt;&gt;"",IF(VLOOKUP(A16,Ergebnis_je_Aktie_verwässert!A$3:AK$103,7,FALSE)&lt;=0,2,IF(VLOOKUP(A16,Dividende_je_Aktie!A$3:AM$103,7,FALSE)/VLOOKUP(A16,Ergebnis_je_Aktie_verwässert!A$3:AK$103,7,FALSE)&gt;=2,2,VLOOKUP(A16,Dividende_je_Aktie!A$3:AM$103,7,FALSE)/VLOOKUP(A16,Ergebnis_je_Aktie_verwässert!A$3:AK$103,7,FALSE))),""),"")</f>
        <v>0.44426751592356689</v>
      </c>
      <c r="H16" s="5">
        <f>IF(VLOOKUP(A16,Dividende_je_Aktie!A$3:AM$103,8,FALSE)&lt;&gt;"",IF(VLOOKUP(A16,Ergebnis_je_Aktie_verwässert!A$3:AK$103,8,FALSE)&lt;&gt;"",IF(VLOOKUP(A16,Ergebnis_je_Aktie_verwässert!A$3:AK$103,8,FALSE)&lt;=0,2,IF(VLOOKUP(A16,Dividende_je_Aktie!A$3:AM$103,8,FALSE)/VLOOKUP(A16,Ergebnis_je_Aktie_verwässert!A$3:AK$103,8,FALSE)&gt;=2,2,VLOOKUP(A16,Dividende_je_Aktie!A$3:AM$103,8,FALSE)/VLOOKUP(A16,Ergebnis_je_Aktie_verwässert!A$3:AK$103,8,FALSE))),""),"")</f>
        <v>0.49407114624505932</v>
      </c>
      <c r="I16" s="5">
        <f>IF(VLOOKUP(A16,Dividende_je_Aktie!A$3:AM$103,9,FALSE)&lt;&gt;"",IF(VLOOKUP(A16,Ergebnis_je_Aktie_verwässert!A$3:AK$103,9,FALSE)&lt;&gt;"",IF(VLOOKUP(A16,Ergebnis_je_Aktie_verwässert!A$3:AK$103,9,FALSE)&lt;=0,2,IF(VLOOKUP(A16,Dividende_je_Aktie!A$3:AM$103,9,FALSE)/VLOOKUP(A16,Ergebnis_je_Aktie_verwässert!A$3:AK$103,9,FALSE)&gt;=2,2,VLOOKUP(A16,Dividende_je_Aktie!A$3:AM$103,9,FALSE)/VLOOKUP(A16,Ergebnis_je_Aktie_verwässert!A$3:AK$103,9,FALSE))),""),"")</f>
        <v>0.5434782608695653</v>
      </c>
      <c r="J16" s="5">
        <f>IF(VLOOKUP(A16,Dividende_je_Aktie!A$3:AM$103,10,FALSE)&lt;&gt;"",IF(VLOOKUP(A16,Ergebnis_je_Aktie_verwässert!A$3:AK$103,10,FALSE)&lt;&gt;"",IF(VLOOKUP(A16,Ergebnis_je_Aktie_verwässert!A$3:AK$103,10,FALSE)&lt;=0,2,IF(VLOOKUP(A16,Dividende_je_Aktie!A$3:AM$103,10,FALSE)/VLOOKUP(A16,Ergebnis_je_Aktie_verwässert!A$3:AK$103,10,FALSE)&gt;=2,2,VLOOKUP(A16,Dividende_je_Aktie!A$3:AM$103,10,FALSE)/VLOOKUP(A16,Ergebnis_je_Aktie_verwässert!A$3:AK$103,10,FALSE))),""),"")</f>
        <v>0.54404145077720212</v>
      </c>
      <c r="K16" s="5">
        <f>IF(VLOOKUP(A16,Dividende_je_Aktie!A$3:AM$103,11,FALSE)&lt;&gt;"",IF(VLOOKUP(A16,Ergebnis_je_Aktie_verwässert!A$3:AK$103,11,FALSE)&lt;&gt;"",IF(VLOOKUP(A16,Ergebnis_je_Aktie_verwässert!A$3:AK$103,11,FALSE)&lt;=0,2,IF(VLOOKUP(A16,Dividende_je_Aktie!A$3:AM$103,11,FALSE)/VLOOKUP(A16,Ergebnis_je_Aktie_verwässert!A$3:AK$103,11,FALSE)&gt;=2,2,VLOOKUP(A16,Dividende_je_Aktie!A$3:AM$103,11,FALSE)/VLOOKUP(A16,Ergebnis_je_Aktie_verwässert!A$3:AK$103,11,FALSE))),""),"")</f>
        <v>0.64189189189189189</v>
      </c>
      <c r="L16" s="5">
        <f>IF(VLOOKUP(A16,Dividende_je_Aktie!A$3:AM$103,12,FALSE)&lt;&gt;"",IF(VLOOKUP(A16,Ergebnis_je_Aktie_verwässert!A$3:AK$103,12,FALSE)&lt;&gt;"",IF(VLOOKUP(A16,Ergebnis_je_Aktie_verwässert!A$3:AK$103,12,FALSE)&lt;=0,2,IF(VLOOKUP(A16,Dividende_je_Aktie!A$3:AM$103,12,FALSE)/VLOOKUP(A16,Ergebnis_je_Aktie_verwässert!A$3:AK$103,12,FALSE)&gt;=2,2,VLOOKUP(A16,Dividende_je_Aktie!A$3:AM$103,12,FALSE)/VLOOKUP(A16,Ergebnis_je_Aktie_verwässert!A$3:AK$103,12,FALSE))),""),"")</f>
        <v>0.55183946488294311</v>
      </c>
      <c r="M16" s="5">
        <f>IF(VLOOKUP(A16,Dividende_je_Aktie!A$3:AM$103,13,FALSE)&lt;&gt;"",IF(VLOOKUP(A16,Ergebnis_je_Aktie_verwässert!A$3:AK$103,13,FALSE)&lt;&gt;"",IF(VLOOKUP(A16,Ergebnis_je_Aktie_verwässert!A$3:AK$103,13,FALSE)&lt;=0,2,IF(VLOOKUP(A16,Dividende_je_Aktie!A$3:AM$103,13,FALSE)/VLOOKUP(A16,Ergebnis_je_Aktie_verwässert!A$3:AK$103,13,FALSE)&gt;=2,2,VLOOKUP(A16,Dividende_je_Aktie!A$3:AM$103,13,FALSE)/VLOOKUP(A16,Ergebnis_je_Aktie_verwässert!A$3:AK$103,13,FALSE))),""),"")</f>
        <v>0.95541401273885351</v>
      </c>
      <c r="N16" s="5">
        <f>IF(VLOOKUP(A16,Dividende_je_Aktie!A$3:AM$103,14,FALSE)&lt;&gt;"",IF(VLOOKUP(A16,Ergebnis_je_Aktie_verwässert!A$3:AK$103,14,FALSE)&lt;&gt;"",IF(VLOOKUP(A16,Ergebnis_je_Aktie_verwässert!A$3:AK$103,14,FALSE)&lt;=0,2,IF(VLOOKUP(A16,Dividende_je_Aktie!A$3:AM$103,14,FALSE)/VLOOKUP(A16,Ergebnis_je_Aktie_verwässert!A$3:AK$103,14,FALSE)&gt;=2,2,VLOOKUP(A16,Dividende_je_Aktie!A$3:AM$103,14,FALSE)/VLOOKUP(A16,Ergebnis_je_Aktie_verwässert!A$3:AK$103,14,FALSE))),""),"")</f>
        <v>0.82352941176470584</v>
      </c>
      <c r="O16" s="5">
        <f>IF(VLOOKUP(A16,Dividende_je_Aktie!A$3:AM$103,15,FALSE)&lt;&gt;"",IF(VLOOKUP(A16,Ergebnis_je_Aktie_verwässert!A$3:AK$103,15,FALSE)&lt;&gt;"",IF(VLOOKUP(A16,Ergebnis_je_Aktie_verwässert!A$3:AK$103,15,FALSE)&lt;=0,2,IF(VLOOKUP(A16,Dividende_je_Aktie!A$3:AM$103,15,FALSE)/VLOOKUP(A16,Ergebnis_je_Aktie_verwässert!A$3:AK$103,15,FALSE)&gt;=2,2,VLOOKUP(A16,Dividende_je_Aktie!A$3:AM$103,15,FALSE)/VLOOKUP(A16,Ergebnis_je_Aktie_verwässert!A$3:AK$103,15,FALSE))),""),"")</f>
        <v>0.63063063063063052</v>
      </c>
      <c r="P16" s="5">
        <f>IF(VLOOKUP(A16,Dividende_je_Aktie!A$3:AM$103,16,FALSE)&lt;&gt;"",IF(VLOOKUP(A16,Ergebnis_je_Aktie_verwässert!A$3:AK$103,16,FALSE)&lt;&gt;"",IF(VLOOKUP(A16,Ergebnis_je_Aktie_verwässert!A$3:AK$103,16,FALSE)&lt;=0,2,IF(VLOOKUP(A16,Dividende_je_Aktie!A$3:AM$103,16,FALSE)/VLOOKUP(A16,Ergebnis_je_Aktie_verwässert!A$3:AK$103,16,FALSE)&gt;=2,2,VLOOKUP(A16,Dividende_je_Aktie!A$3:AM$103,16,FALSE)/VLOOKUP(A16,Ergebnis_je_Aktie_verwässert!A$3:AK$103,16,FALSE))),""),"")</f>
        <v>0.35526315789473689</v>
      </c>
      <c r="Q16" s="5">
        <f>IF(VLOOKUP(A16,Dividende_je_Aktie!A$3:AM$103,17,FALSE)&lt;&gt;"",IF(VLOOKUP(A16,Ergebnis_je_Aktie_verwässert!A$3:AK$103,17,FALSE)&lt;&gt;"",IF(VLOOKUP(A16,Ergebnis_je_Aktie_verwässert!A$3:AK$103,17,FALSE)&lt;=0,2,IF(VLOOKUP(A16,Dividende_je_Aktie!A$3:AM$103,17,FALSE)/VLOOKUP(A16,Ergebnis_je_Aktie_verwässert!A$3:AK$103,17,FALSE)&gt;=2,2,VLOOKUP(A16,Dividende_je_Aktie!A$3:AM$103,17,FALSE)/VLOOKUP(A16,Ergebnis_je_Aktie_verwässert!A$3:AK$103,17,FALSE))),""),"")</f>
        <v>0.4504504504504504</v>
      </c>
      <c r="R16" s="5">
        <f>IF(VLOOKUP(A16,Dividende_je_Aktie!A$3:AM$103,18,FALSE)&lt;&gt;"",IF(VLOOKUP(A16,Ergebnis_je_Aktie_verwässert!A$3:AK$103,18,FALSE)&lt;&gt;"",IF(VLOOKUP(A16,Ergebnis_je_Aktie_verwässert!A$3:AK$103,18,FALSE)&lt;=0,2,IF(VLOOKUP(A16,Dividende_je_Aktie!A$3:AM$103,18,FALSE)/VLOOKUP(A16,Ergebnis_je_Aktie_verwässert!A$3:AK$103,18,FALSE)&gt;=2,2,VLOOKUP(A16,Dividende_je_Aktie!A$3:AM$103,18,FALSE)/VLOOKUP(A16,Ergebnis_je_Aktie_verwässert!A$3:AK$103,18,FALSE))),""),"")</f>
        <v>0.43378995433789952</v>
      </c>
      <c r="S16" s="10">
        <f t="shared" si="0"/>
        <v>0.56112653861836848</v>
      </c>
      <c r="T16" s="4">
        <f t="shared" ca="1" si="1"/>
        <v>0</v>
      </c>
      <c r="U16" s="4">
        <f t="shared" ca="1" si="2"/>
        <v>122</v>
      </c>
      <c r="V16" s="4">
        <f t="shared" ca="1" si="3"/>
        <v>238</v>
      </c>
      <c r="W16" s="10">
        <f t="shared" ca="1" si="4"/>
        <v>0.47719324930277573</v>
      </c>
      <c r="X16" s="5">
        <f t="shared" ca="1" si="5"/>
        <v>-0.14957996733189116</v>
      </c>
    </row>
    <row r="17" spans="1:24" x14ac:dyDescent="0.25">
      <c r="A17" t="s">
        <v>26</v>
      </c>
      <c r="B17" t="s">
        <v>27</v>
      </c>
      <c r="C17" s="56">
        <v>31</v>
      </c>
      <c r="D17" s="56">
        <v>12</v>
      </c>
      <c r="E17" s="56">
        <v>2015</v>
      </c>
      <c r="F17" s="5">
        <f>IF(VLOOKUP(A17,Dividende_je_Aktie!A$3:AM$103,6,FALSE)&lt;&gt;"",IF(VLOOKUP(A17,Ergebnis_je_Aktie_verwässert!A$3:AK$103,6,FALSE)&lt;&gt;"",IF(VLOOKUP(A17,Ergebnis_je_Aktie_verwässert!A$3:AK$103,6,FALSE)&lt;=0,2,IF(VLOOKUP(A17,Dividende_je_Aktie!A$3:AM$103,6,FALSE)/VLOOKUP(A17,Ergebnis_je_Aktie_verwässert!A$3:AK$103,6,FALSE)&gt;=2,2,VLOOKUP(A17,Dividende_je_Aktie!A$3:AM$103,6,FALSE)/VLOOKUP(A17,Ergebnis_je_Aktie_verwässert!A$3:AK$103,6,FALSE))),""),"")</f>
        <v>0.69230769230769229</v>
      </c>
      <c r="G17" s="5">
        <f>IF(VLOOKUP(A17,Dividende_je_Aktie!A$3:AM$103,7,FALSE)&lt;&gt;"",IF(VLOOKUP(A17,Ergebnis_je_Aktie_verwässert!A$3:AK$103,7,FALSE)&lt;&gt;"",IF(VLOOKUP(A17,Ergebnis_je_Aktie_verwässert!A$3:AK$103,7,FALSE)&lt;=0,2,IF(VLOOKUP(A17,Dividende_je_Aktie!A$3:AM$103,7,FALSE)/VLOOKUP(A17,Ergebnis_je_Aktie_verwässert!A$3:AK$103,7,FALSE)&gt;=2,2,VLOOKUP(A17,Dividende_je_Aktie!A$3:AM$103,7,FALSE)/VLOOKUP(A17,Ergebnis_je_Aktie_verwässert!A$3:AK$103,7,FALSE))),""),"")</f>
        <v>0.77777777777777768</v>
      </c>
      <c r="H17" s="5">
        <f>IF(VLOOKUP(A17,Dividende_je_Aktie!A$3:AM$103,8,FALSE)&lt;&gt;"",IF(VLOOKUP(A17,Ergebnis_je_Aktie_verwässert!A$3:AK$103,8,FALSE)&lt;&gt;"",IF(VLOOKUP(A17,Ergebnis_je_Aktie_verwässert!A$3:AK$103,8,FALSE)&lt;=0,2,IF(VLOOKUP(A17,Dividende_je_Aktie!A$3:AM$103,8,FALSE)/VLOOKUP(A17,Ergebnis_je_Aktie_verwässert!A$3:AK$103,8,FALSE)&gt;=2,2,VLOOKUP(A17,Dividende_je_Aktie!A$3:AM$103,8,FALSE)/VLOOKUP(A17,Ergebnis_je_Aktie_verwässert!A$3:AK$103,8,FALSE))),""),"")</f>
        <v>0.87499999999999989</v>
      </c>
      <c r="I17" s="5">
        <f>IF(VLOOKUP(A17,Dividende_je_Aktie!A$3:AM$103,9,FALSE)&lt;&gt;"",IF(VLOOKUP(A17,Ergebnis_je_Aktie_verwässert!A$3:AK$103,9,FALSE)&lt;&gt;"",IF(VLOOKUP(A17,Ergebnis_je_Aktie_verwässert!A$3:AK$103,9,FALSE)&lt;=0,2,IF(VLOOKUP(A17,Dividende_je_Aktie!A$3:AM$103,9,FALSE)/VLOOKUP(A17,Ergebnis_je_Aktie_verwässert!A$3:AK$103,9,FALSE)&gt;=2,2,VLOOKUP(A17,Dividende_je_Aktie!A$3:AM$103,9,FALSE)/VLOOKUP(A17,Ergebnis_je_Aktie_verwässert!A$3:AK$103,9,FALSE))),""),"")</f>
        <v>0.65573770491803285</v>
      </c>
      <c r="J17" s="5">
        <f>IF(VLOOKUP(A17,Dividende_je_Aktie!A$3:AM$103,10,FALSE)&lt;&gt;"",IF(VLOOKUP(A17,Ergebnis_je_Aktie_verwässert!A$3:AK$103,10,FALSE)&lt;&gt;"",IF(VLOOKUP(A17,Ergebnis_je_Aktie_verwässert!A$3:AK$103,10,FALSE)&lt;=0,2,IF(VLOOKUP(A17,Dividende_je_Aktie!A$3:AM$103,10,FALSE)/VLOOKUP(A17,Ergebnis_je_Aktie_verwässert!A$3:AK$103,10,FALSE)&gt;=2,2,VLOOKUP(A17,Dividende_je_Aktie!A$3:AM$103,10,FALSE)/VLOOKUP(A17,Ergebnis_je_Aktie_verwässert!A$3:AK$103,10,FALSE))),""),"")</f>
        <v>0.74257425742574257</v>
      </c>
      <c r="K17" s="5">
        <f>IF(VLOOKUP(A17,Dividende_je_Aktie!A$3:AM$103,11,FALSE)&lt;&gt;"",IF(VLOOKUP(A17,Ergebnis_je_Aktie_verwässert!A$3:AK$103,11,FALSE)&lt;&gt;"",IF(VLOOKUP(A17,Ergebnis_je_Aktie_verwässert!A$3:AK$103,11,FALSE)&lt;=0,2,IF(VLOOKUP(A17,Dividende_je_Aktie!A$3:AM$103,11,FALSE)/VLOOKUP(A17,Ergebnis_je_Aktie_verwässert!A$3:AK$103,11,FALSE)&gt;=2,2,VLOOKUP(A17,Dividende_je_Aktie!A$3:AM$103,11,FALSE)/VLOOKUP(A17,Ergebnis_je_Aktie_verwässert!A$3:AK$103,11,FALSE))),""),"")</f>
        <v>0.94252873563218387</v>
      </c>
      <c r="L17" s="5">
        <f>IF(VLOOKUP(A17,Dividende_je_Aktie!A$3:AM$103,12,FALSE)&lt;&gt;"",IF(VLOOKUP(A17,Ergebnis_je_Aktie_verwässert!A$3:AK$103,12,FALSE)&lt;&gt;"",IF(VLOOKUP(A17,Ergebnis_je_Aktie_verwässert!A$3:AK$103,12,FALSE)&lt;=0,2,IF(VLOOKUP(A17,Dividende_je_Aktie!A$3:AM$103,12,FALSE)/VLOOKUP(A17,Ergebnis_je_Aktie_verwässert!A$3:AK$103,12,FALSE)&gt;=2,2,VLOOKUP(A17,Dividende_je_Aktie!A$3:AM$103,12,FALSE)/VLOOKUP(A17,Ergebnis_je_Aktie_verwässert!A$3:AK$103,12,FALSE))),""),"")</f>
        <v>1.2666666666666668</v>
      </c>
      <c r="M17" s="5">
        <f>IF(VLOOKUP(A17,Dividende_je_Aktie!A$3:AM$103,13,FALSE)&lt;&gt;"",IF(VLOOKUP(A17,Ergebnis_je_Aktie_verwässert!A$3:AK$103,13,FALSE)&lt;&gt;"",IF(VLOOKUP(A17,Ergebnis_je_Aktie_verwässert!A$3:AK$103,13,FALSE)&lt;=0,2,IF(VLOOKUP(A17,Dividende_je_Aktie!A$3:AM$103,13,FALSE)/VLOOKUP(A17,Ergebnis_je_Aktie_verwässert!A$3:AK$103,13,FALSE)&gt;=2,2,VLOOKUP(A17,Dividende_je_Aktie!A$3:AM$103,13,FALSE)/VLOOKUP(A17,Ergebnis_je_Aktie_verwässert!A$3:AK$103,13,FALSE))),""),"")</f>
        <v>0.57777777777777783</v>
      </c>
      <c r="N17" s="5">
        <f>IF(VLOOKUP(A17,Dividende_je_Aktie!A$3:AM$103,14,FALSE)&lt;&gt;"",IF(VLOOKUP(A17,Ergebnis_je_Aktie_verwässert!A$3:AK$103,14,FALSE)&lt;&gt;"",IF(VLOOKUP(A17,Ergebnis_je_Aktie_verwässert!A$3:AK$103,14,FALSE)&lt;=0,2,IF(VLOOKUP(A17,Dividende_je_Aktie!A$3:AM$103,14,FALSE)/VLOOKUP(A17,Ergebnis_je_Aktie_verwässert!A$3:AK$103,14,FALSE)&gt;=2,2,VLOOKUP(A17,Dividende_je_Aktie!A$3:AM$103,14,FALSE)/VLOOKUP(A17,Ergebnis_je_Aktie_verwässert!A$3:AK$103,14,FALSE))),""),"")</f>
        <v>0.58479532163742687</v>
      </c>
      <c r="O17" s="5">
        <f>IF(VLOOKUP(A17,Dividende_je_Aktie!A$3:AM$103,15,FALSE)&lt;&gt;"",IF(VLOOKUP(A17,Ergebnis_je_Aktie_verwässert!A$3:AK$103,15,FALSE)&lt;&gt;"",IF(VLOOKUP(A17,Ergebnis_je_Aktie_verwässert!A$3:AK$103,15,FALSE)&lt;=0,2,IF(VLOOKUP(A17,Dividende_je_Aktie!A$3:AM$103,15,FALSE)/VLOOKUP(A17,Ergebnis_je_Aktie_verwässert!A$3:AK$103,15,FALSE)&gt;=2,2,VLOOKUP(A17,Dividende_je_Aktie!A$3:AM$103,15,FALSE)/VLOOKUP(A17,Ergebnis_je_Aktie_verwässert!A$3:AK$103,15,FALSE))),""),"")</f>
        <v>0.55214723926380371</v>
      </c>
      <c r="P17" s="5">
        <f>IF(VLOOKUP(A17,Dividende_je_Aktie!A$3:AM$103,16,FALSE)&lt;&gt;"",IF(VLOOKUP(A17,Ergebnis_je_Aktie_verwässert!A$3:AK$103,16,FALSE)&lt;&gt;"",IF(VLOOKUP(A17,Ergebnis_je_Aktie_verwässert!A$3:AK$103,16,FALSE)&lt;=0,2,IF(VLOOKUP(A17,Dividende_je_Aktie!A$3:AM$103,16,FALSE)/VLOOKUP(A17,Ergebnis_je_Aktie_verwässert!A$3:AK$103,16,FALSE)&gt;=2,2,VLOOKUP(A17,Dividende_je_Aktie!A$3:AM$103,16,FALSE)/VLOOKUP(A17,Ergebnis_je_Aktie_verwässert!A$3:AK$103,16,FALSE))),""),"")</f>
        <v>0.34759358288770054</v>
      </c>
      <c r="Q17" s="5">
        <f>IF(VLOOKUP(A17,Dividende_je_Aktie!A$3:AM$103,17,FALSE)&lt;&gt;"",IF(VLOOKUP(A17,Ergebnis_je_Aktie_verwässert!A$3:AK$103,17,FALSE)&lt;&gt;"",IF(VLOOKUP(A17,Ergebnis_je_Aktie_verwässert!A$3:AK$103,17,FALSE)&lt;=0,2,IF(VLOOKUP(A17,Dividende_je_Aktie!A$3:AM$103,17,FALSE)/VLOOKUP(A17,Ergebnis_je_Aktie_verwässert!A$3:AK$103,17,FALSE)&gt;=2,2,VLOOKUP(A17,Dividende_je_Aktie!A$3:AM$103,17,FALSE)/VLOOKUP(A17,Ergebnis_je_Aktie_verwässert!A$3:AK$103,17,FALSE))),""),"")</f>
        <v>0.42307692307692307</v>
      </c>
      <c r="R17" s="5">
        <f>IF(VLOOKUP(A17,Dividende_je_Aktie!A$3:AM$103,18,FALSE)&lt;&gt;"",IF(VLOOKUP(A17,Ergebnis_je_Aktie_verwässert!A$3:AK$103,18,FALSE)&lt;&gt;"",IF(VLOOKUP(A17,Ergebnis_je_Aktie_verwässert!A$3:AK$103,18,FALSE)&lt;=0,2,IF(VLOOKUP(A17,Dividende_je_Aktie!A$3:AM$103,18,FALSE)/VLOOKUP(A17,Ergebnis_je_Aktie_verwässert!A$3:AK$103,18,FALSE)&gt;=2,2,VLOOKUP(A17,Dividende_je_Aktie!A$3:AM$103,18,FALSE)/VLOOKUP(A17,Ergebnis_je_Aktie_verwässert!A$3:AK$103,18,FALSE))),""),"")</f>
        <v>0.54945054945054939</v>
      </c>
      <c r="S17" s="10">
        <f t="shared" si="0"/>
        <v>0.69134109452479053</v>
      </c>
      <c r="T17" s="4">
        <f t="shared" ca="1" si="1"/>
        <v>0</v>
      </c>
      <c r="U17" s="4">
        <f t="shared" ca="1" si="2"/>
        <v>122</v>
      </c>
      <c r="V17" s="4">
        <f t="shared" ca="1" si="3"/>
        <v>238</v>
      </c>
      <c r="W17" s="10">
        <f t="shared" ca="1" si="4"/>
        <v>0.84205246913580245</v>
      </c>
      <c r="X17" s="5">
        <f t="shared" ca="1" si="5"/>
        <v>0.21799857668609568</v>
      </c>
    </row>
    <row r="18" spans="1:24" x14ac:dyDescent="0.25">
      <c r="A18" t="s">
        <v>28</v>
      </c>
      <c r="B18" t="s">
        <v>29</v>
      </c>
      <c r="C18" s="56">
        <v>31</v>
      </c>
      <c r="D18" s="56">
        <v>12</v>
      </c>
      <c r="E18" s="56">
        <v>2015</v>
      </c>
      <c r="F18" s="5">
        <f>IF(VLOOKUP(A18,Dividende_je_Aktie!A$3:AM$103,6,FALSE)&lt;&gt;"",IF(VLOOKUP(A18,Ergebnis_je_Aktie_verwässert!A$3:AK$103,6,FALSE)&lt;&gt;"",IF(VLOOKUP(A18,Ergebnis_je_Aktie_verwässert!A$3:AK$103,6,FALSE)&lt;=0,2,IF(VLOOKUP(A18,Dividende_je_Aktie!A$3:AM$103,6,FALSE)/VLOOKUP(A18,Ergebnis_je_Aktie_verwässert!A$3:AK$103,6,FALSE)&gt;=2,2,VLOOKUP(A18,Dividende_je_Aktie!A$3:AM$103,6,FALSE)/VLOOKUP(A18,Ergebnis_je_Aktie_verwässert!A$3:AK$103,6,FALSE))),""),"")</f>
        <v>0.54252199413489732</v>
      </c>
      <c r="G18" s="5">
        <f>IF(VLOOKUP(A18,Dividende_je_Aktie!A$3:AM$103,7,FALSE)&lt;&gt;"",IF(VLOOKUP(A18,Ergebnis_je_Aktie_verwässert!A$3:AK$103,7,FALSE)&lt;&gt;"",IF(VLOOKUP(A18,Ergebnis_je_Aktie_verwässert!A$3:AK$103,7,FALSE)&lt;=0,2,IF(VLOOKUP(A18,Dividende_je_Aktie!A$3:AM$103,7,FALSE)/VLOOKUP(A18,Ergebnis_je_Aktie_verwässert!A$3:AK$103,7,FALSE)&gt;=2,2,VLOOKUP(A18,Dividende_je_Aktie!A$3:AM$103,7,FALSE)/VLOOKUP(A18,Ergebnis_je_Aktie_verwässert!A$3:AK$103,7,FALSE))),""),"")</f>
        <v>0.5362776025236593</v>
      </c>
      <c r="H18" s="5">
        <f>IF(VLOOKUP(A18,Dividende_je_Aktie!A$3:AM$103,8,FALSE)&lt;&gt;"",IF(VLOOKUP(A18,Ergebnis_je_Aktie_verwässert!A$3:AK$103,8,FALSE)&lt;&gt;"",IF(VLOOKUP(A18,Ergebnis_je_Aktie_verwässert!A$3:AK$103,8,FALSE)&lt;=0,2,IF(VLOOKUP(A18,Dividende_je_Aktie!A$3:AM$103,8,FALSE)/VLOOKUP(A18,Ergebnis_je_Aktie_verwässert!A$3:AK$103,8,FALSE)&gt;=2,2,VLOOKUP(A18,Dividende_je_Aktie!A$3:AM$103,8,FALSE)/VLOOKUP(A18,Ergebnis_je_Aktie_verwässert!A$3:AK$103,8,FALSE))),""),"")</f>
        <v>0.55052264808362372</v>
      </c>
      <c r="I18" s="5">
        <f>IF(VLOOKUP(A18,Dividende_je_Aktie!A$3:AM$103,9,FALSE)&lt;&gt;"",IF(VLOOKUP(A18,Ergebnis_je_Aktie_verwässert!A$3:AK$103,9,FALSE)&lt;&gt;"",IF(VLOOKUP(A18,Ergebnis_je_Aktie_verwässert!A$3:AK$103,9,FALSE)&lt;=0,2,IF(VLOOKUP(A18,Dividende_je_Aktie!A$3:AM$103,9,FALSE)/VLOOKUP(A18,Ergebnis_je_Aktie_verwässert!A$3:AK$103,9,FALSE)&gt;=2,2,VLOOKUP(A18,Dividende_je_Aktie!A$3:AM$103,9,FALSE)/VLOOKUP(A18,Ergebnis_je_Aktie_verwässert!A$3:AK$103,9,FALSE))),""),"")</f>
        <v>0.79787234042553201</v>
      </c>
      <c r="J18" s="5">
        <f>IF(VLOOKUP(A18,Dividende_je_Aktie!A$3:AM$103,10,FALSE)&lt;&gt;"",IF(VLOOKUP(A18,Ergebnis_je_Aktie_verwässert!A$3:AK$103,10,FALSE)&lt;&gt;"",IF(VLOOKUP(A18,Ergebnis_je_Aktie_verwässert!A$3:AK$103,10,FALSE)&lt;=0,2,IF(VLOOKUP(A18,Dividende_je_Aktie!A$3:AM$103,10,FALSE)/VLOOKUP(A18,Ergebnis_je_Aktie_verwässert!A$3:AK$103,10,FALSE)&gt;=2,2,VLOOKUP(A18,Dividende_je_Aktie!A$3:AM$103,10,FALSE)/VLOOKUP(A18,Ergebnis_je_Aktie_verwässert!A$3:AK$103,10,FALSE))),""),"")</f>
        <v>0.59917355371900827</v>
      </c>
      <c r="K18" s="5">
        <f>IF(VLOOKUP(A18,Dividende_je_Aktie!A$3:AM$103,11,FALSE)&lt;&gt;"",IF(VLOOKUP(A18,Ergebnis_je_Aktie_verwässert!A$3:AK$103,11,FALSE)&lt;&gt;"",IF(VLOOKUP(A18,Ergebnis_je_Aktie_verwässert!A$3:AK$103,11,FALSE)&lt;=0,2,IF(VLOOKUP(A18,Dividende_je_Aktie!A$3:AM$103,11,FALSE)/VLOOKUP(A18,Ergebnis_je_Aktie_verwässert!A$3:AK$103,11,FALSE)&gt;=2,2,VLOOKUP(A18,Dividende_je_Aktie!A$3:AM$103,11,FALSE)/VLOOKUP(A18,Ergebnis_je_Aktie_verwässert!A$3:AK$103,11,FALSE))),""),"")</f>
        <v>0.52346570397111913</v>
      </c>
      <c r="L18" s="5">
        <f>IF(VLOOKUP(A18,Dividende_je_Aktie!A$3:AM$103,12,FALSE)&lt;&gt;"",IF(VLOOKUP(A18,Ergebnis_je_Aktie_verwässert!A$3:AK$103,12,FALSE)&lt;&gt;"",IF(VLOOKUP(A18,Ergebnis_je_Aktie_verwässert!A$3:AK$103,12,FALSE)&lt;=0,2,IF(VLOOKUP(A18,Dividende_je_Aktie!A$3:AM$103,12,FALSE)/VLOOKUP(A18,Ergebnis_je_Aktie_verwässert!A$3:AK$103,12,FALSE)&gt;=2,2,VLOOKUP(A18,Dividende_je_Aktie!A$3:AM$103,12,FALSE)/VLOOKUP(A18,Ergebnis_je_Aktie_verwässert!A$3:AK$103,12,FALSE))),""),"")</f>
        <v>0.50180505415162446</v>
      </c>
      <c r="M18" s="5">
        <f>IF(VLOOKUP(A18,Dividende_je_Aktie!A$3:AM$103,13,FALSE)&lt;&gt;"",IF(VLOOKUP(A18,Ergebnis_je_Aktie_verwässert!A$3:AK$103,13,FALSE)&lt;&gt;"",IF(VLOOKUP(A18,Ergebnis_je_Aktie_verwässert!A$3:AK$103,13,FALSE)&lt;=0,2,IF(VLOOKUP(A18,Dividende_je_Aktie!A$3:AM$103,13,FALSE)/VLOOKUP(A18,Ergebnis_je_Aktie_verwässert!A$3:AK$103,13,FALSE)&gt;=2,2,VLOOKUP(A18,Dividende_je_Aktie!A$3:AM$103,13,FALSE)/VLOOKUP(A18,Ergebnis_je_Aktie_verwässert!A$3:AK$103,13,FALSE))),""),"")</f>
        <v>0.42763157894736842</v>
      </c>
      <c r="N18" s="5">
        <f>IF(VLOOKUP(A18,Dividende_je_Aktie!A$3:AM$103,14,FALSE)&lt;&gt;"",IF(VLOOKUP(A18,Ergebnis_je_Aktie_verwässert!A$3:AK$103,14,FALSE)&lt;&gt;"",IF(VLOOKUP(A18,Ergebnis_je_Aktie_verwässert!A$3:AK$103,14,FALSE)&lt;=0,2,IF(VLOOKUP(A18,Dividende_je_Aktie!A$3:AM$103,14,FALSE)/VLOOKUP(A18,Ergebnis_je_Aktie_verwässert!A$3:AK$103,14,FALSE)&gt;=2,2,VLOOKUP(A18,Dividende_je_Aktie!A$3:AM$103,14,FALSE)/VLOOKUP(A18,Ergebnis_je_Aktie_verwässert!A$3:AK$103,14,FALSE))),""),"")</f>
        <v>0.46692607003891051</v>
      </c>
      <c r="O18" s="5">
        <f>IF(VLOOKUP(A18,Dividende_je_Aktie!A$3:AM$103,15,FALSE)&lt;&gt;"",IF(VLOOKUP(A18,Ergebnis_je_Aktie_verwässert!A$3:AK$103,15,FALSE)&lt;&gt;"",IF(VLOOKUP(A18,Ergebnis_je_Aktie_verwässert!A$3:AK$103,15,FALSE)&lt;=0,2,IF(VLOOKUP(A18,Dividende_je_Aktie!A$3:AM$103,15,FALSE)/VLOOKUP(A18,Ergebnis_je_Aktie_verwässert!A$3:AK$103,15,FALSE)&gt;=2,2,VLOOKUP(A18,Dividende_je_Aktie!A$3:AM$103,15,FALSE)/VLOOKUP(A18,Ergebnis_je_Aktie_verwässert!A$3:AK$103,15,FALSE))),""),"")</f>
        <v>0.43795620437956201</v>
      </c>
      <c r="P18" s="5">
        <f>IF(VLOOKUP(A18,Dividende_je_Aktie!A$3:AM$103,16,FALSE)&lt;&gt;"",IF(VLOOKUP(A18,Ergebnis_je_Aktie_verwässert!A$3:AK$103,16,FALSE)&lt;&gt;"",IF(VLOOKUP(A18,Ergebnis_je_Aktie_verwässert!A$3:AK$103,16,FALSE)&lt;=0,2,IF(VLOOKUP(A18,Dividende_je_Aktie!A$3:AM$103,16,FALSE)/VLOOKUP(A18,Ergebnis_je_Aktie_verwässert!A$3:AK$103,16,FALSE)&gt;=2,2,VLOOKUP(A18,Dividende_je_Aktie!A$3:AM$103,16,FALSE)/VLOOKUP(A18,Ergebnis_je_Aktie_verwässert!A$3:AK$103,16,FALSE))),""),"")</f>
        <v>0.60109289617486339</v>
      </c>
      <c r="Q18" s="5">
        <f>IF(VLOOKUP(A18,Dividende_je_Aktie!A$3:AM$103,17,FALSE)&lt;&gt;"",IF(VLOOKUP(A18,Ergebnis_je_Aktie_verwässert!A$3:AK$103,17,FALSE)&lt;&gt;"",IF(VLOOKUP(A18,Ergebnis_je_Aktie_verwässert!A$3:AK$103,17,FALSE)&lt;=0,2,IF(VLOOKUP(A18,Dividende_je_Aktie!A$3:AM$103,17,FALSE)/VLOOKUP(A18,Ergebnis_je_Aktie_verwässert!A$3:AK$103,17,FALSE)&gt;=2,2,VLOOKUP(A18,Dividende_je_Aktie!A$3:AM$103,17,FALSE)/VLOOKUP(A18,Ergebnis_je_Aktie_verwässert!A$3:AK$103,17,FALSE))),""),"")</f>
        <v>0.36101083032490977</v>
      </c>
      <c r="R18" s="5">
        <f>IF(VLOOKUP(A18,Dividende_je_Aktie!A$3:AM$103,18,FALSE)&lt;&gt;"",IF(VLOOKUP(A18,Ergebnis_je_Aktie_verwässert!A$3:AK$103,18,FALSE)&lt;&gt;"",IF(VLOOKUP(A18,Ergebnis_je_Aktie_verwässert!A$3:AK$103,18,FALSE)&lt;=0,2,IF(VLOOKUP(A18,Dividende_je_Aktie!A$3:AM$103,18,FALSE)/VLOOKUP(A18,Ergebnis_je_Aktie_verwässert!A$3:AK$103,18,FALSE)&gt;=2,2,VLOOKUP(A18,Dividende_je_Aktie!A$3:AM$103,18,FALSE)/VLOOKUP(A18,Ergebnis_je_Aktie_verwässert!A$3:AK$103,18,FALSE))),""),"")</f>
        <v>0.28911564625850339</v>
      </c>
      <c r="S18" s="10">
        <f t="shared" si="0"/>
        <v>0.51041324024104473</v>
      </c>
      <c r="T18" s="4">
        <f t="shared" ca="1" si="1"/>
        <v>0</v>
      </c>
      <c r="U18" s="4">
        <f t="shared" ca="1" si="2"/>
        <v>122</v>
      </c>
      <c r="V18" s="4">
        <f t="shared" ca="1" si="3"/>
        <v>238</v>
      </c>
      <c r="W18" s="10">
        <f t="shared" ca="1" si="4"/>
        <v>0.54569516042163579</v>
      </c>
      <c r="X18" s="5">
        <f t="shared" ca="1" si="5"/>
        <v>6.9124226017195367E-2</v>
      </c>
    </row>
    <row r="19" spans="1:24" x14ac:dyDescent="0.25">
      <c r="A19" t="s">
        <v>30</v>
      </c>
      <c r="B19" t="s">
        <v>31</v>
      </c>
      <c r="C19" s="56">
        <v>31</v>
      </c>
      <c r="D19" s="56">
        <v>12</v>
      </c>
      <c r="E19" s="56">
        <v>2015</v>
      </c>
      <c r="F19" s="5">
        <f>IF(VLOOKUP(A19,Dividende_je_Aktie!A$3:AM$103,6,FALSE)&lt;&gt;"",IF(VLOOKUP(A19,Ergebnis_je_Aktie_verwässert!A$3:AK$103,6,FALSE)&lt;&gt;"",IF(VLOOKUP(A19,Ergebnis_je_Aktie_verwässert!A$3:AK$103,6,FALSE)&lt;=0,2,IF(VLOOKUP(A19,Dividende_je_Aktie!A$3:AM$103,6,FALSE)/VLOOKUP(A19,Ergebnis_je_Aktie_verwässert!A$3:AK$103,6,FALSE)&gt;=2,2,VLOOKUP(A19,Dividende_je_Aktie!A$3:AM$103,6,FALSE)/VLOOKUP(A19,Ergebnis_je_Aktie_verwässert!A$3:AK$103,6,FALSE))),""),"")</f>
        <v>0.71848739495798319</v>
      </c>
      <c r="G19" s="5">
        <f>IF(VLOOKUP(A19,Dividende_je_Aktie!A$3:AM$103,7,FALSE)&lt;&gt;"",IF(VLOOKUP(A19,Ergebnis_je_Aktie_verwässert!A$3:AK$103,7,FALSE)&lt;&gt;"",IF(VLOOKUP(A19,Ergebnis_je_Aktie_verwässert!A$3:AK$103,7,FALSE)&lt;=0,2,IF(VLOOKUP(A19,Dividende_je_Aktie!A$3:AM$103,7,FALSE)/VLOOKUP(A19,Ergebnis_je_Aktie_verwässert!A$3:AK$103,7,FALSE)&gt;=2,2,VLOOKUP(A19,Dividende_je_Aktie!A$3:AM$103,7,FALSE)/VLOOKUP(A19,Ergebnis_je_Aktie_verwässert!A$3:AK$103,7,FALSE))),""),"")</f>
        <v>0.72727272727272729</v>
      </c>
      <c r="H19" s="5">
        <f>IF(VLOOKUP(A19,Dividende_je_Aktie!A$3:AM$103,8,FALSE)&lt;&gt;"",IF(VLOOKUP(A19,Ergebnis_je_Aktie_verwässert!A$3:AK$103,8,FALSE)&lt;&gt;"",IF(VLOOKUP(A19,Ergebnis_je_Aktie_verwässert!A$3:AK$103,8,FALSE)&lt;=0,2,IF(VLOOKUP(A19,Dividende_je_Aktie!A$3:AM$103,8,FALSE)/VLOOKUP(A19,Ergebnis_je_Aktie_verwässert!A$3:AK$103,8,FALSE)&gt;=2,2,VLOOKUP(A19,Dividende_je_Aktie!A$3:AM$103,8,FALSE)/VLOOKUP(A19,Ergebnis_je_Aktie_verwässert!A$3:AK$103,8,FALSE))),""),"")</f>
        <v>0.76119402985074625</v>
      </c>
      <c r="I19" s="5">
        <f>IF(VLOOKUP(A19,Dividende_je_Aktie!A$3:AM$103,9,FALSE)&lt;&gt;"",IF(VLOOKUP(A19,Ergebnis_je_Aktie_verwässert!A$3:AK$103,9,FALSE)&lt;&gt;"",IF(VLOOKUP(A19,Ergebnis_je_Aktie_verwässert!A$3:AK$103,9,FALSE)&lt;=0,2,IF(VLOOKUP(A19,Dividende_je_Aktie!A$3:AM$103,9,FALSE)/VLOOKUP(A19,Ergebnis_je_Aktie_verwässert!A$3:AK$103,9,FALSE)&gt;=2,2,VLOOKUP(A19,Dividende_je_Aktie!A$3:AM$103,9,FALSE)/VLOOKUP(A19,Ergebnis_je_Aktie_verwässert!A$3:AK$103,9,FALSE))),""),"")</f>
        <v>0.88622754491017963</v>
      </c>
      <c r="J19" s="5">
        <f>IF(VLOOKUP(A19,Dividende_je_Aktie!A$3:AM$103,10,FALSE)&lt;&gt;"",IF(VLOOKUP(A19,Ergebnis_je_Aktie_verwässert!A$3:AK$103,10,FALSE)&lt;&gt;"",IF(VLOOKUP(A19,Ergebnis_je_Aktie_verwässert!A$3:AK$103,10,FALSE)&lt;=0,2,IF(VLOOKUP(A19,Dividende_je_Aktie!A$3:AM$103,10,FALSE)/VLOOKUP(A19,Ergebnis_je_Aktie_verwässert!A$3:AK$103,10,FALSE)&gt;=2,2,VLOOKUP(A19,Dividende_je_Aktie!A$3:AM$103,10,FALSE)/VLOOKUP(A19,Ergebnis_je_Aktie_verwässert!A$3:AK$103,10,FALSE))),""),"")</f>
        <v>0.69268292682926835</v>
      </c>
      <c r="K19" s="5">
        <f>IF(VLOOKUP(A19,Dividende_je_Aktie!A$3:AM$103,11,FALSE)&lt;&gt;"",IF(VLOOKUP(A19,Ergebnis_je_Aktie_verwässert!A$3:AK$103,11,FALSE)&lt;&gt;"",IF(VLOOKUP(A19,Ergebnis_je_Aktie_verwässert!A$3:AK$103,11,FALSE)&lt;=0,2,IF(VLOOKUP(A19,Dividende_je_Aktie!A$3:AM$103,11,FALSE)/VLOOKUP(A19,Ergebnis_je_Aktie_verwässert!A$3:AK$103,11,FALSE)&gt;=2,2,VLOOKUP(A19,Dividende_je_Aktie!A$3:AM$103,11,FALSE)/VLOOKUP(A19,Ergebnis_je_Aktie_verwässert!A$3:AK$103,11,FALSE))),""),"")</f>
        <v>0.68527918781725894</v>
      </c>
      <c r="L19" s="5">
        <f>IF(VLOOKUP(A19,Dividende_je_Aktie!A$3:AM$103,12,FALSE)&lt;&gt;"",IF(VLOOKUP(A19,Ergebnis_je_Aktie_verwässert!A$3:AK$103,12,FALSE)&lt;&gt;"",IF(VLOOKUP(A19,Ergebnis_je_Aktie_verwässert!A$3:AK$103,12,FALSE)&lt;=0,2,IF(VLOOKUP(A19,Dividende_je_Aktie!A$3:AM$103,12,FALSE)/VLOOKUP(A19,Ergebnis_je_Aktie_verwässert!A$3:AK$103,12,FALSE)&gt;=2,2,VLOOKUP(A19,Dividende_je_Aktie!A$3:AM$103,12,FALSE)/VLOOKUP(A19,Ergebnis_je_Aktie_verwässert!A$3:AK$103,12,FALSE))),""),"")</f>
        <v>0.8141025641025641</v>
      </c>
      <c r="M19" s="5">
        <f>IF(VLOOKUP(A19,Dividende_je_Aktie!A$3:AM$103,13,FALSE)&lt;&gt;"",IF(VLOOKUP(A19,Ergebnis_je_Aktie_verwässert!A$3:AK$103,13,FALSE)&lt;&gt;"",IF(VLOOKUP(A19,Ergebnis_je_Aktie_verwässert!A$3:AK$103,13,FALSE)&lt;=0,2,IF(VLOOKUP(A19,Dividende_je_Aktie!A$3:AM$103,13,FALSE)/VLOOKUP(A19,Ergebnis_je_Aktie_verwässert!A$3:AK$103,13,FALSE)&gt;=2,2,VLOOKUP(A19,Dividende_je_Aktie!A$3:AM$103,13,FALSE)/VLOOKUP(A19,Ergebnis_je_Aktie_verwässert!A$3:AK$103,13,FALSE))),""),"")</f>
        <v>0.79166666666666663</v>
      </c>
      <c r="N19" s="5">
        <f>IF(VLOOKUP(A19,Dividende_je_Aktie!A$3:AM$103,14,FALSE)&lt;&gt;"",IF(VLOOKUP(A19,Ergebnis_je_Aktie_verwässert!A$3:AK$103,14,FALSE)&lt;&gt;"",IF(VLOOKUP(A19,Ergebnis_je_Aktie_verwässert!A$3:AK$103,14,FALSE)&lt;=0,2,IF(VLOOKUP(A19,Dividende_je_Aktie!A$3:AM$103,14,FALSE)/VLOOKUP(A19,Ergebnis_je_Aktie_verwässert!A$3:AK$103,14,FALSE)&gt;=2,2,VLOOKUP(A19,Dividende_je_Aktie!A$3:AM$103,14,FALSE)/VLOOKUP(A19,Ergebnis_je_Aktie_verwässert!A$3:AK$103,14,FALSE))),""),"")</f>
        <v>0.73529411764705876</v>
      </c>
      <c r="O19" s="5">
        <f>IF(VLOOKUP(A19,Dividende_je_Aktie!A$3:AM$103,15,FALSE)&lt;&gt;"",IF(VLOOKUP(A19,Ergebnis_je_Aktie_verwässert!A$3:AK$103,15,FALSE)&lt;&gt;"",IF(VLOOKUP(A19,Ergebnis_je_Aktie_verwässert!A$3:AK$103,15,FALSE)&lt;=0,2,IF(VLOOKUP(A19,Dividende_je_Aktie!A$3:AM$103,15,FALSE)/VLOOKUP(A19,Ergebnis_je_Aktie_verwässert!A$3:AK$103,15,FALSE)&gt;=2,2,VLOOKUP(A19,Dividende_je_Aktie!A$3:AM$103,15,FALSE)/VLOOKUP(A19,Ergebnis_je_Aktie_verwässert!A$3:AK$103,15,FALSE))),""),"")</f>
        <v>0.68292682926829262</v>
      </c>
      <c r="P19" s="5">
        <f>IF(VLOOKUP(A19,Dividende_je_Aktie!A$3:AM$103,16,FALSE)&lt;&gt;"",IF(VLOOKUP(A19,Ergebnis_je_Aktie_verwässert!A$3:AK$103,16,FALSE)&lt;&gt;"",IF(VLOOKUP(A19,Ergebnis_je_Aktie_verwässert!A$3:AK$103,16,FALSE)&lt;=0,2,IF(VLOOKUP(A19,Dividende_je_Aktie!A$3:AM$103,16,FALSE)/VLOOKUP(A19,Ergebnis_je_Aktie_verwässert!A$3:AK$103,16,FALSE)&gt;=2,2,VLOOKUP(A19,Dividende_je_Aktie!A$3:AM$103,16,FALSE)/VLOOKUP(A19,Ergebnis_je_Aktie_verwässert!A$3:AK$103,16,FALSE))),""),"")</f>
        <v>0.63461538461538458</v>
      </c>
      <c r="Q19" s="5" t="str">
        <f>IF(VLOOKUP(A19,Dividende_je_Aktie!A$3:AM$103,17,FALSE)&lt;&gt;"",IF(VLOOKUP(A19,Ergebnis_je_Aktie_verwässert!A$3:AK$103,17,FALSE)&lt;&gt;"",IF(VLOOKUP(A19,Ergebnis_je_Aktie_verwässert!A$3:AK$103,17,FALSE)&lt;=0,2,IF(VLOOKUP(A19,Dividende_je_Aktie!A$3:AM$103,17,FALSE)/VLOOKUP(A19,Ergebnis_je_Aktie_verwässert!A$3:AK$103,17,FALSE)&gt;=2,2,VLOOKUP(A19,Dividende_je_Aktie!A$3:AM$103,17,FALSE)/VLOOKUP(A19,Ergebnis_je_Aktie_verwässert!A$3:AK$103,17,FALSE))),""),"")</f>
        <v/>
      </c>
      <c r="R19" s="5" t="str">
        <f>IF(VLOOKUP(A19,Dividende_je_Aktie!A$3:AM$103,18,FALSE)&lt;&gt;"",IF(VLOOKUP(A19,Ergebnis_je_Aktie_verwässert!A$3:AK$103,18,FALSE)&lt;&gt;"",IF(VLOOKUP(A19,Ergebnis_je_Aktie_verwässert!A$3:AK$103,18,FALSE)&lt;=0,2,IF(VLOOKUP(A19,Dividende_je_Aktie!A$3:AM$103,18,FALSE)/VLOOKUP(A19,Ergebnis_je_Aktie_verwässert!A$3:AK$103,18,FALSE)&gt;=2,2,VLOOKUP(A19,Dividende_je_Aktie!A$3:AM$103,18,FALSE)/VLOOKUP(A19,Ergebnis_je_Aktie_verwässert!A$3:AK$103,18,FALSE))),""),"")</f>
        <v/>
      </c>
      <c r="S19" s="10">
        <f t="shared" si="0"/>
        <v>0.73906812490346641</v>
      </c>
      <c r="T19" s="4">
        <f t="shared" ca="1" si="1"/>
        <v>0</v>
      </c>
      <c r="U19" s="4">
        <f t="shared" ca="1" si="2"/>
        <v>122</v>
      </c>
      <c r="V19" s="4">
        <f t="shared" ca="1" si="3"/>
        <v>238</v>
      </c>
      <c r="W19" s="10">
        <f t="shared" ca="1" si="4"/>
        <v>0.74969847731041761</v>
      </c>
      <c r="X19" s="5">
        <f t="shared" ca="1" si="5"/>
        <v>1.4383454039963661E-2</v>
      </c>
    </row>
    <row r="20" spans="1:24" x14ac:dyDescent="0.25">
      <c r="A20" t="s">
        <v>32</v>
      </c>
      <c r="B20" t="s">
        <v>33</v>
      </c>
      <c r="C20" s="56">
        <v>30</v>
      </c>
      <c r="D20" s="56">
        <v>9</v>
      </c>
      <c r="E20" s="56">
        <v>2015</v>
      </c>
      <c r="F20" s="5">
        <f>IF(VLOOKUP(A20,Dividende_je_Aktie!A$3:AM$103,6,FALSE)&lt;&gt;"",IF(VLOOKUP(A20,Ergebnis_je_Aktie_verwässert!A$3:AK$103,6,FALSE)&lt;&gt;"",IF(VLOOKUP(A20,Ergebnis_je_Aktie_verwässert!A$3:AK$103,6,FALSE)&lt;=0,2,IF(VLOOKUP(A20,Dividende_je_Aktie!A$3:AM$103,6,FALSE)/VLOOKUP(A20,Ergebnis_je_Aktie_verwässert!A$3:AK$103,6,FALSE)&gt;=2,2,VLOOKUP(A20,Dividende_je_Aktie!A$3:AM$103,6,FALSE)/VLOOKUP(A20,Ergebnis_je_Aktie_verwässert!A$3:AK$103,6,FALSE))),""),"")</f>
        <v>0.86153846153846148</v>
      </c>
      <c r="G20" s="5">
        <f>IF(VLOOKUP(A20,Dividende_je_Aktie!A$3:AM$103,7,FALSE)&lt;&gt;"",IF(VLOOKUP(A20,Ergebnis_je_Aktie_verwässert!A$3:AK$103,7,FALSE)&lt;&gt;"",IF(VLOOKUP(A20,Ergebnis_je_Aktie_verwässert!A$3:AK$103,7,FALSE)&lt;=0,2,IF(VLOOKUP(A20,Dividende_je_Aktie!A$3:AM$103,7,FALSE)/VLOOKUP(A20,Ergebnis_je_Aktie_verwässert!A$3:AK$103,7,FALSE)&gt;=2,2,VLOOKUP(A20,Dividende_je_Aktie!A$3:AM$103,7,FALSE)/VLOOKUP(A20,Ergebnis_je_Aktie_verwässert!A$3:AK$103,7,FALSE))),""),"")</f>
        <v>0.84530386740331487</v>
      </c>
      <c r="H20" s="5">
        <f>IF(VLOOKUP(A20,Dividende_je_Aktie!A$3:AM$103,8,FALSE)&lt;&gt;"",IF(VLOOKUP(A20,Ergebnis_je_Aktie_verwässert!A$3:AK$103,8,FALSE)&lt;&gt;"",IF(VLOOKUP(A20,Ergebnis_je_Aktie_verwässert!A$3:AK$103,8,FALSE)&lt;=0,2,IF(VLOOKUP(A20,Dividende_je_Aktie!A$3:AM$103,8,FALSE)/VLOOKUP(A20,Ergebnis_je_Aktie_verwässert!A$3:AK$103,8,FALSE)&gt;=2,2,VLOOKUP(A20,Dividende_je_Aktie!A$3:AM$103,8,FALSE)/VLOOKUP(A20,Ergebnis_je_Aktie_verwässert!A$3:AK$103,8,FALSE))),""),"")</f>
        <v>0.81871345029239773</v>
      </c>
      <c r="I20" s="5">
        <f>IF(VLOOKUP(A20,Dividende_je_Aktie!A$3:AM$103,9,FALSE)&lt;&gt;"",IF(VLOOKUP(A20,Ergebnis_je_Aktie_verwässert!A$3:AK$103,9,FALSE)&lt;&gt;"",IF(VLOOKUP(A20,Ergebnis_je_Aktie_verwässert!A$3:AK$103,9,FALSE)&lt;=0,2,IF(VLOOKUP(A20,Dividende_je_Aktie!A$3:AM$103,9,FALSE)/VLOOKUP(A20,Ergebnis_je_Aktie_verwässert!A$3:AK$103,9,FALSE)&gt;=2,2,VLOOKUP(A20,Dividende_je_Aktie!A$3:AM$103,9,FALSE)/VLOOKUP(A20,Ergebnis_je_Aktie_verwässert!A$3:AK$103,9,FALSE))),""),"")</f>
        <v>0.86486486486486491</v>
      </c>
      <c r="J20" s="5">
        <f>IF(VLOOKUP(A20,Dividende_je_Aktie!A$3:AM$103,10,FALSE)&lt;&gt;"",IF(VLOOKUP(A20,Ergebnis_je_Aktie_verwässert!A$3:AK$103,10,FALSE)&lt;&gt;"",IF(VLOOKUP(A20,Ergebnis_je_Aktie_verwässert!A$3:AK$103,10,FALSE)&lt;=0,2,IF(VLOOKUP(A20,Dividende_je_Aktie!A$3:AM$103,10,FALSE)/VLOOKUP(A20,Ergebnis_je_Aktie_verwässert!A$3:AK$103,10,FALSE)&gt;=2,2,VLOOKUP(A20,Dividende_je_Aktie!A$3:AM$103,10,FALSE)/VLOOKUP(A20,Ergebnis_je_Aktie_verwässert!A$3:AK$103,10,FALSE))),""),"")</f>
        <v>1.2083333333333333</v>
      </c>
      <c r="K20" s="5">
        <f>IF(VLOOKUP(A20,Dividende_je_Aktie!A$3:AM$103,11,FALSE)&lt;&gt;"",IF(VLOOKUP(A20,Ergebnis_je_Aktie_verwässert!A$3:AK$103,11,FALSE)&lt;&gt;"",IF(VLOOKUP(A20,Ergebnis_je_Aktie_verwässert!A$3:AK$103,11,FALSE)&lt;=0,2,IF(VLOOKUP(A20,Dividende_je_Aktie!A$3:AM$103,11,FALSE)/VLOOKUP(A20,Ergebnis_je_Aktie_verwässert!A$3:AK$103,11,FALSE)&gt;=2,2,VLOOKUP(A20,Dividende_je_Aktie!A$3:AM$103,11,FALSE)/VLOOKUP(A20,Ergebnis_je_Aktie_verwässert!A$3:AK$103,11,FALSE))),""),"")</f>
        <v>1.5588235294117647</v>
      </c>
      <c r="L20" s="5">
        <f>IF(VLOOKUP(A20,Dividende_je_Aktie!A$3:AM$103,12,FALSE)&lt;&gt;"",IF(VLOOKUP(A20,Ergebnis_je_Aktie_verwässert!A$3:AK$103,12,FALSE)&lt;&gt;"",IF(VLOOKUP(A20,Ergebnis_je_Aktie_verwässert!A$3:AK$103,12,FALSE)&lt;=0,2,IF(VLOOKUP(A20,Dividende_je_Aktie!A$3:AM$103,12,FALSE)/VLOOKUP(A20,Ergebnis_je_Aktie_verwässert!A$3:AK$103,12,FALSE)&gt;=2,2,VLOOKUP(A20,Dividende_je_Aktie!A$3:AM$103,12,FALSE)/VLOOKUP(A20,Ergebnis_je_Aktie_verwässert!A$3:AK$103,12,FALSE))),""),"")</f>
        <v>0.53672316384180785</v>
      </c>
      <c r="M20" s="5">
        <f>IF(VLOOKUP(A20,Dividende_je_Aktie!A$3:AM$103,13,FALSE)&lt;&gt;"",IF(VLOOKUP(A20,Ergebnis_je_Aktie_verwässert!A$3:AK$103,13,FALSE)&lt;&gt;"",IF(VLOOKUP(A20,Ergebnis_je_Aktie_verwässert!A$3:AK$103,13,FALSE)&lt;=0,2,IF(VLOOKUP(A20,Dividende_je_Aktie!A$3:AM$103,13,FALSE)/VLOOKUP(A20,Ergebnis_je_Aktie_verwässert!A$3:AK$103,13,FALSE)&gt;=2,2,VLOOKUP(A20,Dividende_je_Aktie!A$3:AM$103,13,FALSE)/VLOOKUP(A20,Ergebnis_je_Aktie_verwässert!A$3:AK$103,13,FALSE))),""),"")</f>
        <v>0.56756756756756754</v>
      </c>
      <c r="N20" s="5">
        <f>IF(VLOOKUP(A20,Dividende_je_Aktie!A$3:AM$103,14,FALSE)&lt;&gt;"",IF(VLOOKUP(A20,Ergebnis_je_Aktie_verwässert!A$3:AK$103,14,FALSE)&lt;&gt;"",IF(VLOOKUP(A20,Ergebnis_je_Aktie_verwässert!A$3:AK$103,14,FALSE)&lt;=0,2,IF(VLOOKUP(A20,Dividende_je_Aktie!A$3:AM$103,14,FALSE)/VLOOKUP(A20,Ergebnis_je_Aktie_verwässert!A$3:AK$103,14,FALSE)&gt;=2,2,VLOOKUP(A20,Dividende_je_Aktie!A$3:AM$103,14,FALSE)/VLOOKUP(A20,Ergebnis_je_Aktie_verwässert!A$3:AK$103,14,FALSE))),""),"")</f>
        <v>1.1230769230769231</v>
      </c>
      <c r="O20" s="5">
        <f>IF(VLOOKUP(A20,Dividende_je_Aktie!A$3:AM$103,15,FALSE)&lt;&gt;"",IF(VLOOKUP(A20,Ergebnis_je_Aktie_verwässert!A$3:AK$103,15,FALSE)&lt;&gt;"",IF(VLOOKUP(A20,Ergebnis_je_Aktie_verwässert!A$3:AK$103,15,FALSE)&lt;=0,2,IF(VLOOKUP(A20,Dividende_je_Aktie!A$3:AM$103,15,FALSE)/VLOOKUP(A20,Ergebnis_je_Aktie_verwässert!A$3:AK$103,15,FALSE)&gt;=2,2,VLOOKUP(A20,Dividende_je_Aktie!A$3:AM$103,15,FALSE)/VLOOKUP(A20,Ergebnis_je_Aktie_verwässert!A$3:AK$103,15,FALSE))),""),"")</f>
        <v>1.26</v>
      </c>
      <c r="P20" s="5">
        <f>IF(VLOOKUP(A20,Dividende_je_Aktie!A$3:AM$103,16,FALSE)&lt;&gt;"",IF(VLOOKUP(A20,Ergebnis_je_Aktie_verwässert!A$3:AK$103,16,FALSE)&lt;&gt;"",IF(VLOOKUP(A20,Ergebnis_je_Aktie_verwässert!A$3:AK$103,16,FALSE)&lt;=0,2,IF(VLOOKUP(A20,Dividende_je_Aktie!A$3:AM$103,16,FALSE)/VLOOKUP(A20,Ergebnis_je_Aktie_verwässert!A$3:AK$103,16,FALSE)&gt;=2,2,VLOOKUP(A20,Dividende_je_Aktie!A$3:AM$103,16,FALSE)/VLOOKUP(A20,Ergebnis_je_Aktie_verwässert!A$3:AK$103,16,FALSE))),""),"")</f>
        <v>0.51724137931034486</v>
      </c>
      <c r="Q20" s="5" t="str">
        <f>IF(VLOOKUP(A20,Dividende_je_Aktie!A$3:AM$103,17,FALSE)&lt;&gt;"",IF(VLOOKUP(A20,Ergebnis_je_Aktie_verwässert!A$3:AK$103,17,FALSE)&lt;&gt;"",IF(VLOOKUP(A20,Ergebnis_je_Aktie_verwässert!A$3:AK$103,17,FALSE)&lt;=0,2,IF(VLOOKUP(A20,Dividende_je_Aktie!A$3:AM$103,17,FALSE)/VLOOKUP(A20,Ergebnis_je_Aktie_verwässert!A$3:AK$103,17,FALSE)&gt;=2,2,VLOOKUP(A20,Dividende_je_Aktie!A$3:AM$103,17,FALSE)/VLOOKUP(A20,Ergebnis_je_Aktie_verwässert!A$3:AK$103,17,FALSE))),""),"")</f>
        <v/>
      </c>
      <c r="R20" s="5" t="str">
        <f>IF(VLOOKUP(A20,Dividende_je_Aktie!A$3:AM$103,18,FALSE)&lt;&gt;"",IF(VLOOKUP(A20,Ergebnis_je_Aktie_verwässert!A$3:AK$103,18,FALSE)&lt;&gt;"",IF(VLOOKUP(A20,Ergebnis_je_Aktie_verwässert!A$3:AK$103,18,FALSE)&lt;=0,2,IF(VLOOKUP(A20,Dividende_je_Aktie!A$3:AM$103,18,FALSE)/VLOOKUP(A20,Ergebnis_je_Aktie_verwässert!A$3:AK$103,18,FALSE)&gt;=2,2,VLOOKUP(A20,Dividende_je_Aktie!A$3:AM$103,18,FALSE)/VLOOKUP(A20,Ergebnis_je_Aktie_verwässert!A$3:AK$103,18,FALSE))),""),"")</f>
        <v/>
      </c>
      <c r="S20" s="10">
        <f t="shared" si="0"/>
        <v>0.92383514005825274</v>
      </c>
      <c r="T20" s="4">
        <f t="shared" ca="1" si="1"/>
        <v>0</v>
      </c>
      <c r="U20" s="4">
        <f t="shared" ca="1" si="2"/>
        <v>213</v>
      </c>
      <c r="V20" s="4">
        <f t="shared" ca="1" si="3"/>
        <v>147</v>
      </c>
      <c r="W20" s="10">
        <f t="shared" ca="1" si="4"/>
        <v>0.83444611374969047</v>
      </c>
      <c r="X20" s="5">
        <f t="shared" ca="1" si="5"/>
        <v>-9.6758634124835097E-2</v>
      </c>
    </row>
    <row r="21" spans="1:24" x14ac:dyDescent="0.25">
      <c r="A21" t="s">
        <v>34</v>
      </c>
      <c r="B21" t="s">
        <v>35</v>
      </c>
      <c r="C21" s="56">
        <v>31</v>
      </c>
      <c r="D21" s="56">
        <v>3</v>
      </c>
      <c r="E21" s="56">
        <v>2015</v>
      </c>
      <c r="F21" s="5">
        <f>IF(VLOOKUP(A21,Dividende_je_Aktie!A$3:AM$103,6,FALSE)&lt;&gt;"",IF(VLOOKUP(A21,Ergebnis_je_Aktie_verwässert!A$3:AK$103,6,FALSE)&lt;&gt;"",IF(VLOOKUP(A21,Ergebnis_je_Aktie_verwässert!A$3:AK$103,6,FALSE)&lt;=0,2,IF(VLOOKUP(A21,Dividende_je_Aktie!A$3:AM$103,6,FALSE)/VLOOKUP(A21,Ergebnis_je_Aktie_verwässert!A$3:AK$103,6,FALSE)&gt;=2,2,VLOOKUP(A21,Dividende_je_Aktie!A$3:AM$103,6,FALSE)/VLOOKUP(A21,Ergebnis_je_Aktie_verwässert!A$3:AK$103,6,FALSE))),""),"")</f>
        <v>1.9627749576988154</v>
      </c>
      <c r="G21" s="5">
        <f>IF(VLOOKUP(A21,Dividende_je_Aktie!A$3:AM$103,7,FALSE)&lt;&gt;"",IF(VLOOKUP(A21,Ergebnis_je_Aktie_verwässert!A$3:AK$103,7,FALSE)&lt;&gt;"",IF(VLOOKUP(A21,Ergebnis_je_Aktie_verwässert!A$3:AK$103,7,FALSE)&lt;=0,2,IF(VLOOKUP(A21,Dividende_je_Aktie!A$3:AM$103,7,FALSE)/VLOOKUP(A21,Ergebnis_je_Aktie_verwässert!A$3:AK$103,7,FALSE)&gt;=2,2,VLOOKUP(A21,Dividende_je_Aktie!A$3:AM$103,7,FALSE)/VLOOKUP(A21,Ergebnis_je_Aktie_verwässert!A$3:AK$103,7,FALSE))),""),"")</f>
        <v>2</v>
      </c>
      <c r="H21" s="5">
        <f>IF(VLOOKUP(A21,Dividende_je_Aktie!A$3:AM$103,8,FALSE)&lt;&gt;"",IF(VLOOKUP(A21,Ergebnis_je_Aktie_verwässert!A$3:AK$103,8,FALSE)&lt;&gt;"",IF(VLOOKUP(A21,Ergebnis_je_Aktie_verwässert!A$3:AK$103,8,FALSE)&lt;=0,2,IF(VLOOKUP(A21,Dividende_je_Aktie!A$3:AM$103,8,FALSE)/VLOOKUP(A21,Ergebnis_je_Aktie_verwässert!A$3:AK$103,8,FALSE)&gt;=2,2,VLOOKUP(A21,Dividende_je_Aktie!A$3:AM$103,8,FALSE)/VLOOKUP(A21,Ergebnis_je_Aktie_verwässert!A$3:AK$103,8,FALSE))),""),"")</f>
        <v>0.71518987341772156</v>
      </c>
      <c r="I21" s="5">
        <f>IF(VLOOKUP(A21,Dividende_je_Aktie!A$3:AM$103,9,FALSE)&lt;&gt;"",IF(VLOOKUP(A21,Ergebnis_je_Aktie_verwässert!A$3:AK$103,9,FALSE)&lt;&gt;"",IF(VLOOKUP(A21,Ergebnis_je_Aktie_verwässert!A$3:AK$103,9,FALSE)&lt;=0,2,IF(VLOOKUP(A21,Dividende_je_Aktie!A$3:AM$103,9,FALSE)/VLOOKUP(A21,Ergebnis_je_Aktie_verwässert!A$3:AK$103,9,FALSE)&gt;=2,2,VLOOKUP(A21,Dividende_je_Aktie!A$3:AM$103,9,FALSE)/VLOOKUP(A21,Ergebnis_je_Aktie_verwässert!A$3:AK$103,9,FALSE))),""),"")</f>
        <v>0.26378896882494007</v>
      </c>
      <c r="J21" s="5">
        <f>IF(VLOOKUP(A21,Dividende_je_Aktie!A$3:AM$103,10,FALSE)&lt;&gt;"",IF(VLOOKUP(A21,Ergebnis_je_Aktie_verwässert!A$3:AK$103,10,FALSE)&lt;&gt;"",IF(VLOOKUP(A21,Ergebnis_je_Aktie_verwässert!A$3:AK$103,10,FALSE)&lt;=0,2,IF(VLOOKUP(A21,Dividende_je_Aktie!A$3:AM$103,10,FALSE)/VLOOKUP(A21,Ergebnis_je_Aktie_verwässert!A$3:AK$103,10,FALSE)&gt;=2,2,VLOOKUP(A21,Dividende_je_Aktie!A$3:AM$103,10,FALSE)/VLOOKUP(A21,Ergebnis_je_Aktie_verwässert!A$3:AK$103,10,FALSE))),""),"")</f>
        <v>2</v>
      </c>
      <c r="K21" s="5">
        <f>IF(VLOOKUP(A21,Dividende_je_Aktie!A$3:AM$103,11,FALSE)&lt;&gt;"",IF(VLOOKUP(A21,Ergebnis_je_Aktie_verwässert!A$3:AK$103,11,FALSE)&lt;&gt;"",IF(VLOOKUP(A21,Ergebnis_je_Aktie_verwässert!A$3:AK$103,11,FALSE)&lt;=0,2,IF(VLOOKUP(A21,Dividende_je_Aktie!A$3:AM$103,11,FALSE)/VLOOKUP(A21,Ergebnis_je_Aktie_verwässert!A$3:AK$103,11,FALSE)&gt;=2,2,VLOOKUP(A21,Dividende_je_Aktie!A$3:AM$103,11,FALSE)/VLOOKUP(A21,Ergebnis_je_Aktie_verwässert!A$3:AK$103,11,FALSE))),""),"")</f>
        <v>0.67857142857142849</v>
      </c>
      <c r="L21" s="5">
        <f>IF(VLOOKUP(A21,Dividende_je_Aktie!A$3:AM$103,12,FALSE)&lt;&gt;"",IF(VLOOKUP(A21,Ergebnis_je_Aktie_verwässert!A$3:AK$103,12,FALSE)&lt;&gt;"",IF(VLOOKUP(A21,Ergebnis_je_Aktie_verwässert!A$3:AK$103,12,FALSE)&lt;=0,2,IF(VLOOKUP(A21,Dividende_je_Aktie!A$3:AM$103,12,FALSE)/VLOOKUP(A21,Ergebnis_je_Aktie_verwässert!A$3:AK$103,12,FALSE)&gt;=2,2,VLOOKUP(A21,Dividende_je_Aktie!A$3:AM$103,12,FALSE)/VLOOKUP(A21,Ergebnis_je_Aktie_verwässert!A$3:AK$103,12,FALSE))),""),"")</f>
        <v>0.59333333333333338</v>
      </c>
      <c r="M21" s="5">
        <f>IF(VLOOKUP(A21,Dividende_je_Aktie!A$3:AM$103,13,FALSE)&lt;&gt;"",IF(VLOOKUP(A21,Ergebnis_je_Aktie_verwässert!A$3:AK$103,13,FALSE)&lt;&gt;"",IF(VLOOKUP(A21,Ergebnis_je_Aktie_verwässert!A$3:AK$103,13,FALSE)&lt;=0,2,IF(VLOOKUP(A21,Dividende_je_Aktie!A$3:AM$103,13,FALSE)/VLOOKUP(A21,Ergebnis_je_Aktie_verwässert!A$3:AK$103,13,FALSE)&gt;=2,2,VLOOKUP(A21,Dividende_je_Aktie!A$3:AM$103,13,FALSE)/VLOOKUP(A21,Ergebnis_je_Aktie_verwässert!A$3:AK$103,13,FALSE))),""),"")</f>
        <v>0.51875000000000004</v>
      </c>
      <c r="N21" s="5">
        <f>IF(VLOOKUP(A21,Dividende_je_Aktie!A$3:AM$103,14,FALSE)&lt;&gt;"",IF(VLOOKUP(A21,Ergebnis_je_Aktie_verwässert!A$3:AK$103,14,FALSE)&lt;&gt;"",IF(VLOOKUP(A21,Ergebnis_je_Aktie_verwässert!A$3:AK$103,14,FALSE)&lt;=0,2,IF(VLOOKUP(A21,Dividende_je_Aktie!A$3:AM$103,14,FALSE)/VLOOKUP(A21,Ergebnis_je_Aktie_verwässert!A$3:AK$103,14,FALSE)&gt;=2,2,VLOOKUP(A21,Dividende_je_Aktie!A$3:AM$103,14,FALSE)/VLOOKUP(A21,Ergebnis_je_Aktie_verwässert!A$3:AK$103,14,FALSE))),""),"")</f>
        <v>0.93333333333333335</v>
      </c>
      <c r="O21" s="5">
        <f>IF(VLOOKUP(A21,Dividende_je_Aktie!A$3:AM$103,15,FALSE)&lt;&gt;"",IF(VLOOKUP(A21,Ergebnis_je_Aktie_verwässert!A$3:AK$103,15,FALSE)&lt;&gt;"",IF(VLOOKUP(A21,Ergebnis_je_Aktie_verwässert!A$3:AK$103,15,FALSE)&lt;=0,2,IF(VLOOKUP(A21,Dividende_je_Aktie!A$3:AM$103,15,FALSE)/VLOOKUP(A21,Ergebnis_je_Aktie_verwässert!A$3:AK$103,15,FALSE)&gt;=2,2,VLOOKUP(A21,Dividende_je_Aktie!A$3:AM$103,15,FALSE)/VLOOKUP(A21,Ergebnis_je_Aktie_verwässert!A$3:AK$103,15,FALSE))),""),"")</f>
        <v>0.57692307692307687</v>
      </c>
      <c r="P21" s="5">
        <f>IF(VLOOKUP(A21,Dividende_je_Aktie!A$3:AM$103,16,FALSE)&lt;&gt;"",IF(VLOOKUP(A21,Ergebnis_je_Aktie_verwässert!A$3:AK$103,16,FALSE)&lt;&gt;"",IF(VLOOKUP(A21,Ergebnis_je_Aktie_verwässert!A$3:AK$103,16,FALSE)&lt;=0,2,IF(VLOOKUP(A21,Dividende_je_Aktie!A$3:AM$103,16,FALSE)/VLOOKUP(A21,Ergebnis_je_Aktie_verwässert!A$3:AK$103,16,FALSE)&gt;=2,2,VLOOKUP(A21,Dividende_je_Aktie!A$3:AM$103,16,FALSE)/VLOOKUP(A21,Ergebnis_je_Aktie_verwässert!A$3:AK$103,16,FALSE))),""),"")</f>
        <v>2</v>
      </c>
      <c r="Q21" s="5">
        <f>IF(VLOOKUP(A21,Dividende_je_Aktie!A$3:AM$103,17,FALSE)&lt;&gt;"",IF(VLOOKUP(A21,Ergebnis_je_Aktie_verwässert!A$3:AK$103,17,FALSE)&lt;&gt;"",IF(VLOOKUP(A21,Ergebnis_je_Aktie_verwässert!A$3:AK$103,17,FALSE)&lt;=0,2,IF(VLOOKUP(A21,Dividende_je_Aktie!A$3:AM$103,17,FALSE)/VLOOKUP(A21,Ergebnis_je_Aktie_verwässert!A$3:AK$103,17,FALSE)&gt;=2,2,VLOOKUP(A21,Dividende_je_Aktie!A$3:AM$103,17,FALSE)/VLOOKUP(A21,Ergebnis_je_Aktie_verwässert!A$3:AK$103,17,FALSE))),""),"")</f>
        <v>2</v>
      </c>
      <c r="R21" s="5">
        <f>IF(VLOOKUP(A21,Dividende_je_Aktie!A$3:AM$103,18,FALSE)&lt;&gt;"",IF(VLOOKUP(A21,Ergebnis_je_Aktie_verwässert!A$3:AK$103,18,FALSE)&lt;&gt;"",IF(VLOOKUP(A21,Ergebnis_je_Aktie_verwässert!A$3:AK$103,18,FALSE)&lt;=0,2,IF(VLOOKUP(A21,Dividende_je_Aktie!A$3:AM$103,18,FALSE)/VLOOKUP(A21,Ergebnis_je_Aktie_verwässert!A$3:AK$103,18,FALSE)&gt;=2,2,VLOOKUP(A21,Dividende_je_Aktie!A$3:AM$103,18,FALSE)/VLOOKUP(A21,Ergebnis_je_Aktie_verwässert!A$3:AK$103,18,FALSE))),""),"")</f>
        <v>2</v>
      </c>
      <c r="S21" s="10">
        <f t="shared" si="0"/>
        <v>1.2494357670848193</v>
      </c>
      <c r="T21" s="4">
        <f t="shared" ca="1" si="1"/>
        <v>32</v>
      </c>
      <c r="U21" s="4">
        <f t="shared" ca="1" si="2"/>
        <v>328</v>
      </c>
      <c r="V21" s="4">
        <f t="shared" ca="1" si="3"/>
        <v>0</v>
      </c>
      <c r="W21" s="10">
        <f t="shared" ca="1" si="4"/>
        <v>1.9966911073510059</v>
      </c>
      <c r="X21" s="5">
        <f t="shared" ca="1" si="5"/>
        <v>0.59807423474812227</v>
      </c>
    </row>
    <row r="22" spans="1:24" x14ac:dyDescent="0.25">
      <c r="A22" t="s">
        <v>36</v>
      </c>
      <c r="B22" t="s">
        <v>37</v>
      </c>
      <c r="C22" s="56">
        <v>31</v>
      </c>
      <c r="D22" s="56">
        <v>12</v>
      </c>
      <c r="E22" s="56">
        <v>2015</v>
      </c>
      <c r="F22" s="5">
        <f>IF(VLOOKUP(A22,Dividende_je_Aktie!A$3:AM$103,6,FALSE)&lt;&gt;"",IF(VLOOKUP(A22,Ergebnis_je_Aktie_verwässert!A$3:AK$103,6,FALSE)&lt;&gt;"",IF(VLOOKUP(A22,Ergebnis_je_Aktie_verwässert!A$3:AK$103,6,FALSE)&lt;=0,2,IF(VLOOKUP(A22,Dividende_je_Aktie!A$3:AM$103,6,FALSE)/VLOOKUP(A22,Ergebnis_je_Aktie_verwässert!A$3:AK$103,6,FALSE)&gt;=2,2,VLOOKUP(A22,Dividende_je_Aktie!A$3:AM$103,6,FALSE)/VLOOKUP(A22,Ergebnis_je_Aktie_verwässert!A$3:AK$103,6,FALSE))),""),"")</f>
        <v>0.65094339622641506</v>
      </c>
      <c r="G22" s="5">
        <f>IF(VLOOKUP(A22,Dividende_je_Aktie!A$3:AM$103,7,FALSE)&lt;&gt;"",IF(VLOOKUP(A22,Ergebnis_je_Aktie_verwässert!A$3:AK$103,7,FALSE)&lt;&gt;"",IF(VLOOKUP(A22,Ergebnis_je_Aktie_verwässert!A$3:AK$103,7,FALSE)&lt;=0,2,IF(VLOOKUP(A22,Dividende_je_Aktie!A$3:AM$103,7,FALSE)/VLOOKUP(A22,Ergebnis_je_Aktie_verwässert!A$3:AK$103,7,FALSE)&gt;=2,2,VLOOKUP(A22,Dividende_je_Aktie!A$3:AM$103,7,FALSE)/VLOOKUP(A22,Ergebnis_je_Aktie_verwässert!A$3:AK$103,7,FALSE))),""),"")</f>
        <v>0.64795918367346939</v>
      </c>
      <c r="H22" s="5">
        <f>IF(VLOOKUP(A22,Dividende_je_Aktie!A$3:AM$103,8,FALSE)&lt;&gt;"",IF(VLOOKUP(A22,Ergebnis_je_Aktie_verwässert!A$3:AK$103,8,FALSE)&lt;&gt;"",IF(VLOOKUP(A22,Ergebnis_je_Aktie_verwässert!A$3:AK$103,8,FALSE)&lt;=0,2,IF(VLOOKUP(A22,Dividende_je_Aktie!A$3:AM$103,8,FALSE)/VLOOKUP(A22,Ergebnis_je_Aktie_verwässert!A$3:AK$103,8,FALSE)&gt;=2,2,VLOOKUP(A22,Dividende_je_Aktie!A$3:AM$103,8,FALSE)/VLOOKUP(A22,Ergebnis_je_Aktie_verwässert!A$3:AK$103,8,FALSE))),""),"")</f>
        <v>0.65384615384615374</v>
      </c>
      <c r="I22" s="5">
        <f>IF(VLOOKUP(A22,Dividende_je_Aktie!A$3:AM$103,9,FALSE)&lt;&gt;"",IF(VLOOKUP(A22,Ergebnis_je_Aktie_verwässert!A$3:AK$103,9,FALSE)&lt;&gt;"",IF(VLOOKUP(A22,Ergebnis_je_Aktie_verwässert!A$3:AK$103,9,FALSE)&lt;=0,2,IF(VLOOKUP(A22,Dividende_je_Aktie!A$3:AM$103,9,FALSE)/VLOOKUP(A22,Ergebnis_je_Aktie_verwässert!A$3:AK$103,9,FALSE)&gt;=2,2,VLOOKUP(A22,Dividende_je_Aktie!A$3:AM$103,9,FALSE)/VLOOKUP(A22,Ergebnis_je_Aktie_verwässert!A$3:AK$103,9,FALSE))),""),"")</f>
        <v>0.62569832402234637</v>
      </c>
      <c r="J22" s="5">
        <f>IF(VLOOKUP(A22,Dividende_je_Aktie!A$3:AM$103,10,FALSE)&lt;&gt;"",IF(VLOOKUP(A22,Ergebnis_je_Aktie_verwässert!A$3:AK$103,10,FALSE)&lt;&gt;"",IF(VLOOKUP(A22,Ergebnis_je_Aktie_verwässert!A$3:AK$103,10,FALSE)&lt;=0,2,IF(VLOOKUP(A22,Dividende_je_Aktie!A$3:AM$103,10,FALSE)/VLOOKUP(A22,Ergebnis_je_Aktie_verwässert!A$3:AK$103,10,FALSE)&gt;=2,2,VLOOKUP(A22,Dividende_je_Aktie!A$3:AM$103,10,FALSE)/VLOOKUP(A22,Ergebnis_je_Aktie_verwässert!A$3:AK$103,10,FALSE))),""),"")</f>
        <v>0.6325301204819278</v>
      </c>
      <c r="K22" s="5">
        <f>IF(VLOOKUP(A22,Dividende_je_Aktie!A$3:AM$103,11,FALSE)&lt;&gt;"",IF(VLOOKUP(A22,Ergebnis_je_Aktie_verwässert!A$3:AK$103,11,FALSE)&lt;&gt;"",IF(VLOOKUP(A22,Ergebnis_je_Aktie_verwässert!A$3:AK$103,11,FALSE)&lt;=0,2,IF(VLOOKUP(A22,Dividende_je_Aktie!A$3:AM$103,11,FALSE)/VLOOKUP(A22,Ergebnis_je_Aktie_verwässert!A$3:AK$103,11,FALSE)&gt;=2,2,VLOOKUP(A22,Dividende_je_Aktie!A$3:AM$103,11,FALSE)/VLOOKUP(A22,Ergebnis_je_Aktie_verwässert!A$3:AK$103,11,FALSE))),""),"")</f>
        <v>0.6298701298701298</v>
      </c>
      <c r="L22" s="5">
        <f>IF(VLOOKUP(A22,Dividende_je_Aktie!A$3:AM$103,12,FALSE)&lt;&gt;"",IF(VLOOKUP(A22,Ergebnis_je_Aktie_verwässert!A$3:AK$103,12,FALSE)&lt;&gt;"",IF(VLOOKUP(A22,Ergebnis_je_Aktie_verwässert!A$3:AK$103,12,FALSE)&lt;=0,2,IF(VLOOKUP(A22,Dividende_je_Aktie!A$3:AM$103,12,FALSE)/VLOOKUP(A22,Ergebnis_je_Aktie_verwässert!A$3:AK$103,12,FALSE)&gt;=2,2,VLOOKUP(A22,Dividende_je_Aktie!A$3:AM$103,12,FALSE)/VLOOKUP(A22,Ergebnis_je_Aktie_verwässert!A$3:AK$103,12,FALSE))),""),"")</f>
        <v>0.61643835616438358</v>
      </c>
      <c r="M22" s="5">
        <f>IF(VLOOKUP(A22,Dividende_je_Aktie!A$3:AM$103,13,FALSE)&lt;&gt;"",IF(VLOOKUP(A22,Ergebnis_je_Aktie_verwässert!A$3:AK$103,13,FALSE)&lt;&gt;"",IF(VLOOKUP(A22,Ergebnis_je_Aktie_verwässert!A$3:AK$103,13,FALSE)&lt;=0,2,IF(VLOOKUP(A22,Dividende_je_Aktie!A$3:AM$103,13,FALSE)/VLOOKUP(A22,Ergebnis_je_Aktie_verwässert!A$3:AK$103,13,FALSE)&gt;=2,2,VLOOKUP(A22,Dividende_je_Aktie!A$3:AM$103,13,FALSE)/VLOOKUP(A22,Ergebnis_je_Aktie_verwässert!A$3:AK$103,13,FALSE))),""),"")</f>
        <v>0.56849315068493145</v>
      </c>
      <c r="N22" s="5">
        <f>IF(VLOOKUP(A22,Dividende_je_Aktie!A$3:AM$103,14,FALSE)&lt;&gt;"",IF(VLOOKUP(A22,Ergebnis_je_Aktie_verwässert!A$3:AK$103,14,FALSE)&lt;&gt;"",IF(VLOOKUP(A22,Ergebnis_je_Aktie_verwässert!A$3:AK$103,14,FALSE)&lt;=0,2,IF(VLOOKUP(A22,Dividende_je_Aktie!A$3:AM$103,14,FALSE)/VLOOKUP(A22,Ergebnis_je_Aktie_verwässert!A$3:AK$103,14,FALSE)&gt;=2,2,VLOOKUP(A22,Dividende_je_Aktie!A$3:AM$103,14,FALSE)/VLOOKUP(A22,Ergebnis_je_Aktie_verwässert!A$3:AK$103,14,FALSE))),""),"")</f>
        <v>0.68376068376068388</v>
      </c>
      <c r="O22" s="5">
        <f>IF(VLOOKUP(A22,Dividende_je_Aktie!A$3:AM$103,15,FALSE)&lt;&gt;"",IF(VLOOKUP(A22,Ergebnis_je_Aktie_verwässert!A$3:AK$103,15,FALSE)&lt;&gt;"",IF(VLOOKUP(A22,Ergebnis_je_Aktie_verwässert!A$3:AK$103,15,FALSE)&lt;=0,2,IF(VLOOKUP(A22,Dividende_je_Aktie!A$3:AM$103,15,FALSE)/VLOOKUP(A22,Ergebnis_je_Aktie_verwässert!A$3:AK$103,15,FALSE)&gt;=2,2,VLOOKUP(A22,Dividende_je_Aktie!A$3:AM$103,15,FALSE)/VLOOKUP(A22,Ergebnis_je_Aktie_verwässert!A$3:AK$103,15,FALSE))),""),"")</f>
        <v>0.63636363636363635</v>
      </c>
      <c r="P22" s="5">
        <f>IF(VLOOKUP(A22,Dividende_je_Aktie!A$3:AM$103,16,FALSE)&lt;&gt;"",IF(VLOOKUP(A22,Ergebnis_je_Aktie_verwässert!A$3:AK$103,16,FALSE)&lt;&gt;"",IF(VLOOKUP(A22,Ergebnis_je_Aktie_verwässert!A$3:AK$103,16,FALSE)&lt;=0,2,IF(VLOOKUP(A22,Dividende_je_Aktie!A$3:AM$103,16,FALSE)/VLOOKUP(A22,Ergebnis_je_Aktie_verwässert!A$3:AK$103,16,FALSE)&gt;=2,2,VLOOKUP(A22,Dividende_je_Aktie!A$3:AM$103,16,FALSE)/VLOOKUP(A22,Ergebnis_je_Aktie_verwässert!A$3:AK$103,16,FALSE))),""),"")</f>
        <v>0.5725190839694656</v>
      </c>
      <c r="Q22" s="5">
        <f>IF(VLOOKUP(A22,Dividende_je_Aktie!A$3:AM$103,17,FALSE)&lt;&gt;"",IF(VLOOKUP(A22,Ergebnis_je_Aktie_verwässert!A$3:AK$103,17,FALSE)&lt;&gt;"",IF(VLOOKUP(A22,Ergebnis_je_Aktie_verwässert!A$3:AK$103,17,FALSE)&lt;=0,2,IF(VLOOKUP(A22,Dividende_je_Aktie!A$3:AM$103,17,FALSE)/VLOOKUP(A22,Ergebnis_je_Aktie_verwässert!A$3:AK$103,17,FALSE)&gt;=2,2,VLOOKUP(A22,Dividende_je_Aktie!A$3:AM$103,17,FALSE)/VLOOKUP(A22,Ergebnis_je_Aktie_verwässert!A$3:AK$103,17,FALSE))),""),"")</f>
        <v>0.63002680965147451</v>
      </c>
      <c r="R22" s="5">
        <f>IF(VLOOKUP(A22,Dividende_je_Aktie!A$3:AM$103,18,FALSE)&lt;&gt;"",IF(VLOOKUP(A22,Ergebnis_je_Aktie_verwässert!A$3:AK$103,18,FALSE)&lt;&gt;"",IF(VLOOKUP(A22,Ergebnis_je_Aktie_verwässert!A$3:AK$103,18,FALSE)&lt;=0,2,IF(VLOOKUP(A22,Dividende_je_Aktie!A$3:AM$103,18,FALSE)/VLOOKUP(A22,Ergebnis_je_Aktie_verwässert!A$3:AK$103,18,FALSE)&gt;=2,2,VLOOKUP(A22,Dividende_je_Aktie!A$3:AM$103,18,FALSE)/VLOOKUP(A22,Ergebnis_je_Aktie_verwässert!A$3:AK$103,18,FALSE))),""),"")</f>
        <v>0.58458813108945973</v>
      </c>
      <c r="S22" s="10">
        <f t="shared" si="0"/>
        <v>0.62561824306188285</v>
      </c>
      <c r="T22" s="4">
        <f t="shared" ca="1" si="1"/>
        <v>0</v>
      </c>
      <c r="U22" s="4">
        <f t="shared" ca="1" si="2"/>
        <v>122</v>
      </c>
      <c r="V22" s="4">
        <f t="shared" ca="1" si="3"/>
        <v>238</v>
      </c>
      <c r="W22" s="10">
        <f t="shared" ca="1" si="4"/>
        <v>0.65185112506541065</v>
      </c>
      <c r="X22" s="5">
        <f t="shared" ca="1" si="5"/>
        <v>4.1931133393968256E-2</v>
      </c>
    </row>
    <row r="23" spans="1:24" x14ac:dyDescent="0.25">
      <c r="A23" t="s">
        <v>38</v>
      </c>
      <c r="B23" t="s">
        <v>39</v>
      </c>
      <c r="C23" s="56">
        <v>31</v>
      </c>
      <c r="D23" s="56">
        <v>12</v>
      </c>
      <c r="E23" s="56">
        <v>2015</v>
      </c>
      <c r="F23" s="5">
        <f>IF(VLOOKUP(A23,Dividende_je_Aktie!A$3:AM$103,6,FALSE)&lt;&gt;"",IF(VLOOKUP(A23,Ergebnis_je_Aktie_verwässert!A$3:AK$103,6,FALSE)&lt;&gt;"",IF(VLOOKUP(A23,Ergebnis_je_Aktie_verwässert!A$3:AK$103,6,FALSE)&lt;=0,2,IF(VLOOKUP(A23,Dividende_je_Aktie!A$3:AM$103,6,FALSE)/VLOOKUP(A23,Ergebnis_je_Aktie_verwässert!A$3:AK$103,6,FALSE)&gt;=2,2,VLOOKUP(A23,Dividende_je_Aktie!A$3:AM$103,6,FALSE)/VLOOKUP(A23,Ergebnis_je_Aktie_verwässert!A$3:AK$103,6,FALSE))),""),"")</f>
        <v>0.73962264150943402</v>
      </c>
      <c r="G23" s="5">
        <f>IF(VLOOKUP(A23,Dividende_je_Aktie!A$3:AM$103,7,FALSE)&lt;&gt;"",IF(VLOOKUP(A23,Ergebnis_je_Aktie_verwässert!A$3:AK$103,7,FALSE)&lt;&gt;"",IF(VLOOKUP(A23,Ergebnis_je_Aktie_verwässert!A$3:AK$103,7,FALSE)&lt;=0,2,IF(VLOOKUP(A23,Dividende_je_Aktie!A$3:AM$103,7,FALSE)/VLOOKUP(A23,Ergebnis_je_Aktie_verwässert!A$3:AK$103,7,FALSE)&gt;=2,2,VLOOKUP(A23,Dividende_je_Aktie!A$3:AM$103,7,FALSE)/VLOOKUP(A23,Ergebnis_je_Aktie_verwässert!A$3:AK$103,7,FALSE))),""),"")</f>
        <v>0.74230769230769222</v>
      </c>
      <c r="H23" s="5">
        <f>IF(VLOOKUP(A23,Dividende_je_Aktie!A$3:AM$103,8,FALSE)&lt;&gt;"",IF(VLOOKUP(A23,Ergebnis_je_Aktie_verwässert!A$3:AK$103,8,FALSE)&lt;&gt;"",IF(VLOOKUP(A23,Ergebnis_je_Aktie_verwässert!A$3:AK$103,8,FALSE)&lt;=0,2,IF(VLOOKUP(A23,Dividende_je_Aktie!A$3:AM$103,8,FALSE)/VLOOKUP(A23,Ergebnis_je_Aktie_verwässert!A$3:AK$103,8,FALSE)&gt;=2,2,VLOOKUP(A23,Dividende_je_Aktie!A$3:AM$103,8,FALSE)/VLOOKUP(A23,Ergebnis_je_Aktie_verwässert!A$3:AK$103,8,FALSE))),""),"")</f>
        <v>0.74603174603174593</v>
      </c>
      <c r="I23" s="5">
        <f>IF(VLOOKUP(A23,Dividende_je_Aktie!A$3:AM$103,9,FALSE)&lt;&gt;"",IF(VLOOKUP(A23,Ergebnis_je_Aktie_verwässert!A$3:AK$103,9,FALSE)&lt;&gt;"",IF(VLOOKUP(A23,Ergebnis_je_Aktie_verwässert!A$3:AK$103,9,FALSE)&lt;=0,2,IF(VLOOKUP(A23,Dividende_je_Aktie!A$3:AM$103,9,FALSE)/VLOOKUP(A23,Ergebnis_je_Aktie_verwässert!A$3:AK$103,9,FALSE)&gt;=2,2,VLOOKUP(A23,Dividende_je_Aktie!A$3:AM$103,9,FALSE)/VLOOKUP(A23,Ergebnis_je_Aktie_verwässert!A$3:AK$103,9,FALSE))),""),"")</f>
        <v>0.73705179282868538</v>
      </c>
      <c r="J23" s="5">
        <f>IF(VLOOKUP(A23,Dividende_je_Aktie!A$3:AM$103,10,FALSE)&lt;&gt;"",IF(VLOOKUP(A23,Ergebnis_je_Aktie_verwässert!A$3:AK$103,10,FALSE)&lt;&gt;"",IF(VLOOKUP(A23,Ergebnis_je_Aktie_verwässert!A$3:AK$103,10,FALSE)&lt;=0,2,IF(VLOOKUP(A23,Dividende_je_Aktie!A$3:AM$103,10,FALSE)/VLOOKUP(A23,Ergebnis_je_Aktie_verwässert!A$3:AK$103,10,FALSE)&gt;=2,2,VLOOKUP(A23,Dividende_je_Aktie!A$3:AM$103,10,FALSE)/VLOOKUP(A23,Ergebnis_je_Aktie_verwässert!A$3:AK$103,10,FALSE))),""),"")</f>
        <v>0.72399999999999998</v>
      </c>
      <c r="K23" s="5">
        <f>IF(VLOOKUP(A23,Dividende_je_Aktie!A$3:AM$103,11,FALSE)&lt;&gt;"",IF(VLOOKUP(A23,Ergebnis_je_Aktie_verwässert!A$3:AK$103,11,FALSE)&lt;&gt;"",IF(VLOOKUP(A23,Ergebnis_je_Aktie_verwässert!A$3:AK$103,11,FALSE)&lt;=0,2,IF(VLOOKUP(A23,Dividende_je_Aktie!A$3:AM$103,11,FALSE)/VLOOKUP(A23,Ergebnis_je_Aktie_verwässert!A$3:AK$103,11,FALSE)&gt;=2,2,VLOOKUP(A23,Dividende_je_Aktie!A$3:AM$103,11,FALSE)/VLOOKUP(A23,Ergebnis_je_Aktie_verwässert!A$3:AK$103,11,FALSE))),""),"")</f>
        <v>0.76623376623376627</v>
      </c>
      <c r="L23" s="5">
        <f>IF(VLOOKUP(A23,Dividende_je_Aktie!A$3:AM$103,12,FALSE)&lt;&gt;"",IF(VLOOKUP(A23,Ergebnis_je_Aktie_verwässert!A$3:AK$103,12,FALSE)&lt;&gt;"",IF(VLOOKUP(A23,Ergebnis_je_Aktie_verwässert!A$3:AK$103,12,FALSE)&lt;=0,2,IF(VLOOKUP(A23,Dividende_je_Aktie!A$3:AM$103,12,FALSE)/VLOOKUP(A23,Ergebnis_je_Aktie_verwässert!A$3:AK$103,12,FALSE)&gt;=2,2,VLOOKUP(A23,Dividende_je_Aktie!A$3:AM$103,12,FALSE)/VLOOKUP(A23,Ergebnis_je_Aktie_verwässert!A$3:AK$103,12,FALSE))),""),"")</f>
        <v>0.79629629629629628</v>
      </c>
      <c r="M23" s="5">
        <f>IF(VLOOKUP(A23,Dividende_je_Aktie!A$3:AM$103,13,FALSE)&lt;&gt;"",IF(VLOOKUP(A23,Ergebnis_je_Aktie_verwässert!A$3:AK$103,13,FALSE)&lt;&gt;"",IF(VLOOKUP(A23,Ergebnis_je_Aktie_verwässert!A$3:AK$103,13,FALSE)&lt;=0,2,IF(VLOOKUP(A23,Dividende_je_Aktie!A$3:AM$103,13,FALSE)/VLOOKUP(A23,Ergebnis_je_Aktie_verwässert!A$3:AK$103,13,FALSE)&gt;=2,2,VLOOKUP(A23,Dividende_je_Aktie!A$3:AM$103,13,FALSE)/VLOOKUP(A23,Ergebnis_je_Aktie_verwässert!A$3:AK$103,13,FALSE))),""),"")</f>
        <v>0.71489361702127652</v>
      </c>
      <c r="N23" s="5">
        <f>IF(VLOOKUP(A23,Dividende_je_Aktie!A$3:AM$103,14,FALSE)&lt;&gt;"",IF(VLOOKUP(A23,Ergebnis_je_Aktie_verwässert!A$3:AK$103,14,FALSE)&lt;&gt;"",IF(VLOOKUP(A23,Ergebnis_je_Aktie_verwässert!A$3:AK$103,14,FALSE)&lt;=0,2,IF(VLOOKUP(A23,Dividende_je_Aktie!A$3:AM$103,14,FALSE)/VLOOKUP(A23,Ergebnis_je_Aktie_verwässert!A$3:AK$103,14,FALSE)&gt;=2,2,VLOOKUP(A23,Dividende_je_Aktie!A$3:AM$103,14,FALSE)/VLOOKUP(A23,Ergebnis_je_Aktie_verwässert!A$3:AK$103,14,FALSE))),""),"")</f>
        <v>0.77830188679245271</v>
      </c>
      <c r="O23" s="5">
        <f>IF(VLOOKUP(A23,Dividende_je_Aktie!A$3:AM$103,15,FALSE)&lt;&gt;"",IF(VLOOKUP(A23,Ergebnis_je_Aktie_verwässert!A$3:AK$103,15,FALSE)&lt;&gt;"",IF(VLOOKUP(A23,Ergebnis_je_Aktie_verwässert!A$3:AK$103,15,FALSE)&lt;=0,2,IF(VLOOKUP(A23,Dividende_je_Aktie!A$3:AM$103,15,FALSE)/VLOOKUP(A23,Ergebnis_je_Aktie_verwässert!A$3:AK$103,15,FALSE)&gt;=2,2,VLOOKUP(A23,Dividende_je_Aktie!A$3:AM$103,15,FALSE)/VLOOKUP(A23,Ergebnis_je_Aktie_verwässert!A$3:AK$103,15,FALSE))),""),"")</f>
        <v>0.74537037037037035</v>
      </c>
      <c r="P23" s="5">
        <f>IF(VLOOKUP(A23,Dividende_je_Aktie!A$3:AM$103,16,FALSE)&lt;&gt;"",IF(VLOOKUP(A23,Ergebnis_je_Aktie_verwässert!A$3:AK$103,16,FALSE)&lt;&gt;"",IF(VLOOKUP(A23,Ergebnis_je_Aktie_verwässert!A$3:AK$103,16,FALSE)&lt;=0,2,IF(VLOOKUP(A23,Dividende_je_Aktie!A$3:AM$103,16,FALSE)/VLOOKUP(A23,Ergebnis_je_Aktie_verwässert!A$3:AK$103,16,FALSE)&gt;=2,2,VLOOKUP(A23,Dividende_je_Aktie!A$3:AM$103,16,FALSE)/VLOOKUP(A23,Ergebnis_je_Aktie_verwässert!A$3:AK$103,16,FALSE))),""),"")</f>
        <v>0.75773195876288657</v>
      </c>
      <c r="Q23" s="5">
        <f>IF(VLOOKUP(A23,Dividende_je_Aktie!A$3:AM$103,17,FALSE)&lt;&gt;"",IF(VLOOKUP(A23,Ergebnis_je_Aktie_verwässert!A$3:AK$103,17,FALSE)&lt;&gt;"",IF(VLOOKUP(A23,Ergebnis_je_Aktie_verwässert!A$3:AK$103,17,FALSE)&lt;=0,2,IF(VLOOKUP(A23,Dividende_je_Aktie!A$3:AM$103,17,FALSE)/VLOOKUP(A23,Ergebnis_je_Aktie_verwässert!A$3:AK$103,17,FALSE)&gt;=2,2,VLOOKUP(A23,Dividende_je_Aktie!A$3:AM$103,17,FALSE)/VLOOKUP(A23,Ergebnis_je_Aktie_verwässert!A$3:AK$103,17,FALSE))),""),"")</f>
        <v>0.71428571428571441</v>
      </c>
      <c r="R23" s="5">
        <f>IF(VLOOKUP(A23,Dividende_je_Aktie!A$3:AM$103,18,FALSE)&lt;&gt;"",IF(VLOOKUP(A23,Ergebnis_je_Aktie_verwässert!A$3:AK$103,18,FALSE)&lt;&gt;"",IF(VLOOKUP(A23,Ergebnis_je_Aktie_verwässert!A$3:AK$103,18,FALSE)&lt;=0,2,IF(VLOOKUP(A23,Dividende_je_Aktie!A$3:AM$103,18,FALSE)/VLOOKUP(A23,Ergebnis_je_Aktie_verwässert!A$3:AK$103,18,FALSE)&gt;=2,2,VLOOKUP(A23,Dividende_je_Aktie!A$3:AM$103,18,FALSE)/VLOOKUP(A23,Ergebnis_je_Aktie_verwässert!A$3:AK$103,18,FALSE))),""),"")</f>
        <v>0.91549295774647899</v>
      </c>
      <c r="S23" s="10">
        <f t="shared" si="0"/>
        <v>0.75981695693744611</v>
      </c>
      <c r="T23" s="4">
        <f t="shared" ca="1" si="1"/>
        <v>0</v>
      </c>
      <c r="U23" s="4">
        <f t="shared" ca="1" si="2"/>
        <v>122</v>
      </c>
      <c r="V23" s="4">
        <f t="shared" ca="1" si="3"/>
        <v>238</v>
      </c>
      <c r="W23" s="10">
        <f t="shared" ca="1" si="4"/>
        <v>0.7447697056030389</v>
      </c>
      <c r="X23" s="5">
        <f t="shared" ca="1" si="5"/>
        <v>-1.9803784578666606E-2</v>
      </c>
    </row>
    <row r="24" spans="1:24" x14ac:dyDescent="0.25">
      <c r="A24" t="s">
        <v>95</v>
      </c>
      <c r="B24" t="s">
        <v>199</v>
      </c>
      <c r="C24" s="56">
        <v>31</v>
      </c>
      <c r="D24" s="56">
        <v>12</v>
      </c>
      <c r="E24" s="56">
        <v>2015</v>
      </c>
      <c r="F24" s="5">
        <f>IF(VLOOKUP(A24,Dividende_je_Aktie!A$3:AM$103,6,FALSE)&lt;&gt;"",IF(VLOOKUP(A24,Ergebnis_je_Aktie_verwässert!A$3:AK$103,6,FALSE)&lt;&gt;"",IF(VLOOKUP(A24,Ergebnis_je_Aktie_verwässert!A$3:AK$103,6,FALSE)&lt;=0,2,IF(VLOOKUP(A24,Dividende_je_Aktie!A$3:AM$103,6,FALSE)/VLOOKUP(A24,Ergebnis_je_Aktie_verwässert!A$3:AK$103,6,FALSE)&gt;=2,2,VLOOKUP(A24,Dividende_je_Aktie!A$3:AM$103,6,FALSE)/VLOOKUP(A24,Ergebnis_je_Aktie_verwässert!A$3:AK$103,6,FALSE))),""),"")</f>
        <v>0.41153846153846152</v>
      </c>
      <c r="G24" s="5">
        <f>IF(VLOOKUP(A24,Dividende_je_Aktie!A$3:AM$103,7,FALSE)&lt;&gt;"",IF(VLOOKUP(A24,Ergebnis_je_Aktie_verwässert!A$3:AK$103,7,FALSE)&lt;&gt;"",IF(VLOOKUP(A24,Ergebnis_je_Aktie_verwässert!A$3:AK$103,7,FALSE)&lt;=0,2,IF(VLOOKUP(A24,Dividende_je_Aktie!A$3:AM$103,7,FALSE)/VLOOKUP(A24,Ergebnis_je_Aktie_verwässert!A$3:AK$103,7,FALSE)&gt;=2,2,VLOOKUP(A24,Dividende_je_Aktie!A$3:AM$103,7,FALSE)/VLOOKUP(A24,Ergebnis_je_Aktie_verwässert!A$3:AK$103,7,FALSE))),""),"")</f>
        <v>0.41956521739130437</v>
      </c>
      <c r="H24" s="5">
        <f>IF(VLOOKUP(A24,Dividende_je_Aktie!A$3:AM$103,8,FALSE)&lt;&gt;"",IF(VLOOKUP(A24,Ergebnis_je_Aktie_verwässert!A$3:AK$103,8,FALSE)&lt;&gt;"",IF(VLOOKUP(A24,Ergebnis_je_Aktie_verwässert!A$3:AK$103,8,FALSE)&lt;=0,2,IF(VLOOKUP(A24,Dividende_je_Aktie!A$3:AM$103,8,FALSE)/VLOOKUP(A24,Ergebnis_je_Aktie_verwässert!A$3:AK$103,8,FALSE)&gt;=2,2,VLOOKUP(A24,Dividende_je_Aktie!A$3:AM$103,8,FALSE)/VLOOKUP(A24,Ergebnis_je_Aktie_verwässert!A$3:AK$103,8,FALSE))),""),"")</f>
        <v>0.43532338308457708</v>
      </c>
      <c r="I24" s="5">
        <f>IF(VLOOKUP(A24,Dividende_je_Aktie!A$3:AM$103,9,FALSE)&lt;&gt;"",IF(VLOOKUP(A24,Ergebnis_je_Aktie_verwässert!A$3:AK$103,9,FALSE)&lt;&gt;"",IF(VLOOKUP(A24,Ergebnis_je_Aktie_verwässert!A$3:AK$103,9,FALSE)&lt;=0,2,IF(VLOOKUP(A24,Dividende_je_Aktie!A$3:AM$103,9,FALSE)/VLOOKUP(A24,Ergebnis_je_Aktie_verwässert!A$3:AK$103,9,FALSE)&gt;=2,2,VLOOKUP(A24,Dividende_je_Aktie!A$3:AM$103,9,FALSE)/VLOOKUP(A24,Ergebnis_je_Aktie_verwässert!A$3:AK$103,9,FALSE))),""),"")</f>
        <v>0.40103896103896103</v>
      </c>
      <c r="J24" s="5">
        <f>IF(VLOOKUP(A24,Dividende_je_Aktie!A$3:AM$103,10,FALSE)&lt;&gt;"",IF(VLOOKUP(A24,Ergebnis_je_Aktie_verwässert!A$3:AK$103,10,FALSE)&lt;&gt;"",IF(VLOOKUP(A24,Ergebnis_je_Aktie_verwässert!A$3:AK$103,10,FALSE)&lt;=0,2,IF(VLOOKUP(A24,Dividende_je_Aktie!A$3:AM$103,10,FALSE)/VLOOKUP(A24,Ergebnis_je_Aktie_verwässert!A$3:AK$103,10,FALSE)&gt;=2,2,VLOOKUP(A24,Dividende_je_Aktie!A$3:AM$103,10,FALSE)/VLOOKUP(A24,Ergebnis_je_Aktie_verwässert!A$3:AK$103,10,FALSE))),""),"")</f>
        <v>0.39834024896265557</v>
      </c>
      <c r="K24" s="5">
        <f>IF(VLOOKUP(A24,Dividende_je_Aktie!A$3:AM$103,11,FALSE)&lt;&gt;"",IF(VLOOKUP(A24,Ergebnis_je_Aktie_verwässert!A$3:AK$103,11,FALSE)&lt;&gt;"",IF(VLOOKUP(A24,Ergebnis_je_Aktie_verwässert!A$3:AK$103,11,FALSE)&lt;=0,2,IF(VLOOKUP(A24,Dividende_je_Aktie!A$3:AM$103,11,FALSE)/VLOOKUP(A24,Ergebnis_je_Aktie_verwässert!A$3:AK$103,11,FALSE)&gt;=2,2,VLOOKUP(A24,Dividende_je_Aktie!A$3:AM$103,11,FALSE)/VLOOKUP(A24,Ergebnis_je_Aktie_verwässert!A$3:AK$103,11,FALSE))),""),"")</f>
        <v>0.43509789702683105</v>
      </c>
      <c r="L24" s="5">
        <f>IF(VLOOKUP(A24,Dividende_je_Aktie!A$3:AM$103,12,FALSE)&lt;&gt;"",IF(VLOOKUP(A24,Ergebnis_je_Aktie_verwässert!A$3:AK$103,12,FALSE)&lt;&gt;"",IF(VLOOKUP(A24,Ergebnis_je_Aktie_verwässert!A$3:AK$103,12,FALSE)&lt;=0,2,IF(VLOOKUP(A24,Dividende_je_Aktie!A$3:AM$103,12,FALSE)/VLOOKUP(A24,Ergebnis_je_Aktie_verwässert!A$3:AK$103,12,FALSE)&gt;=2,2,VLOOKUP(A24,Dividende_je_Aktie!A$3:AM$103,12,FALSE)/VLOOKUP(A24,Ergebnis_je_Aktie_verwässert!A$3:AK$103,12,FALSE))),""),"")</f>
        <v>0.44462409054163299</v>
      </c>
      <c r="M24" s="5">
        <f>IF(VLOOKUP(A24,Dividende_je_Aktie!A$3:AM$103,13,FALSE)&lt;&gt;"",IF(VLOOKUP(A24,Ergebnis_je_Aktie_verwässert!A$3:AK$103,13,FALSE)&lt;&gt;"",IF(VLOOKUP(A24,Ergebnis_je_Aktie_verwässert!A$3:AK$103,13,FALSE)&lt;=0,2,IF(VLOOKUP(A24,Dividende_je_Aktie!A$3:AM$103,13,FALSE)/VLOOKUP(A24,Ergebnis_je_Aktie_verwässert!A$3:AK$103,13,FALSE)&gt;=2,2,VLOOKUP(A24,Dividende_je_Aktie!A$3:AM$103,13,FALSE)/VLOOKUP(A24,Ergebnis_je_Aktie_verwässert!A$3:AK$103,13,FALSE))),""),"")</f>
        <v>0.37914691943127959</v>
      </c>
      <c r="N24" s="5">
        <f>IF(VLOOKUP(A24,Dividende_je_Aktie!A$3:AM$103,14,FALSE)&lt;&gt;"",IF(VLOOKUP(A24,Ergebnis_je_Aktie_verwässert!A$3:AK$103,14,FALSE)&lt;&gt;"",IF(VLOOKUP(A24,Ergebnis_je_Aktie_verwässert!A$3:AK$103,14,FALSE)&lt;=0,2,IF(VLOOKUP(A24,Dividende_je_Aktie!A$3:AM$103,14,FALSE)/VLOOKUP(A24,Ergebnis_je_Aktie_verwässert!A$3:AK$103,14,FALSE)&gt;=2,2,VLOOKUP(A24,Dividende_je_Aktie!A$3:AM$103,14,FALSE)/VLOOKUP(A24,Ergebnis_je_Aktie_verwässert!A$3:AK$103,14,FALSE))),""),"")</f>
        <v>0.51063829787234039</v>
      </c>
      <c r="O24" s="5">
        <f>IF(VLOOKUP(A24,Dividende_je_Aktie!A$3:AM$103,15,FALSE)&lt;&gt;"",IF(VLOOKUP(A24,Ergebnis_je_Aktie_verwässert!A$3:AK$103,15,FALSE)&lt;&gt;"",IF(VLOOKUP(A24,Ergebnis_je_Aktie_verwässert!A$3:AK$103,15,FALSE)&lt;=0,2,IF(VLOOKUP(A24,Dividende_je_Aktie!A$3:AM$103,15,FALSE)/VLOOKUP(A24,Ergebnis_je_Aktie_verwässert!A$3:AK$103,15,FALSE)&gt;=2,2,VLOOKUP(A24,Dividende_je_Aktie!A$3:AM$103,15,FALSE)/VLOOKUP(A24,Ergebnis_je_Aktie_verwässert!A$3:AK$103,15,FALSE))),""),"")</f>
        <v>0.53979238754325254</v>
      </c>
      <c r="P24" s="5" t="str">
        <f>IF(VLOOKUP(A24,Dividende_je_Aktie!A$3:AM$103,16,FALSE)&lt;&gt;"",IF(VLOOKUP(A24,Ergebnis_je_Aktie_verwässert!A$3:AK$103,16,FALSE)&lt;&gt;"",IF(VLOOKUP(A24,Ergebnis_je_Aktie_verwässert!A$3:AK$103,16,FALSE)&lt;=0,2,IF(VLOOKUP(A24,Dividende_je_Aktie!A$3:AM$103,16,FALSE)/VLOOKUP(A24,Ergebnis_je_Aktie_verwässert!A$3:AK$103,16,FALSE)&gt;=2,2,VLOOKUP(A24,Dividende_je_Aktie!A$3:AM$103,16,FALSE)/VLOOKUP(A24,Ergebnis_je_Aktie_verwässert!A$3:AK$103,16,FALSE))),""),"")</f>
        <v/>
      </c>
      <c r="Q24" s="5" t="str">
        <f>IF(VLOOKUP(A24,Dividende_je_Aktie!A$3:AM$103,17,FALSE)&lt;&gt;"",IF(VLOOKUP(A24,Ergebnis_je_Aktie_verwässert!A$3:AK$103,17,FALSE)&lt;&gt;"",IF(VLOOKUP(A24,Ergebnis_je_Aktie_verwässert!A$3:AK$103,17,FALSE)&lt;=0,2,IF(VLOOKUP(A24,Dividende_je_Aktie!A$3:AM$103,17,FALSE)/VLOOKUP(A24,Ergebnis_je_Aktie_verwässert!A$3:AK$103,17,FALSE)&gt;=2,2,VLOOKUP(A24,Dividende_je_Aktie!A$3:AM$103,17,FALSE)/VLOOKUP(A24,Ergebnis_je_Aktie_verwässert!A$3:AK$103,17,FALSE))),""),"")</f>
        <v/>
      </c>
      <c r="R24" s="5" t="str">
        <f>IF(VLOOKUP(A24,Dividende_je_Aktie!A$3:AM$103,18,FALSE)&lt;&gt;"",IF(VLOOKUP(A24,Ergebnis_je_Aktie_verwässert!A$3:AK$103,18,FALSE)&lt;&gt;"",IF(VLOOKUP(A24,Ergebnis_je_Aktie_verwässert!A$3:AK$103,18,FALSE)&lt;=0,2,IF(VLOOKUP(A24,Dividende_je_Aktie!A$3:AM$103,18,FALSE)/VLOOKUP(A24,Ergebnis_je_Aktie_verwässert!A$3:AK$103,18,FALSE)&gt;=2,2,VLOOKUP(A24,Dividende_je_Aktie!A$3:AM$103,18,FALSE)/VLOOKUP(A24,Ergebnis_je_Aktie_verwässert!A$3:AK$103,18,FALSE))),""),"")</f>
        <v/>
      </c>
      <c r="S24" s="10">
        <f t="shared" si="0"/>
        <v>0.43751058644312957</v>
      </c>
      <c r="T24" s="4">
        <f t="shared" ca="1" si="1"/>
        <v>0</v>
      </c>
      <c r="U24" s="4">
        <f t="shared" ca="1" si="2"/>
        <v>122</v>
      </c>
      <c r="V24" s="4">
        <f t="shared" ca="1" si="3"/>
        <v>238</v>
      </c>
      <c r="W24" s="10">
        <f t="shared" ca="1" si="4"/>
        <v>0.42998311582185689</v>
      </c>
      <c r="X24" s="5">
        <f t="shared" ca="1" si="5"/>
        <v>-1.7205230809314687E-2</v>
      </c>
    </row>
    <row r="25" spans="1:24" x14ac:dyDescent="0.25">
      <c r="A25" t="s">
        <v>40</v>
      </c>
      <c r="B25" t="s">
        <v>41</v>
      </c>
      <c r="C25" s="56">
        <v>31</v>
      </c>
      <c r="D25" s="56">
        <v>12</v>
      </c>
      <c r="E25" s="56">
        <v>2015</v>
      </c>
      <c r="F25" s="5">
        <f>IF(VLOOKUP(A25,Dividende_je_Aktie!A$3:AM$103,6,FALSE)&lt;&gt;"",IF(VLOOKUP(A25,Ergebnis_je_Aktie_verwässert!A$3:AK$103,6,FALSE)&lt;&gt;"",IF(VLOOKUP(A25,Ergebnis_je_Aktie_verwässert!A$3:AK$103,6,FALSE)&lt;=0,2,IF(VLOOKUP(A25,Dividende_je_Aktie!A$3:AM$103,6,FALSE)/VLOOKUP(A25,Ergebnis_je_Aktie_verwässert!A$3:AK$103,6,FALSE)&gt;=2,2,VLOOKUP(A25,Dividende_je_Aktie!A$3:AM$103,6,FALSE)/VLOOKUP(A25,Ergebnis_je_Aktie_verwässert!A$3:AK$103,6,FALSE))),""),"")</f>
        <v>0.67555555555555558</v>
      </c>
      <c r="G25" s="5">
        <f>IF(VLOOKUP(A25,Dividende_je_Aktie!A$3:AM$103,7,FALSE)&lt;&gt;"",IF(VLOOKUP(A25,Ergebnis_je_Aktie_verwässert!A$3:AK$103,7,FALSE)&lt;&gt;"",IF(VLOOKUP(A25,Ergebnis_je_Aktie_verwässert!A$3:AK$103,7,FALSE)&lt;=0,2,IF(VLOOKUP(A25,Dividende_je_Aktie!A$3:AM$103,7,FALSE)/VLOOKUP(A25,Ergebnis_je_Aktie_verwässert!A$3:AK$103,7,FALSE)&gt;=2,2,VLOOKUP(A25,Dividende_je_Aktie!A$3:AM$103,7,FALSE)/VLOOKUP(A25,Ergebnis_je_Aktie_verwässert!A$3:AK$103,7,FALSE))),""),"")</f>
        <v>0.67619047619047612</v>
      </c>
      <c r="H25" s="5">
        <f>IF(VLOOKUP(A25,Dividende_je_Aktie!A$3:AM$103,8,FALSE)&lt;&gt;"",IF(VLOOKUP(A25,Ergebnis_je_Aktie_verwässert!A$3:AK$103,8,FALSE)&lt;&gt;"",IF(VLOOKUP(A25,Ergebnis_je_Aktie_verwässert!A$3:AK$103,8,FALSE)&lt;=0,2,IF(VLOOKUP(A25,Dividende_je_Aktie!A$3:AM$103,8,FALSE)/VLOOKUP(A25,Ergebnis_je_Aktie_verwässert!A$3:AK$103,8,FALSE)&gt;=2,2,VLOOKUP(A25,Dividende_je_Aktie!A$3:AM$103,8,FALSE)/VLOOKUP(A25,Ergebnis_je_Aktie_verwässert!A$3:AK$103,8,FALSE))),""),"")</f>
        <v>0.67692307692307696</v>
      </c>
      <c r="I25" s="5">
        <f>IF(VLOOKUP(A25,Dividende_je_Aktie!A$3:AM$103,9,FALSE)&lt;&gt;"",IF(VLOOKUP(A25,Ergebnis_je_Aktie_verwässert!A$3:AK$103,9,FALSE)&lt;&gt;"",IF(VLOOKUP(A25,Ergebnis_je_Aktie_verwässert!A$3:AK$103,9,FALSE)&lt;=0,2,IF(VLOOKUP(A25,Dividende_je_Aktie!A$3:AM$103,9,FALSE)/VLOOKUP(A25,Ergebnis_je_Aktie_verwässert!A$3:AK$103,9,FALSE)&gt;=2,2,VLOOKUP(A25,Dividende_je_Aktie!A$3:AM$103,9,FALSE)/VLOOKUP(A25,Ergebnis_je_Aktie_verwässert!A$3:AK$103,9,FALSE))),""),"")</f>
        <v>0.76249999999999996</v>
      </c>
      <c r="J25" s="5">
        <f>IF(VLOOKUP(A25,Dividende_je_Aktie!A$3:AM$103,10,FALSE)&lt;&gt;"",IF(VLOOKUP(A25,Ergebnis_je_Aktie_verwässert!A$3:AK$103,10,FALSE)&lt;&gt;"",IF(VLOOKUP(A25,Ergebnis_je_Aktie_verwässert!A$3:AK$103,10,FALSE)&lt;=0,2,IF(VLOOKUP(A25,Dividende_je_Aktie!A$3:AM$103,10,FALSE)/VLOOKUP(A25,Ergebnis_je_Aktie_verwässert!A$3:AK$103,10,FALSE)&gt;=2,2,VLOOKUP(A25,Dividende_je_Aktie!A$3:AM$103,10,FALSE)/VLOOKUP(A25,Ergebnis_je_Aktie_verwässert!A$3:AK$103,10,FALSE))),""),"")</f>
        <v>0.58947368421052637</v>
      </c>
      <c r="K25" s="5">
        <f>IF(VLOOKUP(A25,Dividende_je_Aktie!A$3:AM$103,11,FALSE)&lt;&gt;"",IF(VLOOKUP(A25,Ergebnis_je_Aktie_verwässert!A$3:AK$103,11,FALSE)&lt;&gt;"",IF(VLOOKUP(A25,Ergebnis_je_Aktie_verwässert!A$3:AK$103,11,FALSE)&lt;=0,2,IF(VLOOKUP(A25,Dividende_je_Aktie!A$3:AM$103,11,FALSE)/VLOOKUP(A25,Ergebnis_je_Aktie_verwässert!A$3:AK$103,11,FALSE)&gt;=2,2,VLOOKUP(A25,Dividende_je_Aktie!A$3:AM$103,11,FALSE)/VLOOKUP(A25,Ergebnis_je_Aktie_verwässert!A$3:AK$103,11,FALSE))),""),"")</f>
        <v>0.51776649746192893</v>
      </c>
      <c r="L25" s="5">
        <f>IF(VLOOKUP(A25,Dividende_je_Aktie!A$3:AM$103,12,FALSE)&lt;&gt;"",IF(VLOOKUP(A25,Ergebnis_je_Aktie_verwässert!A$3:AK$103,12,FALSE)&lt;&gt;"",IF(VLOOKUP(A25,Ergebnis_je_Aktie_verwässert!A$3:AK$103,12,FALSE)&lt;=0,2,IF(VLOOKUP(A25,Dividende_je_Aktie!A$3:AM$103,12,FALSE)/VLOOKUP(A25,Ergebnis_je_Aktie_verwässert!A$3:AK$103,12,FALSE)&gt;=2,2,VLOOKUP(A25,Dividende_je_Aktie!A$3:AM$103,12,FALSE)/VLOOKUP(A25,Ergebnis_je_Aktie_verwässert!A$3:AK$103,12,FALSE))),""),"")</f>
        <v>0.50810810810810803</v>
      </c>
      <c r="M25" s="5">
        <f>IF(VLOOKUP(A25,Dividende_je_Aktie!A$3:AM$103,13,FALSE)&lt;&gt;"",IF(VLOOKUP(A25,Ergebnis_je_Aktie_verwässert!A$3:AK$103,13,FALSE)&lt;&gt;"",IF(VLOOKUP(A25,Ergebnis_je_Aktie_verwässert!A$3:AK$103,13,FALSE)&lt;=0,2,IF(VLOOKUP(A25,Dividende_je_Aktie!A$3:AM$103,13,FALSE)/VLOOKUP(A25,Ergebnis_je_Aktie_verwässert!A$3:AK$103,13,FALSE)&gt;=2,2,VLOOKUP(A25,Dividende_je_Aktie!A$3:AM$103,13,FALSE)/VLOOKUP(A25,Ergebnis_je_Aktie_verwässert!A$3:AK$103,13,FALSE))),""),"")</f>
        <v>0.54658385093167694</v>
      </c>
      <c r="N25" s="5">
        <f>IF(VLOOKUP(A25,Dividende_je_Aktie!A$3:AM$103,14,FALSE)&lt;&gt;"",IF(VLOOKUP(A25,Ergebnis_je_Aktie_verwässert!A$3:AK$103,14,FALSE)&lt;&gt;"",IF(VLOOKUP(A25,Ergebnis_je_Aktie_verwässert!A$3:AK$103,14,FALSE)&lt;=0,2,IF(VLOOKUP(A25,Dividende_je_Aktie!A$3:AM$103,14,FALSE)/VLOOKUP(A25,Ergebnis_je_Aktie_verwässert!A$3:AK$103,14,FALSE)&gt;=2,2,VLOOKUP(A25,Dividende_je_Aktie!A$3:AM$103,14,FALSE)/VLOOKUP(A25,Ergebnis_je_Aktie_verwässert!A$3:AK$103,14,FALSE))),""),"")</f>
        <v>0.55782312925170063</v>
      </c>
      <c r="O25" s="5">
        <f>IF(VLOOKUP(A25,Dividende_je_Aktie!A$3:AM$103,15,FALSE)&lt;&gt;"",IF(VLOOKUP(A25,Ergebnis_je_Aktie_verwässert!A$3:AK$103,15,FALSE)&lt;&gt;"",IF(VLOOKUP(A25,Ergebnis_je_Aktie_verwässert!A$3:AK$103,15,FALSE)&lt;=0,2,IF(VLOOKUP(A25,Dividende_je_Aktie!A$3:AM$103,15,FALSE)/VLOOKUP(A25,Ergebnis_je_Aktie_verwässert!A$3:AK$103,15,FALSE)&gt;=2,2,VLOOKUP(A25,Dividende_je_Aktie!A$3:AM$103,15,FALSE)/VLOOKUP(A25,Ergebnis_je_Aktie_verwässert!A$3:AK$103,15,FALSE))),""),"")</f>
        <v>0.50331125827814571</v>
      </c>
      <c r="P25" s="5">
        <f>IF(VLOOKUP(A25,Dividende_je_Aktie!A$3:AM$103,16,FALSE)&lt;&gt;"",IF(VLOOKUP(A25,Ergebnis_je_Aktie_verwässert!A$3:AK$103,16,FALSE)&lt;&gt;"",IF(VLOOKUP(A25,Ergebnis_je_Aktie_verwässert!A$3:AK$103,16,FALSE)&lt;=0,2,IF(VLOOKUP(A25,Dividende_je_Aktie!A$3:AM$103,16,FALSE)/VLOOKUP(A25,Ergebnis_je_Aktie_verwässert!A$3:AK$103,16,FALSE)&gt;=2,2,VLOOKUP(A25,Dividende_je_Aktie!A$3:AM$103,16,FALSE)/VLOOKUP(A25,Ergebnis_je_Aktie_verwässert!A$3:AK$103,16,FALSE))),""),"")</f>
        <v>0.52713178294573648</v>
      </c>
      <c r="Q25" s="5">
        <f>IF(VLOOKUP(A25,Dividende_je_Aktie!A$3:AM$103,17,FALSE)&lt;&gt;"",IF(VLOOKUP(A25,Ergebnis_je_Aktie_verwässert!A$3:AK$103,17,FALSE)&lt;&gt;"",IF(VLOOKUP(A25,Ergebnis_je_Aktie_verwässert!A$3:AK$103,17,FALSE)&lt;=0,2,IF(VLOOKUP(A25,Dividende_je_Aktie!A$3:AM$103,17,FALSE)/VLOOKUP(A25,Ergebnis_je_Aktie_verwässert!A$3:AK$103,17,FALSE)&gt;=2,2,VLOOKUP(A25,Dividende_je_Aktie!A$3:AM$103,17,FALSE)/VLOOKUP(A25,Ergebnis_je_Aktie_verwässert!A$3:AK$103,17,FALSE))),""),"")</f>
        <v>0.57407407407407407</v>
      </c>
      <c r="R25" s="5">
        <f>IF(VLOOKUP(A25,Dividende_je_Aktie!A$3:AM$103,18,FALSE)&lt;&gt;"",IF(VLOOKUP(A25,Ergebnis_je_Aktie_verwässert!A$3:AK$103,18,FALSE)&lt;&gt;"",IF(VLOOKUP(A25,Ergebnis_je_Aktie_verwässert!A$3:AK$103,18,FALSE)&lt;=0,2,IF(VLOOKUP(A25,Dividende_je_Aktie!A$3:AM$103,18,FALSE)/VLOOKUP(A25,Ergebnis_je_Aktie_verwässert!A$3:AK$103,18,FALSE)&gt;=2,2,VLOOKUP(A25,Dividende_je_Aktie!A$3:AM$103,18,FALSE)/VLOOKUP(A25,Ergebnis_je_Aktie_verwässert!A$3:AK$103,18,FALSE))),""),"")</f>
        <v>0.5490196078431373</v>
      </c>
      <c r="S25" s="10">
        <f t="shared" si="0"/>
        <v>0.58957393090570331</v>
      </c>
      <c r="T25" s="4">
        <f t="shared" ca="1" si="1"/>
        <v>0</v>
      </c>
      <c r="U25" s="4">
        <f t="shared" ca="1" si="2"/>
        <v>122</v>
      </c>
      <c r="V25" s="4">
        <f t="shared" ca="1" si="3"/>
        <v>238</v>
      </c>
      <c r="W25" s="10">
        <f t="shared" ca="1" si="4"/>
        <v>0.67667480667480662</v>
      </c>
      <c r="X25" s="5">
        <f t="shared" ca="1" si="5"/>
        <v>0.14773529018709985</v>
      </c>
    </row>
    <row r="26" spans="1:24" x14ac:dyDescent="0.25">
      <c r="A26" t="s">
        <v>42</v>
      </c>
      <c r="B26" t="s">
        <v>43</v>
      </c>
      <c r="C26" s="56">
        <v>31</v>
      </c>
      <c r="D26" s="56">
        <v>12</v>
      </c>
      <c r="E26" s="56">
        <v>2015</v>
      </c>
      <c r="F26" s="5">
        <f>IF(VLOOKUP(A26,Dividende_je_Aktie!A$3:AM$103,6,FALSE)&lt;&gt;"",IF(VLOOKUP(A26,Ergebnis_je_Aktie_verwässert!A$3:AK$103,6,FALSE)&lt;&gt;"",IF(VLOOKUP(A26,Ergebnis_je_Aktie_verwässert!A$3:AK$103,6,FALSE)&lt;=0,2,IF(VLOOKUP(A26,Dividende_je_Aktie!A$3:AM$103,6,FALSE)/VLOOKUP(A26,Ergebnis_je_Aktie_verwässert!A$3:AK$103,6,FALSE)&gt;=2,2,VLOOKUP(A26,Dividende_je_Aktie!A$3:AM$103,6,FALSE)/VLOOKUP(A26,Ergebnis_je_Aktie_verwässert!A$3:AK$103,6,FALSE))),""),"")</f>
        <v>0.50712250712250717</v>
      </c>
      <c r="G26" s="5">
        <f>IF(VLOOKUP(A26,Dividende_je_Aktie!A$3:AM$103,7,FALSE)&lt;&gt;"",IF(VLOOKUP(A26,Ergebnis_je_Aktie_verwässert!A$3:AK$103,7,FALSE)&lt;&gt;"",IF(VLOOKUP(A26,Ergebnis_je_Aktie_verwässert!A$3:AK$103,7,FALSE)&lt;=0,2,IF(VLOOKUP(A26,Dividende_je_Aktie!A$3:AM$103,7,FALSE)/VLOOKUP(A26,Ergebnis_je_Aktie_verwässert!A$3:AK$103,7,FALSE)&gt;=2,2,VLOOKUP(A26,Dividende_je_Aktie!A$3:AM$103,7,FALSE)/VLOOKUP(A26,Ergebnis_je_Aktie_verwässert!A$3:AK$103,7,FALSE))),""),"")</f>
        <v>0.51572327044025157</v>
      </c>
      <c r="H26" s="5">
        <f>IF(VLOOKUP(A26,Dividende_je_Aktie!A$3:AM$103,8,FALSE)&lt;&gt;"",IF(VLOOKUP(A26,Ergebnis_je_Aktie_verwässert!A$3:AK$103,8,FALSE)&lt;&gt;"",IF(VLOOKUP(A26,Ergebnis_je_Aktie_verwässert!A$3:AK$103,8,FALSE)&lt;=0,2,IF(VLOOKUP(A26,Dividende_je_Aktie!A$3:AM$103,8,FALSE)/VLOOKUP(A26,Ergebnis_je_Aktie_verwässert!A$3:AK$103,8,FALSE)&gt;=2,2,VLOOKUP(A26,Dividende_je_Aktie!A$3:AM$103,8,FALSE)/VLOOKUP(A26,Ergebnis_je_Aktie_verwässert!A$3:AK$103,8,FALSE))),""),"")</f>
        <v>0.52961672473867594</v>
      </c>
      <c r="I26" s="5">
        <f>IF(VLOOKUP(A26,Dividende_je_Aktie!A$3:AM$103,9,FALSE)&lt;&gt;"",IF(VLOOKUP(A26,Ergebnis_je_Aktie_verwässert!A$3:AK$103,9,FALSE)&lt;&gt;"",IF(VLOOKUP(A26,Ergebnis_je_Aktie_verwässert!A$3:AK$103,9,FALSE)&lt;=0,2,IF(VLOOKUP(A26,Dividende_je_Aktie!A$3:AM$103,9,FALSE)/VLOOKUP(A26,Ergebnis_je_Aktie_verwässert!A$3:AK$103,9,FALSE)&gt;=2,2,VLOOKUP(A26,Dividende_je_Aktie!A$3:AM$103,9,FALSE)/VLOOKUP(A26,Ergebnis_je_Aktie_verwässert!A$3:AK$103,9,FALSE))),""),"")</f>
        <v>0.60169491525423724</v>
      </c>
      <c r="J26" s="5">
        <f>IF(VLOOKUP(A26,Dividende_je_Aktie!A$3:AM$103,10,FALSE)&lt;&gt;"",IF(VLOOKUP(A26,Ergebnis_je_Aktie_verwässert!A$3:AK$103,10,FALSE)&lt;&gt;"",IF(VLOOKUP(A26,Ergebnis_je_Aktie_verwässert!A$3:AK$103,10,FALSE)&lt;=0,2,IF(VLOOKUP(A26,Dividende_je_Aktie!A$3:AM$103,10,FALSE)/VLOOKUP(A26,Ergebnis_je_Aktie_verwässert!A$3:AK$103,10,FALSE)&gt;=2,2,VLOOKUP(A26,Dividende_je_Aktie!A$3:AM$103,10,FALSE)/VLOOKUP(A26,Ergebnis_je_Aktie_verwässert!A$3:AK$103,10,FALSE))),""),"")</f>
        <v>0.55882352941176472</v>
      </c>
      <c r="K26" s="5">
        <f>IF(VLOOKUP(A26,Dividende_je_Aktie!A$3:AM$103,11,FALSE)&lt;&gt;"",IF(VLOOKUP(A26,Ergebnis_je_Aktie_verwässert!A$3:AK$103,11,FALSE)&lt;&gt;"",IF(VLOOKUP(A26,Ergebnis_je_Aktie_verwässert!A$3:AK$103,11,FALSE)&lt;=0,2,IF(VLOOKUP(A26,Dividende_je_Aktie!A$3:AM$103,11,FALSE)/VLOOKUP(A26,Ergebnis_je_Aktie_verwässert!A$3:AK$103,11,FALSE)&gt;=2,2,VLOOKUP(A26,Dividende_je_Aktie!A$3:AM$103,11,FALSE)/VLOOKUP(A26,Ergebnis_je_Aktie_verwässert!A$3:AK$103,11,FALSE))),""),"")</f>
        <v>0.47286821705426352</v>
      </c>
      <c r="L26" s="5">
        <f>IF(VLOOKUP(A26,Dividende_je_Aktie!A$3:AM$103,12,FALSE)&lt;&gt;"",IF(VLOOKUP(A26,Ergebnis_je_Aktie_verwässert!A$3:AK$103,12,FALSE)&lt;&gt;"",IF(VLOOKUP(A26,Ergebnis_je_Aktie_verwässert!A$3:AK$103,12,FALSE)&lt;=0,2,IF(VLOOKUP(A26,Dividende_je_Aktie!A$3:AM$103,12,FALSE)/VLOOKUP(A26,Ergebnis_je_Aktie_verwässert!A$3:AK$103,12,FALSE)&gt;=2,2,VLOOKUP(A26,Dividende_je_Aktie!A$3:AM$103,12,FALSE)/VLOOKUP(A26,Ergebnis_je_Aktie_verwässert!A$3:AK$103,12,FALSE))),""),"")</f>
        <v>0.46153846153846145</v>
      </c>
      <c r="M26" s="5">
        <f>IF(VLOOKUP(A26,Dividende_je_Aktie!A$3:AM$103,13,FALSE)&lt;&gt;"",IF(VLOOKUP(A26,Ergebnis_je_Aktie_verwässert!A$3:AK$103,13,FALSE)&lt;&gt;"",IF(VLOOKUP(A26,Ergebnis_je_Aktie_verwässert!A$3:AK$103,13,FALSE)&lt;=0,2,IF(VLOOKUP(A26,Dividende_je_Aktie!A$3:AM$103,13,FALSE)/VLOOKUP(A26,Ergebnis_je_Aktie_verwässert!A$3:AK$103,13,FALSE)&gt;=2,2,VLOOKUP(A26,Dividende_je_Aktie!A$3:AM$103,13,FALSE)/VLOOKUP(A26,Ergebnis_je_Aktie_verwässert!A$3:AK$103,13,FALSE))),""),"")</f>
        <v>0.46976744186046515</v>
      </c>
      <c r="N26" s="5">
        <f>IF(VLOOKUP(A26,Dividende_je_Aktie!A$3:AM$103,14,FALSE)&lt;&gt;"",IF(VLOOKUP(A26,Ergebnis_je_Aktie_verwässert!A$3:AK$103,14,FALSE)&lt;&gt;"",IF(VLOOKUP(A26,Ergebnis_je_Aktie_verwässert!A$3:AK$103,14,FALSE)&lt;=0,2,IF(VLOOKUP(A26,Dividende_je_Aktie!A$3:AM$103,14,FALSE)/VLOOKUP(A26,Ergebnis_je_Aktie_verwässert!A$3:AK$103,14,FALSE)&gt;=2,2,VLOOKUP(A26,Dividende_je_Aktie!A$3:AM$103,14,FALSE)/VLOOKUP(A26,Ergebnis_je_Aktie_verwässert!A$3:AK$103,14,FALSE))),""),"")</f>
        <v>0.39269406392694062</v>
      </c>
      <c r="O26" s="5">
        <f>IF(VLOOKUP(A26,Dividende_je_Aktie!A$3:AM$103,15,FALSE)&lt;&gt;"",IF(VLOOKUP(A26,Ergebnis_je_Aktie_verwässert!A$3:AK$103,15,FALSE)&lt;&gt;"",IF(VLOOKUP(A26,Ergebnis_je_Aktie_verwässert!A$3:AK$103,15,FALSE)&lt;=0,2,IF(VLOOKUP(A26,Dividende_je_Aktie!A$3:AM$103,15,FALSE)/VLOOKUP(A26,Ergebnis_je_Aktie_verwässert!A$3:AK$103,15,FALSE)&gt;=2,2,VLOOKUP(A26,Dividende_je_Aktie!A$3:AM$103,15,FALSE)/VLOOKUP(A26,Ergebnis_je_Aktie_verwässert!A$3:AK$103,15,FALSE))),""),"")</f>
        <v>0.42622950819672129</v>
      </c>
      <c r="P26" s="5">
        <f>IF(VLOOKUP(A26,Dividende_je_Aktie!A$3:AM$103,16,FALSE)&lt;&gt;"",IF(VLOOKUP(A26,Ergebnis_je_Aktie_verwässert!A$3:AK$103,16,FALSE)&lt;&gt;"",IF(VLOOKUP(A26,Ergebnis_je_Aktie_verwässert!A$3:AK$103,16,FALSE)&lt;=0,2,IF(VLOOKUP(A26,Dividende_je_Aktie!A$3:AM$103,16,FALSE)/VLOOKUP(A26,Ergebnis_je_Aktie_verwässert!A$3:AK$103,16,FALSE)&gt;=2,2,VLOOKUP(A26,Dividende_je_Aktie!A$3:AM$103,16,FALSE)/VLOOKUP(A26,Ergebnis_je_Aktie_verwässert!A$3:AK$103,16,FALSE))),""),"")</f>
        <v>0.43749999999999994</v>
      </c>
      <c r="Q26" s="5">
        <f>IF(VLOOKUP(A26,Dividende_je_Aktie!A$3:AM$103,17,FALSE)&lt;&gt;"",IF(VLOOKUP(A26,Ergebnis_je_Aktie_verwässert!A$3:AK$103,17,FALSE)&lt;&gt;"",IF(VLOOKUP(A26,Ergebnis_je_Aktie_verwässert!A$3:AK$103,17,FALSE)&lt;=0,2,IF(VLOOKUP(A26,Dividende_je_Aktie!A$3:AM$103,17,FALSE)/VLOOKUP(A26,Ergebnis_je_Aktie_verwässert!A$3:AK$103,17,FALSE)&gt;=2,2,VLOOKUP(A26,Dividende_je_Aktie!A$3:AM$103,17,FALSE)/VLOOKUP(A26,Ergebnis_je_Aktie_verwässert!A$3:AK$103,17,FALSE))),""),"")</f>
        <v>0.51219512195121952</v>
      </c>
      <c r="R26" s="5">
        <f>IF(VLOOKUP(A26,Dividende_je_Aktie!A$3:AM$103,18,FALSE)&lt;&gt;"",IF(VLOOKUP(A26,Ergebnis_je_Aktie_verwässert!A$3:AK$103,18,FALSE)&lt;&gt;"",IF(VLOOKUP(A26,Ergebnis_je_Aktie_verwässert!A$3:AK$103,18,FALSE)&lt;=0,2,IF(VLOOKUP(A26,Dividende_je_Aktie!A$3:AM$103,18,FALSE)/VLOOKUP(A26,Ergebnis_je_Aktie_verwässert!A$3:AK$103,18,FALSE)&gt;=2,2,VLOOKUP(A26,Dividende_je_Aktie!A$3:AM$103,18,FALSE)/VLOOKUP(A26,Ergebnis_je_Aktie_verwässert!A$3:AK$103,18,FALSE))),""),"")</f>
        <v>0.45901639344262302</v>
      </c>
      <c r="S26" s="10">
        <f t="shared" si="0"/>
        <v>0.48806078114908702</v>
      </c>
      <c r="T26" s="4">
        <f t="shared" ca="1" si="1"/>
        <v>0</v>
      </c>
      <c r="U26" s="4">
        <f t="shared" ca="1" si="2"/>
        <v>122</v>
      </c>
      <c r="V26" s="4">
        <f t="shared" ca="1" si="3"/>
        <v>238</v>
      </c>
      <c r="W26" s="10">
        <f t="shared" ca="1" si="4"/>
        <v>0.52490838744865442</v>
      </c>
      <c r="X26" s="5">
        <f t="shared" ca="1" si="5"/>
        <v>7.5497986568012321E-2</v>
      </c>
    </row>
    <row r="27" spans="1:24" x14ac:dyDescent="0.25">
      <c r="A27" t="s">
        <v>44</v>
      </c>
      <c r="B27" t="s">
        <v>45</v>
      </c>
      <c r="C27" s="56">
        <v>31</v>
      </c>
      <c r="D27" s="56">
        <v>12</v>
      </c>
      <c r="E27" s="56">
        <v>2015</v>
      </c>
      <c r="F27" s="5">
        <f>IF(VLOOKUP(A27,Dividende_je_Aktie!A$3:AM$103,6,FALSE)&lt;&gt;"",IF(VLOOKUP(A27,Ergebnis_je_Aktie_verwässert!A$3:AK$103,6,FALSE)&lt;&gt;"",IF(VLOOKUP(A27,Ergebnis_je_Aktie_verwässert!A$3:AK$103,6,FALSE)&lt;=0,2,IF(VLOOKUP(A27,Dividende_je_Aktie!A$3:AM$103,6,FALSE)/VLOOKUP(A27,Ergebnis_je_Aktie_verwässert!A$3:AK$103,6,FALSE)&gt;=2,2,VLOOKUP(A27,Dividende_je_Aktie!A$3:AM$103,6,FALSE)/VLOOKUP(A27,Ergebnis_je_Aktie_verwässert!A$3:AK$103,6,FALSE))),""),"")</f>
        <v>0.6</v>
      </c>
      <c r="G27" s="5">
        <f>IF(VLOOKUP(A27,Dividende_je_Aktie!A$3:AM$103,7,FALSE)&lt;&gt;"",IF(VLOOKUP(A27,Ergebnis_je_Aktie_verwässert!A$3:AK$103,7,FALSE)&lt;&gt;"",IF(VLOOKUP(A27,Ergebnis_je_Aktie_verwässert!A$3:AK$103,7,FALSE)&lt;=0,2,IF(VLOOKUP(A27,Dividende_je_Aktie!A$3:AM$103,7,FALSE)/VLOOKUP(A27,Ergebnis_je_Aktie_verwässert!A$3:AK$103,7,FALSE)&gt;=2,2,VLOOKUP(A27,Dividende_je_Aktie!A$3:AM$103,7,FALSE)/VLOOKUP(A27,Ergebnis_je_Aktie_verwässert!A$3:AK$103,7,FALSE))),""),"")</f>
        <v>0.65986394557823125</v>
      </c>
      <c r="H27" s="5">
        <f>IF(VLOOKUP(A27,Dividende_je_Aktie!A$3:AM$103,8,FALSE)&lt;&gt;"",IF(VLOOKUP(A27,Ergebnis_je_Aktie_verwässert!A$3:AK$103,8,FALSE)&lt;&gt;"",IF(VLOOKUP(A27,Ergebnis_je_Aktie_verwässert!A$3:AK$103,8,FALSE)&lt;=0,2,IF(VLOOKUP(A27,Dividende_je_Aktie!A$3:AM$103,8,FALSE)/VLOOKUP(A27,Ergebnis_je_Aktie_verwässert!A$3:AK$103,8,FALSE)&gt;=2,2,VLOOKUP(A27,Dividende_je_Aktie!A$3:AM$103,8,FALSE)/VLOOKUP(A27,Ergebnis_je_Aktie_verwässert!A$3:AK$103,8,FALSE))),""),"")</f>
        <v>1.4090909090909092</v>
      </c>
      <c r="I27" s="5">
        <f>IF(VLOOKUP(A27,Dividende_je_Aktie!A$3:AM$103,9,FALSE)&lt;&gt;"",IF(VLOOKUP(A27,Ergebnis_je_Aktie_verwässert!A$3:AK$103,9,FALSE)&lt;&gt;"",IF(VLOOKUP(A27,Ergebnis_je_Aktie_verwässert!A$3:AK$103,9,FALSE)&lt;=0,2,IF(VLOOKUP(A27,Dividende_je_Aktie!A$3:AM$103,9,FALSE)/VLOOKUP(A27,Ergebnis_je_Aktie_verwässert!A$3:AK$103,9,FALSE)&gt;=2,2,VLOOKUP(A27,Dividende_je_Aktie!A$3:AM$103,9,FALSE)/VLOOKUP(A27,Ergebnis_je_Aktie_verwässert!A$3:AK$103,9,FALSE))),""),"")</f>
        <v>0.59333333333333338</v>
      </c>
      <c r="J27" s="5">
        <f>IF(VLOOKUP(A27,Dividende_je_Aktie!A$3:AM$103,10,FALSE)&lt;&gt;"",IF(VLOOKUP(A27,Ergebnis_je_Aktie_verwässert!A$3:AK$103,10,FALSE)&lt;&gt;"",IF(VLOOKUP(A27,Ergebnis_je_Aktie_verwässert!A$3:AK$103,10,FALSE)&lt;=0,2,IF(VLOOKUP(A27,Dividende_je_Aktie!A$3:AM$103,10,FALSE)/VLOOKUP(A27,Ergebnis_je_Aktie_verwässert!A$3:AK$103,10,FALSE)&gt;=2,2,VLOOKUP(A27,Dividende_je_Aktie!A$3:AM$103,10,FALSE)/VLOOKUP(A27,Ergebnis_je_Aktie_verwässert!A$3:AK$103,10,FALSE))),""),"")</f>
        <v>0.62204724409448819</v>
      </c>
      <c r="K27" s="5">
        <f>IF(VLOOKUP(A27,Dividende_je_Aktie!A$3:AM$103,11,FALSE)&lt;&gt;"",IF(VLOOKUP(A27,Ergebnis_je_Aktie_verwässert!A$3:AK$103,11,FALSE)&lt;&gt;"",IF(VLOOKUP(A27,Ergebnis_je_Aktie_verwässert!A$3:AK$103,11,FALSE)&lt;=0,2,IF(VLOOKUP(A27,Dividende_je_Aktie!A$3:AM$103,11,FALSE)/VLOOKUP(A27,Ergebnis_je_Aktie_verwässert!A$3:AK$103,11,FALSE)&gt;=2,2,VLOOKUP(A27,Dividende_je_Aktie!A$3:AM$103,11,FALSE)/VLOOKUP(A27,Ergebnis_je_Aktie_verwässert!A$3:AK$103,11,FALSE))),""),"")</f>
        <v>0.54263565891472865</v>
      </c>
      <c r="L27" s="5">
        <f>IF(VLOOKUP(A27,Dividende_je_Aktie!A$3:AM$103,12,FALSE)&lt;&gt;"",IF(VLOOKUP(A27,Ergebnis_je_Aktie_verwässert!A$3:AK$103,12,FALSE)&lt;&gt;"",IF(VLOOKUP(A27,Ergebnis_je_Aktie_verwässert!A$3:AK$103,12,FALSE)&lt;=0,2,IF(VLOOKUP(A27,Dividende_je_Aktie!A$3:AM$103,12,FALSE)/VLOOKUP(A27,Ergebnis_je_Aktie_verwässert!A$3:AK$103,12,FALSE)&gt;=2,2,VLOOKUP(A27,Dividende_je_Aktie!A$3:AM$103,12,FALSE)/VLOOKUP(A27,Ergebnis_je_Aktie_verwässert!A$3:AK$103,12,FALSE))),""),"")</f>
        <v>0.49593495934959347</v>
      </c>
      <c r="M27" s="5">
        <f>IF(VLOOKUP(A27,Dividende_je_Aktie!A$3:AM$103,13,FALSE)&lt;&gt;"",IF(VLOOKUP(A27,Ergebnis_je_Aktie_verwässert!A$3:AK$103,13,FALSE)&lt;&gt;"",IF(VLOOKUP(A27,Ergebnis_je_Aktie_verwässert!A$3:AK$103,13,FALSE)&lt;=0,2,IF(VLOOKUP(A27,Dividende_je_Aktie!A$3:AM$103,13,FALSE)/VLOOKUP(A27,Ergebnis_je_Aktie_verwässert!A$3:AK$103,13,FALSE)&gt;=2,2,VLOOKUP(A27,Dividende_je_Aktie!A$3:AM$103,13,FALSE)/VLOOKUP(A27,Ergebnis_je_Aktie_verwässert!A$3:AK$103,13,FALSE))),""),"")</f>
        <v>0.43396226415094341</v>
      </c>
      <c r="N27" s="5">
        <f>IF(VLOOKUP(A27,Dividende_je_Aktie!A$3:AM$103,14,FALSE)&lt;&gt;"",IF(VLOOKUP(A27,Ergebnis_je_Aktie_verwässert!A$3:AK$103,14,FALSE)&lt;&gt;"",IF(VLOOKUP(A27,Ergebnis_je_Aktie_verwässert!A$3:AK$103,14,FALSE)&lt;=0,2,IF(VLOOKUP(A27,Dividende_je_Aktie!A$3:AM$103,14,FALSE)/VLOOKUP(A27,Ergebnis_je_Aktie_verwässert!A$3:AK$103,14,FALSE)&gt;=2,2,VLOOKUP(A27,Dividende_je_Aktie!A$3:AM$103,14,FALSE)/VLOOKUP(A27,Ergebnis_je_Aktie_verwässert!A$3:AK$103,14,FALSE))),""),"")</f>
        <v>0.60396039603960394</v>
      </c>
      <c r="O27" s="5">
        <f>IF(VLOOKUP(A27,Dividende_je_Aktie!A$3:AM$103,15,FALSE)&lt;&gt;"",IF(VLOOKUP(A27,Ergebnis_je_Aktie_verwässert!A$3:AK$103,15,FALSE)&lt;&gt;"",IF(VLOOKUP(A27,Ergebnis_je_Aktie_verwässert!A$3:AK$103,15,FALSE)&lt;=0,2,IF(VLOOKUP(A27,Dividende_je_Aktie!A$3:AM$103,15,FALSE)/VLOOKUP(A27,Ergebnis_je_Aktie_verwässert!A$3:AK$103,15,FALSE)&gt;=2,2,VLOOKUP(A27,Dividende_je_Aktie!A$3:AM$103,15,FALSE)/VLOOKUP(A27,Ergebnis_je_Aktie_verwässert!A$3:AK$103,15,FALSE))),""),"")</f>
        <v>0.72093023255813959</v>
      </c>
      <c r="P27" s="5">
        <f>IF(VLOOKUP(A27,Dividende_je_Aktie!A$3:AM$103,16,FALSE)&lt;&gt;"",IF(VLOOKUP(A27,Ergebnis_je_Aktie_verwässert!A$3:AK$103,16,FALSE)&lt;&gt;"",IF(VLOOKUP(A27,Ergebnis_je_Aktie_verwässert!A$3:AK$103,16,FALSE)&lt;=0,2,IF(VLOOKUP(A27,Dividende_je_Aktie!A$3:AM$103,16,FALSE)/VLOOKUP(A27,Ergebnis_je_Aktie_verwässert!A$3:AK$103,16,FALSE)&gt;=2,2,VLOOKUP(A27,Dividende_je_Aktie!A$3:AM$103,16,FALSE)/VLOOKUP(A27,Ergebnis_je_Aktie_verwässert!A$3:AK$103,16,FALSE))),""),"")</f>
        <v>0.52995391705069117</v>
      </c>
      <c r="Q27" s="5">
        <f>IF(VLOOKUP(A27,Dividende_je_Aktie!A$3:AM$103,17,FALSE)&lt;&gt;"",IF(VLOOKUP(A27,Ergebnis_je_Aktie_verwässert!A$3:AK$103,17,FALSE)&lt;&gt;"",IF(VLOOKUP(A27,Ergebnis_je_Aktie_verwässert!A$3:AK$103,17,FALSE)&lt;=0,2,IF(VLOOKUP(A27,Dividende_je_Aktie!A$3:AM$103,17,FALSE)/VLOOKUP(A27,Ergebnis_je_Aktie_verwässert!A$3:AK$103,17,FALSE)&gt;=2,2,VLOOKUP(A27,Dividende_je_Aktie!A$3:AM$103,17,FALSE)/VLOOKUP(A27,Ergebnis_je_Aktie_verwässert!A$3:AK$103,17,FALSE))),""),"")</f>
        <v>0.51500000000000001</v>
      </c>
      <c r="R27" s="5">
        <f>IF(VLOOKUP(A27,Dividende_je_Aktie!A$3:AM$103,18,FALSE)&lt;&gt;"",IF(VLOOKUP(A27,Ergebnis_je_Aktie_verwässert!A$3:AK$103,18,FALSE)&lt;&gt;"",IF(VLOOKUP(A27,Ergebnis_je_Aktie_verwässert!A$3:AK$103,18,FALSE)&lt;=0,2,IF(VLOOKUP(A27,Dividende_je_Aktie!A$3:AM$103,18,FALSE)/VLOOKUP(A27,Ergebnis_je_Aktie_verwässert!A$3:AK$103,18,FALSE)&gt;=2,2,VLOOKUP(A27,Dividende_je_Aktie!A$3:AM$103,18,FALSE)/VLOOKUP(A27,Ergebnis_je_Aktie_verwässert!A$3:AK$103,18,FALSE))),""),"")</f>
        <v>0.59090909090909094</v>
      </c>
      <c r="S27" s="10">
        <f t="shared" si="0"/>
        <v>0.63981707315921177</v>
      </c>
      <c r="T27" s="4">
        <f t="shared" ca="1" si="1"/>
        <v>0</v>
      </c>
      <c r="U27" s="4">
        <f t="shared" ca="1" si="2"/>
        <v>122</v>
      </c>
      <c r="V27" s="4">
        <f t="shared" ca="1" si="3"/>
        <v>238</v>
      </c>
      <c r="W27" s="10">
        <f t="shared" ca="1" si="4"/>
        <v>1.1551862159005015</v>
      </c>
      <c r="X27" s="5">
        <f t="shared" ca="1" si="5"/>
        <v>0.80549451454391807</v>
      </c>
    </row>
    <row r="28" spans="1:24" x14ac:dyDescent="0.25">
      <c r="A28" t="s">
        <v>46</v>
      </c>
      <c r="B28" t="s">
        <v>47</v>
      </c>
      <c r="C28" s="56">
        <v>31</v>
      </c>
      <c r="D28" s="56">
        <v>12</v>
      </c>
      <c r="E28" s="56">
        <v>2015</v>
      </c>
      <c r="F28" s="5">
        <f>IF(VLOOKUP(A28,Dividende_je_Aktie!A$3:AM$103,6,FALSE)&lt;&gt;"",IF(VLOOKUP(A28,Ergebnis_je_Aktie_verwässert!A$3:AK$103,6,FALSE)&lt;&gt;"",IF(VLOOKUP(A28,Ergebnis_je_Aktie_verwässert!A$3:AK$103,6,FALSE)&lt;=0,2,IF(VLOOKUP(A28,Dividende_je_Aktie!A$3:AM$103,6,FALSE)/VLOOKUP(A28,Ergebnis_je_Aktie_verwässert!A$3:AK$103,6,FALSE)&gt;=2,2,VLOOKUP(A28,Dividende_je_Aktie!A$3:AM$103,6,FALSE)/VLOOKUP(A28,Ergebnis_je_Aktie_verwässert!A$3:AK$103,6,FALSE))),""),"")</f>
        <v>0.28214285714285714</v>
      </c>
      <c r="G28" s="5">
        <f>IF(VLOOKUP(A28,Dividende_je_Aktie!A$3:AM$103,7,FALSE)&lt;&gt;"",IF(VLOOKUP(A28,Ergebnis_je_Aktie_verwässert!A$3:AK$103,7,FALSE)&lt;&gt;"",IF(VLOOKUP(A28,Ergebnis_je_Aktie_verwässert!A$3:AK$103,7,FALSE)&lt;=0,2,IF(VLOOKUP(A28,Dividende_je_Aktie!A$3:AM$103,7,FALSE)/VLOOKUP(A28,Ergebnis_je_Aktie_verwässert!A$3:AK$103,7,FALSE)&gt;=2,2,VLOOKUP(A28,Dividende_je_Aktie!A$3:AM$103,7,FALSE)/VLOOKUP(A28,Ergebnis_je_Aktie_verwässert!A$3:AK$103,7,FALSE))),""),"")</f>
        <v>0.31764705882352939</v>
      </c>
      <c r="H28" s="5">
        <f>IF(VLOOKUP(A28,Dividende_je_Aktie!A$3:AM$103,8,FALSE)&lt;&gt;"",IF(VLOOKUP(A28,Ergebnis_je_Aktie_verwässert!A$3:AK$103,8,FALSE)&lt;&gt;"",IF(VLOOKUP(A28,Ergebnis_je_Aktie_verwässert!A$3:AK$103,8,FALSE)&lt;=0,2,IF(VLOOKUP(A28,Dividende_je_Aktie!A$3:AM$103,8,FALSE)/VLOOKUP(A28,Ergebnis_je_Aktie_verwässert!A$3:AK$103,8,FALSE)&gt;=2,2,VLOOKUP(A28,Dividende_je_Aktie!A$3:AM$103,8,FALSE)/VLOOKUP(A28,Ergebnis_je_Aktie_verwässert!A$3:AK$103,8,FALSE))),""),"")</f>
        <v>0.31448275862068964</v>
      </c>
      <c r="I28" s="5">
        <f>IF(VLOOKUP(A28,Dividende_je_Aktie!A$3:AM$103,9,FALSE)&lt;&gt;"",IF(VLOOKUP(A28,Ergebnis_je_Aktie_verwässert!A$3:AK$103,9,FALSE)&lt;&gt;"",IF(VLOOKUP(A28,Ergebnis_je_Aktie_verwässert!A$3:AK$103,9,FALSE)&lt;=0,2,IF(VLOOKUP(A28,Dividende_je_Aktie!A$3:AM$103,9,FALSE)/VLOOKUP(A28,Ergebnis_je_Aktie_verwässert!A$3:AK$103,9,FALSE)&gt;=2,2,VLOOKUP(A28,Dividende_je_Aktie!A$3:AM$103,9,FALSE)/VLOOKUP(A28,Ergebnis_je_Aktie_verwässert!A$3:AK$103,9,FALSE))),""),"")</f>
        <v>0.27261064785118666</v>
      </c>
      <c r="J28" s="5">
        <f>IF(VLOOKUP(A28,Dividende_je_Aktie!A$3:AM$103,10,FALSE)&lt;&gt;"",IF(VLOOKUP(A28,Ergebnis_je_Aktie_verwässert!A$3:AK$103,10,FALSE)&lt;&gt;"",IF(VLOOKUP(A28,Ergebnis_je_Aktie_verwässert!A$3:AK$103,10,FALSE)&lt;=0,2,IF(VLOOKUP(A28,Dividende_je_Aktie!A$3:AM$103,10,FALSE)/VLOOKUP(A28,Ergebnis_je_Aktie_verwässert!A$3:AK$103,10,FALSE)&gt;=2,2,VLOOKUP(A28,Dividende_je_Aktie!A$3:AM$103,10,FALSE)/VLOOKUP(A28,Ergebnis_je_Aktie_verwässert!A$3:AK$103,10,FALSE))),""),"")</f>
        <v>0.24765729585006696</v>
      </c>
      <c r="K28" s="5">
        <f>IF(VLOOKUP(A28,Dividende_je_Aktie!A$3:AM$103,11,FALSE)&lt;&gt;"",IF(VLOOKUP(A28,Ergebnis_je_Aktie_verwässert!A$3:AK$103,11,FALSE)&lt;&gt;"",IF(VLOOKUP(A28,Ergebnis_je_Aktie_verwässert!A$3:AK$103,11,FALSE)&lt;=0,2,IF(VLOOKUP(A28,Dividende_je_Aktie!A$3:AM$103,11,FALSE)/VLOOKUP(A28,Ergebnis_je_Aktie_verwässert!A$3:AK$103,11,FALSE)&gt;=2,2,VLOOKUP(A28,Dividende_je_Aktie!A$3:AM$103,11,FALSE)/VLOOKUP(A28,Ergebnis_je_Aktie_verwässert!A$3:AK$103,11,FALSE))),""),"")</f>
        <v>0.22964509394572025</v>
      </c>
      <c r="L28" s="5">
        <f>IF(VLOOKUP(A28,Dividende_je_Aktie!A$3:AM$103,12,FALSE)&lt;&gt;"",IF(VLOOKUP(A28,Ergebnis_je_Aktie_verwässert!A$3:AK$103,12,FALSE)&lt;&gt;"",IF(VLOOKUP(A28,Ergebnis_je_Aktie_verwässert!A$3:AK$103,12,FALSE)&lt;=0,2,IF(VLOOKUP(A28,Dividende_je_Aktie!A$3:AM$103,12,FALSE)/VLOOKUP(A28,Ergebnis_je_Aktie_verwässert!A$3:AK$103,12,FALSE)&gt;=2,2,VLOOKUP(A28,Dividende_je_Aktie!A$3:AM$103,12,FALSE)/VLOOKUP(A28,Ergebnis_je_Aktie_verwässert!A$3:AK$103,12,FALSE))),""),"")</f>
        <v>0.22205206738131697</v>
      </c>
      <c r="M28" s="5">
        <f>IF(VLOOKUP(A28,Dividende_je_Aktie!A$3:AM$103,13,FALSE)&lt;&gt;"",IF(VLOOKUP(A28,Ergebnis_je_Aktie_verwässert!A$3:AK$103,13,FALSE)&lt;&gt;"",IF(VLOOKUP(A28,Ergebnis_je_Aktie_verwässert!A$3:AK$103,13,FALSE)&lt;=0,2,IF(VLOOKUP(A28,Dividende_je_Aktie!A$3:AM$103,13,FALSE)/VLOOKUP(A28,Ergebnis_je_Aktie_verwässert!A$3:AK$103,13,FALSE)&gt;=2,2,VLOOKUP(A28,Dividende_je_Aktie!A$3:AM$103,13,FALSE)/VLOOKUP(A28,Ergebnis_je_Aktie_verwässert!A$3:AK$103,13,FALSE))),""),"")</f>
        <v>0.2170138888888889</v>
      </c>
      <c r="N28" s="5">
        <f>IF(VLOOKUP(A28,Dividende_je_Aktie!A$3:AM$103,14,FALSE)&lt;&gt;"",IF(VLOOKUP(A28,Ergebnis_je_Aktie_verwässert!A$3:AK$103,14,FALSE)&lt;&gt;"",IF(VLOOKUP(A28,Ergebnis_je_Aktie_verwässert!A$3:AK$103,14,FALSE)&lt;=0,2,IF(VLOOKUP(A28,Dividende_je_Aktie!A$3:AM$103,14,FALSE)/VLOOKUP(A28,Ergebnis_je_Aktie_verwässert!A$3:AK$103,14,FALSE)&gt;=2,2,VLOOKUP(A28,Dividende_je_Aktie!A$3:AM$103,14,FALSE)/VLOOKUP(A28,Ergebnis_je_Aktie_verwässert!A$3:AK$103,14,FALSE))),""),"")</f>
        <v>0.21478521478521478</v>
      </c>
      <c r="O28" s="5">
        <f>IF(VLOOKUP(A28,Dividende_je_Aktie!A$3:AM$103,15,FALSE)&lt;&gt;"",IF(VLOOKUP(A28,Ergebnis_je_Aktie_verwässert!A$3:AK$103,15,FALSE)&lt;&gt;"",IF(VLOOKUP(A28,Ergebnis_je_Aktie_verwässert!A$3:AK$103,15,FALSE)&lt;=0,2,IF(VLOOKUP(A28,Dividende_je_Aktie!A$3:AM$103,15,FALSE)/VLOOKUP(A28,Ergebnis_je_Aktie_verwässert!A$3:AK$103,15,FALSE)&gt;=2,2,VLOOKUP(A28,Dividende_je_Aktie!A$3:AM$103,15,FALSE)/VLOOKUP(A28,Ergebnis_je_Aktie_verwässert!A$3:AK$103,15,FALSE))),""),"")</f>
        <v>0.21276595744680851</v>
      </c>
      <c r="P28" s="5">
        <f>IF(VLOOKUP(A28,Dividende_je_Aktie!A$3:AM$103,16,FALSE)&lt;&gt;"",IF(VLOOKUP(A28,Ergebnis_je_Aktie_verwässert!A$3:AK$103,16,FALSE)&lt;&gt;"",IF(VLOOKUP(A28,Ergebnis_je_Aktie_verwässert!A$3:AK$103,16,FALSE)&lt;=0,2,IF(VLOOKUP(A28,Dividende_je_Aktie!A$3:AM$103,16,FALSE)/VLOOKUP(A28,Ergebnis_je_Aktie_verwässert!A$3:AK$103,16,FALSE)&gt;=2,2,VLOOKUP(A28,Dividende_je_Aktie!A$3:AM$103,16,FALSE)/VLOOKUP(A28,Ergebnis_je_Aktie_verwässert!A$3:AK$103,16,FALSE))),""),"")</f>
        <v>0.20891364902506965</v>
      </c>
      <c r="Q28" s="5">
        <f>IF(VLOOKUP(A28,Dividende_je_Aktie!A$3:AM$103,17,FALSE)&lt;&gt;"",IF(VLOOKUP(A28,Ergebnis_je_Aktie_verwässert!A$3:AK$103,17,FALSE)&lt;&gt;"",IF(VLOOKUP(A28,Ergebnis_je_Aktie_verwässert!A$3:AK$103,17,FALSE)&lt;=0,2,IF(VLOOKUP(A28,Dividende_je_Aktie!A$3:AM$103,17,FALSE)/VLOOKUP(A28,Ergebnis_je_Aktie_verwässert!A$3:AK$103,17,FALSE)&gt;=2,2,VLOOKUP(A28,Dividende_je_Aktie!A$3:AM$103,17,FALSE)/VLOOKUP(A28,Ergebnis_je_Aktie_verwässert!A$3:AK$103,17,FALSE))),""),"")</f>
        <v>0.18003273322422259</v>
      </c>
      <c r="R28" s="5">
        <f>IF(VLOOKUP(A28,Dividende_je_Aktie!A$3:AM$103,18,FALSE)&lt;&gt;"",IF(VLOOKUP(A28,Ergebnis_je_Aktie_verwässert!A$3:AK$103,18,FALSE)&lt;&gt;"",IF(VLOOKUP(A28,Ergebnis_je_Aktie_verwässert!A$3:AK$103,18,FALSE)&lt;=0,2,IF(VLOOKUP(A28,Dividende_je_Aktie!A$3:AM$103,18,FALSE)/VLOOKUP(A28,Ergebnis_je_Aktie_verwässert!A$3:AK$103,18,FALSE)&gt;=2,2,VLOOKUP(A28,Dividende_je_Aktie!A$3:AM$103,18,FALSE)/VLOOKUP(A28,Ergebnis_je_Aktie_verwässert!A$3:AK$103,18,FALSE))),""),"")</f>
        <v>0.1598360655737705</v>
      </c>
      <c r="S28" s="10">
        <f t="shared" si="0"/>
        <v>0.23689117604302629</v>
      </c>
      <c r="T28" s="4">
        <f t="shared" ca="1" si="1"/>
        <v>0</v>
      </c>
      <c r="U28" s="4">
        <f t="shared" ca="1" si="2"/>
        <v>122</v>
      </c>
      <c r="V28" s="4">
        <f t="shared" ca="1" si="3"/>
        <v>238</v>
      </c>
      <c r="W28" s="10">
        <f t="shared" ca="1" si="4"/>
        <v>0.31555510480054089</v>
      </c>
      <c r="X28" s="5">
        <f t="shared" ca="1" si="5"/>
        <v>0.33206778771374301</v>
      </c>
    </row>
    <row r="29" spans="1:24" x14ac:dyDescent="0.25">
      <c r="A29" t="s">
        <v>48</v>
      </c>
      <c r="B29" t="s">
        <v>49</v>
      </c>
      <c r="C29" s="56">
        <v>31</v>
      </c>
      <c r="D29" s="56">
        <v>12</v>
      </c>
      <c r="E29" s="56">
        <v>2015</v>
      </c>
      <c r="F29" s="5">
        <f>IF(VLOOKUP(A29,Dividende_je_Aktie!A$3:AM$103,6,FALSE)&lt;&gt;"",IF(VLOOKUP(A29,Ergebnis_je_Aktie_verwässert!A$3:AK$103,6,FALSE)&lt;&gt;"",IF(VLOOKUP(A29,Ergebnis_je_Aktie_verwässert!A$3:AK$103,6,FALSE)&lt;=0,2,IF(VLOOKUP(A29,Dividende_je_Aktie!A$3:AM$103,6,FALSE)/VLOOKUP(A29,Ergebnis_je_Aktie_verwässert!A$3:AK$103,6,FALSE)&gt;=2,2,VLOOKUP(A29,Dividende_je_Aktie!A$3:AM$103,6,FALSE)/VLOOKUP(A29,Ergebnis_je_Aktie_verwässert!A$3:AK$103,6,FALSE))),""),"")</f>
        <v>0.51230769230769235</v>
      </c>
      <c r="G29" s="5">
        <f>IF(VLOOKUP(A29,Dividende_je_Aktie!A$3:AM$103,7,FALSE)&lt;&gt;"",IF(VLOOKUP(A29,Ergebnis_je_Aktie_verwässert!A$3:AK$103,7,FALSE)&lt;&gt;"",IF(VLOOKUP(A29,Ergebnis_je_Aktie_verwässert!A$3:AK$103,7,FALSE)&lt;=0,2,IF(VLOOKUP(A29,Dividende_je_Aktie!A$3:AM$103,7,FALSE)/VLOOKUP(A29,Ergebnis_je_Aktie_verwässert!A$3:AK$103,7,FALSE)&gt;=2,2,VLOOKUP(A29,Dividende_je_Aktie!A$3:AM$103,7,FALSE)/VLOOKUP(A29,Ergebnis_je_Aktie_verwässert!A$3:AK$103,7,FALSE))),""),"")</f>
        <v>0.50909090909090915</v>
      </c>
      <c r="H29" s="5">
        <f>IF(VLOOKUP(A29,Dividende_je_Aktie!A$3:AM$103,8,FALSE)&lt;&gt;"",IF(VLOOKUP(A29,Ergebnis_je_Aktie_verwässert!A$3:AK$103,8,FALSE)&lt;&gt;"",IF(VLOOKUP(A29,Ergebnis_je_Aktie_verwässert!A$3:AK$103,8,FALSE)&lt;=0,2,IF(VLOOKUP(A29,Dividende_je_Aktie!A$3:AM$103,8,FALSE)/VLOOKUP(A29,Ergebnis_je_Aktie_verwässert!A$3:AK$103,8,FALSE)&gt;=2,2,VLOOKUP(A29,Dividende_je_Aktie!A$3:AM$103,8,FALSE)/VLOOKUP(A29,Ergebnis_je_Aktie_verwässert!A$3:AK$103,8,FALSE))),""),"")</f>
        <v>0.49489795918367352</v>
      </c>
      <c r="I29" s="5">
        <f>IF(VLOOKUP(A29,Dividende_je_Aktie!A$3:AM$103,9,FALSE)&lt;&gt;"",IF(VLOOKUP(A29,Ergebnis_je_Aktie_verwässert!A$3:AK$103,9,FALSE)&lt;&gt;"",IF(VLOOKUP(A29,Ergebnis_je_Aktie_verwässert!A$3:AK$103,9,FALSE)&lt;=0,2,IF(VLOOKUP(A29,Dividende_je_Aktie!A$3:AM$103,9,FALSE)/VLOOKUP(A29,Ergebnis_je_Aktie_verwässert!A$3:AK$103,9,FALSE)&gt;=2,2,VLOOKUP(A29,Dividende_je_Aktie!A$3:AM$103,9,FALSE)/VLOOKUP(A29,Ergebnis_je_Aktie_verwässert!A$3:AK$103,9,FALSE))),""),"")</f>
        <v>0.48421052631578942</v>
      </c>
      <c r="J29" s="5">
        <f>IF(VLOOKUP(A29,Dividende_je_Aktie!A$3:AM$103,10,FALSE)&lt;&gt;"",IF(VLOOKUP(A29,Ergebnis_je_Aktie_verwässert!A$3:AK$103,10,FALSE)&lt;&gt;"",IF(VLOOKUP(A29,Ergebnis_je_Aktie_verwässert!A$3:AK$103,10,FALSE)&lt;=0,2,IF(VLOOKUP(A29,Dividende_je_Aktie!A$3:AM$103,10,FALSE)/VLOOKUP(A29,Ergebnis_je_Aktie_verwässert!A$3:AK$103,10,FALSE)&gt;=2,2,VLOOKUP(A29,Dividende_je_Aktie!A$3:AM$103,10,FALSE)/VLOOKUP(A29,Ergebnis_je_Aktie_verwässert!A$3:AK$103,10,FALSE))),""),"")</f>
        <v>0.45598591549295775</v>
      </c>
      <c r="K29" s="5">
        <f>IF(VLOOKUP(A29,Dividende_je_Aktie!A$3:AM$103,11,FALSE)&lt;&gt;"",IF(VLOOKUP(A29,Ergebnis_je_Aktie_verwässert!A$3:AK$103,11,FALSE)&lt;&gt;"",IF(VLOOKUP(A29,Ergebnis_je_Aktie_verwässert!A$3:AK$103,11,FALSE)&lt;=0,2,IF(VLOOKUP(A29,Dividende_je_Aktie!A$3:AM$103,11,FALSE)/VLOOKUP(A29,Ergebnis_je_Aktie_verwässert!A$3:AK$103,11,FALSE)&gt;=2,2,VLOOKUP(A29,Dividende_je_Aktie!A$3:AM$103,11,FALSE)/VLOOKUP(A29,Ergebnis_je_Aktie_verwässert!A$3:AK$103,11,FALSE))),""),"")</f>
        <v>0.54054054054054046</v>
      </c>
      <c r="L29" s="5">
        <f>IF(VLOOKUP(A29,Dividende_je_Aktie!A$3:AM$103,12,FALSE)&lt;&gt;"",IF(VLOOKUP(A29,Ergebnis_je_Aktie_verwässert!A$3:AK$103,12,FALSE)&lt;&gt;"",IF(VLOOKUP(A29,Ergebnis_je_Aktie_verwässert!A$3:AK$103,12,FALSE)&lt;=0,2,IF(VLOOKUP(A29,Dividende_je_Aktie!A$3:AM$103,12,FALSE)/VLOOKUP(A29,Ergebnis_je_Aktie_verwässert!A$3:AK$103,12,FALSE)&gt;=2,2,VLOOKUP(A29,Dividende_je_Aktie!A$3:AM$103,12,FALSE)/VLOOKUP(A29,Ergebnis_je_Aktie_verwässert!A$3:AK$103,12,FALSE))),""),"")</f>
        <v>0.50448430493273544</v>
      </c>
      <c r="M29" s="5">
        <f>IF(VLOOKUP(A29,Dividende_je_Aktie!A$3:AM$103,13,FALSE)&lt;&gt;"",IF(VLOOKUP(A29,Ergebnis_je_Aktie_verwässert!A$3:AK$103,13,FALSE)&lt;&gt;"",IF(VLOOKUP(A29,Ergebnis_je_Aktie_verwässert!A$3:AK$103,13,FALSE)&lt;=0,2,IF(VLOOKUP(A29,Dividende_je_Aktie!A$3:AM$103,13,FALSE)/VLOOKUP(A29,Ergebnis_je_Aktie_verwässert!A$3:AK$103,13,FALSE)&gt;=2,2,VLOOKUP(A29,Dividende_je_Aktie!A$3:AM$103,13,FALSE)/VLOOKUP(A29,Ergebnis_je_Aktie_verwässert!A$3:AK$103,13,FALSE))),""),"")</f>
        <v>0.44142259414225937</v>
      </c>
      <c r="N29" s="5">
        <f>IF(VLOOKUP(A29,Dividende_je_Aktie!A$3:AM$103,14,FALSE)&lt;&gt;"",IF(VLOOKUP(A29,Ergebnis_je_Aktie_verwässert!A$3:AK$103,14,FALSE)&lt;&gt;"",IF(VLOOKUP(A29,Ergebnis_je_Aktie_verwässert!A$3:AK$103,14,FALSE)&lt;=0,2,IF(VLOOKUP(A29,Dividende_je_Aktie!A$3:AM$103,14,FALSE)/VLOOKUP(A29,Ergebnis_je_Aktie_verwässert!A$3:AK$103,14,FALSE)&gt;=2,2,VLOOKUP(A29,Dividende_je_Aktie!A$3:AM$103,14,FALSE)/VLOOKUP(A29,Ergebnis_je_Aktie_verwässert!A$3:AK$103,14,FALSE))),""),"")</f>
        <v>0.4386363636363636</v>
      </c>
      <c r="O29" s="5">
        <f>IF(VLOOKUP(A29,Dividende_je_Aktie!A$3:AM$103,15,FALSE)&lt;&gt;"",IF(VLOOKUP(A29,Ergebnis_je_Aktie_verwässert!A$3:AK$103,15,FALSE)&lt;&gt;"",IF(VLOOKUP(A29,Ergebnis_je_Aktie_verwässert!A$3:AK$103,15,FALSE)&lt;=0,2,IF(VLOOKUP(A29,Dividende_je_Aktie!A$3:AM$103,15,FALSE)/VLOOKUP(A29,Ergebnis_je_Aktie_verwässert!A$3:AK$103,15,FALSE)&gt;=2,2,VLOOKUP(A29,Dividende_je_Aktie!A$3:AM$103,15,FALSE)/VLOOKUP(A29,Ergebnis_je_Aktie_verwässert!A$3:AK$103,15,FALSE))),""),"")</f>
        <v>0.39168490153172864</v>
      </c>
      <c r="P29" s="5">
        <f>IF(VLOOKUP(A29,Dividende_je_Aktie!A$3:AM$103,16,FALSE)&lt;&gt;"",IF(VLOOKUP(A29,Ergebnis_je_Aktie_verwässert!A$3:AK$103,16,FALSE)&lt;&gt;"",IF(VLOOKUP(A29,Ergebnis_je_Aktie_verwässert!A$3:AK$103,16,FALSE)&lt;=0,2,IF(VLOOKUP(A29,Dividende_je_Aktie!A$3:AM$103,16,FALSE)/VLOOKUP(A29,Ergebnis_je_Aktie_verwässert!A$3:AK$103,16,FALSE)&gt;=2,2,VLOOKUP(A29,Dividende_je_Aktie!A$3:AM$103,16,FALSE)/VLOOKUP(A29,Ergebnis_je_Aktie_verwässert!A$3:AK$103,16,FALSE))),""),"")</f>
        <v>0.44628099173553726</v>
      </c>
      <c r="Q29" s="5">
        <f>IF(VLOOKUP(A29,Dividende_je_Aktie!A$3:AM$103,17,FALSE)&lt;&gt;"",IF(VLOOKUP(A29,Ergebnis_je_Aktie_verwässert!A$3:AK$103,17,FALSE)&lt;&gt;"",IF(VLOOKUP(A29,Ergebnis_je_Aktie_verwässert!A$3:AK$103,17,FALSE)&lt;=0,2,IF(VLOOKUP(A29,Dividende_je_Aktie!A$3:AM$103,17,FALSE)/VLOOKUP(A29,Ergebnis_je_Aktie_verwässert!A$3:AK$103,17,FALSE)&gt;=2,2,VLOOKUP(A29,Dividende_je_Aktie!A$3:AM$103,17,FALSE)/VLOOKUP(A29,Ergebnis_je_Aktie_verwässert!A$3:AK$103,17,FALSE))),""),"")</f>
        <v>0.39142091152815012</v>
      </c>
      <c r="R29" s="5">
        <f>IF(VLOOKUP(A29,Dividende_je_Aktie!A$3:AM$103,18,FALSE)&lt;&gt;"",IF(VLOOKUP(A29,Ergebnis_je_Aktie_verwässert!A$3:AK$103,18,FALSE)&lt;&gt;"",IF(VLOOKUP(A29,Ergebnis_je_Aktie_verwässert!A$3:AK$103,18,FALSE)&lt;=0,2,IF(VLOOKUP(A29,Dividende_je_Aktie!A$3:AM$103,18,FALSE)/VLOOKUP(A29,Ergebnis_je_Aktie_verwässert!A$3:AK$103,18,FALSE)&gt;=2,2,VLOOKUP(A29,Dividende_je_Aktie!A$3:AM$103,18,FALSE)/VLOOKUP(A29,Ergebnis_je_Aktie_verwässert!A$3:AK$103,18,FALSE))),""),"")</f>
        <v>0.36705202312138729</v>
      </c>
      <c r="S29" s="10">
        <f t="shared" si="0"/>
        <v>0.45984735642767116</v>
      </c>
      <c r="T29" s="4">
        <f t="shared" ca="1" si="1"/>
        <v>0</v>
      </c>
      <c r="U29" s="4">
        <f t="shared" ca="1" si="2"/>
        <v>122</v>
      </c>
      <c r="V29" s="4">
        <f t="shared" ca="1" si="3"/>
        <v>238</v>
      </c>
      <c r="W29" s="10">
        <f t="shared" ca="1" si="4"/>
        <v>0.49970779220779227</v>
      </c>
      <c r="X29" s="5">
        <f t="shared" ca="1" si="5"/>
        <v>8.6681885245089463E-2</v>
      </c>
    </row>
    <row r="30" spans="1:24" x14ac:dyDescent="0.25">
      <c r="A30" t="s">
        <v>50</v>
      </c>
      <c r="B30" t="s">
        <v>51</v>
      </c>
      <c r="C30" s="56">
        <v>31</v>
      </c>
      <c r="D30" s="56">
        <v>12</v>
      </c>
      <c r="E30" s="56">
        <v>2015</v>
      </c>
      <c r="F30" s="5">
        <f>IF(VLOOKUP(A30,Dividende_je_Aktie!A$3:AM$103,6,FALSE)&lt;&gt;"",IF(VLOOKUP(A30,Ergebnis_je_Aktie_verwässert!A$3:AK$103,6,FALSE)&lt;&gt;"",IF(VLOOKUP(A30,Ergebnis_je_Aktie_verwässert!A$3:AK$103,6,FALSE)&lt;=0,2,IF(VLOOKUP(A30,Dividende_je_Aktie!A$3:AM$103,6,FALSE)/VLOOKUP(A30,Ergebnis_je_Aktie_verwässert!A$3:AK$103,6,FALSE)&gt;=2,2,VLOOKUP(A30,Dividende_je_Aktie!A$3:AM$103,6,FALSE)/VLOOKUP(A30,Ergebnis_je_Aktie_verwässert!A$3:AK$103,6,FALSE))),""),"")</f>
        <v>0.67663043478260876</v>
      </c>
      <c r="G30" s="5">
        <f>IF(VLOOKUP(A30,Dividende_je_Aktie!A$3:AM$103,7,FALSE)&lt;&gt;"",IF(VLOOKUP(A30,Ergebnis_je_Aktie_verwässert!A$3:AK$103,7,FALSE)&lt;&gt;"",IF(VLOOKUP(A30,Ergebnis_je_Aktie_verwässert!A$3:AK$103,7,FALSE)&lt;=0,2,IF(VLOOKUP(A30,Dividende_je_Aktie!A$3:AM$103,7,FALSE)/VLOOKUP(A30,Ergebnis_je_Aktie_verwässert!A$3:AK$103,7,FALSE)&gt;=2,2,VLOOKUP(A30,Dividende_je_Aktie!A$3:AM$103,7,FALSE)/VLOOKUP(A30,Ergebnis_je_Aktie_verwässert!A$3:AK$103,7,FALSE))),""),"")</f>
        <v>0.68604651162790697</v>
      </c>
      <c r="H30" s="5">
        <f>IF(VLOOKUP(A30,Dividende_je_Aktie!A$3:AM$103,8,FALSE)&lt;&gt;"",IF(VLOOKUP(A30,Ergebnis_je_Aktie_verwässert!A$3:AK$103,8,FALSE)&lt;&gt;"",IF(VLOOKUP(A30,Ergebnis_je_Aktie_verwässert!A$3:AK$103,8,FALSE)&lt;=0,2,IF(VLOOKUP(A30,Dividende_je_Aktie!A$3:AM$103,8,FALSE)/VLOOKUP(A30,Ergebnis_je_Aktie_verwässert!A$3:AK$103,8,FALSE)&gt;=2,2,VLOOKUP(A30,Dividende_je_Aktie!A$3:AM$103,8,FALSE)/VLOOKUP(A30,Ergebnis_je_Aktie_verwässert!A$3:AK$103,8,FALSE))),""),"")</f>
        <v>0.69040247678018574</v>
      </c>
      <c r="I30" s="5">
        <f>IF(VLOOKUP(A30,Dividende_je_Aktie!A$3:AM$103,9,FALSE)&lt;&gt;"",IF(VLOOKUP(A30,Ergebnis_je_Aktie_verwässert!A$3:AK$103,9,FALSE)&lt;&gt;"",IF(VLOOKUP(A30,Ergebnis_je_Aktie_verwässert!A$3:AK$103,9,FALSE)&lt;=0,2,IF(VLOOKUP(A30,Dividende_je_Aktie!A$3:AM$103,9,FALSE)/VLOOKUP(A30,Ergebnis_je_Aktie_verwässert!A$3:AK$103,9,FALSE)&gt;=2,2,VLOOKUP(A30,Dividende_je_Aktie!A$3:AM$103,9,FALSE)/VLOOKUP(A30,Ergebnis_je_Aktie_verwässert!A$3:AK$103,9,FALSE))),""),"")</f>
        <v>0.63235294117647056</v>
      </c>
      <c r="J30" s="5">
        <f>IF(VLOOKUP(A30,Dividende_je_Aktie!A$3:AM$103,10,FALSE)&lt;&gt;"",IF(VLOOKUP(A30,Ergebnis_je_Aktie_verwässert!A$3:AK$103,10,FALSE)&lt;&gt;"",IF(VLOOKUP(A30,Ergebnis_je_Aktie_verwässert!A$3:AK$103,10,FALSE)&lt;=0,2,IF(VLOOKUP(A30,Dividende_je_Aktie!A$3:AM$103,10,FALSE)/VLOOKUP(A30,Ergebnis_je_Aktie_verwässert!A$3:AK$103,10,FALSE)&gt;=2,2,VLOOKUP(A30,Dividende_je_Aktie!A$3:AM$103,10,FALSE)/VLOOKUP(A30,Ergebnis_je_Aktie_verwässert!A$3:AK$103,10,FALSE))),""),"")</f>
        <v>0.73476702508960567</v>
      </c>
      <c r="K30" s="5">
        <f>IF(VLOOKUP(A30,Dividende_je_Aktie!A$3:AM$103,11,FALSE)&lt;&gt;"",IF(VLOOKUP(A30,Ergebnis_je_Aktie_verwässert!A$3:AK$103,11,FALSE)&lt;&gt;"",IF(VLOOKUP(A30,Ergebnis_je_Aktie_verwässert!A$3:AK$103,11,FALSE)&lt;=0,2,IF(VLOOKUP(A30,Dividende_je_Aktie!A$3:AM$103,11,FALSE)/VLOOKUP(A30,Ergebnis_je_Aktie_verwässert!A$3:AK$103,11,FALSE)&gt;=2,2,VLOOKUP(A30,Dividende_je_Aktie!A$3:AM$103,11,FALSE)/VLOOKUP(A30,Ergebnis_je_Aktie_verwässert!A$3:AK$103,11,FALSE))),""),"")</f>
        <v>0.41551246537396125</v>
      </c>
      <c r="L30" s="5">
        <f>IF(VLOOKUP(A30,Dividende_je_Aktie!A$3:AM$103,12,FALSE)&lt;&gt;"",IF(VLOOKUP(A30,Ergebnis_je_Aktie_verwässert!A$3:AK$103,12,FALSE)&lt;&gt;"",IF(VLOOKUP(A30,Ergebnis_je_Aktie_verwässert!A$3:AK$103,12,FALSE)&lt;=0,2,IF(VLOOKUP(A30,Dividende_je_Aktie!A$3:AM$103,12,FALSE)/VLOOKUP(A30,Ergebnis_je_Aktie_verwässert!A$3:AK$103,12,FALSE)&gt;=2,2,VLOOKUP(A30,Dividende_je_Aktie!A$3:AM$103,12,FALSE)/VLOOKUP(A30,Ergebnis_je_Aktie_verwässert!A$3:AK$103,12,FALSE))),""),"")</f>
        <v>0.29219143576826195</v>
      </c>
      <c r="M30" s="5">
        <f>IF(VLOOKUP(A30,Dividende_je_Aktie!A$3:AM$103,13,FALSE)&lt;&gt;"",IF(VLOOKUP(A30,Ergebnis_je_Aktie_verwässert!A$3:AK$103,13,FALSE)&lt;&gt;"",IF(VLOOKUP(A30,Ergebnis_je_Aktie_verwässert!A$3:AK$103,13,FALSE)&lt;=0,2,IF(VLOOKUP(A30,Dividende_je_Aktie!A$3:AM$103,13,FALSE)/VLOOKUP(A30,Ergebnis_je_Aktie_verwässert!A$3:AK$103,13,FALSE)&gt;=2,2,VLOOKUP(A30,Dividende_je_Aktie!A$3:AM$103,13,FALSE)/VLOOKUP(A30,Ergebnis_je_Aktie_verwässert!A$3:AK$103,13,FALSE))),""),"")</f>
        <v>0.32402234636871508</v>
      </c>
      <c r="N30" s="5">
        <f>IF(VLOOKUP(A30,Dividende_je_Aktie!A$3:AM$103,14,FALSE)&lt;&gt;"",IF(VLOOKUP(A30,Ergebnis_je_Aktie_verwässert!A$3:AK$103,14,FALSE)&lt;&gt;"",IF(VLOOKUP(A30,Ergebnis_je_Aktie_verwässert!A$3:AK$103,14,FALSE)&lt;=0,2,IF(VLOOKUP(A30,Dividende_je_Aktie!A$3:AM$103,14,FALSE)/VLOOKUP(A30,Ergebnis_je_Aktie_verwässert!A$3:AK$103,14,FALSE)&gt;=2,2,VLOOKUP(A30,Dividende_je_Aktie!A$3:AM$103,14,FALSE)/VLOOKUP(A30,Ergebnis_je_Aktie_verwässert!A$3:AK$103,14,FALSE))),""),"")</f>
        <v>0.30687830687830686</v>
      </c>
      <c r="O30" s="5">
        <f>IF(VLOOKUP(A30,Dividende_je_Aktie!A$3:AM$103,15,FALSE)&lt;&gt;"",IF(VLOOKUP(A30,Ergebnis_je_Aktie_verwässert!A$3:AK$103,15,FALSE)&lt;&gt;"",IF(VLOOKUP(A30,Ergebnis_je_Aktie_verwässert!A$3:AK$103,15,FALSE)&lt;=0,2,IF(VLOOKUP(A30,Dividende_je_Aktie!A$3:AM$103,15,FALSE)/VLOOKUP(A30,Ergebnis_je_Aktie_verwässert!A$3:AK$103,15,FALSE)&gt;=2,2,VLOOKUP(A30,Dividende_je_Aktie!A$3:AM$103,15,FALSE)/VLOOKUP(A30,Ergebnis_je_Aktie_verwässert!A$3:AK$103,15,FALSE))),""),"")</f>
        <v>0.45344129554655888</v>
      </c>
      <c r="P30" s="5" t="str">
        <f>IF(VLOOKUP(A30,Dividende_je_Aktie!A$3:AM$103,16,FALSE)&lt;&gt;"",IF(VLOOKUP(A30,Ergebnis_je_Aktie_verwässert!A$3:AK$103,16,FALSE)&lt;&gt;"",IF(VLOOKUP(A30,Ergebnis_je_Aktie_verwässert!A$3:AK$103,16,FALSE)&lt;=0,2,IF(VLOOKUP(A30,Dividende_je_Aktie!A$3:AM$103,16,FALSE)/VLOOKUP(A30,Ergebnis_je_Aktie_verwässert!A$3:AK$103,16,FALSE)&gt;=2,2,VLOOKUP(A30,Dividende_je_Aktie!A$3:AM$103,16,FALSE)/VLOOKUP(A30,Ergebnis_je_Aktie_verwässert!A$3:AK$103,16,FALSE))),""),"")</f>
        <v/>
      </c>
      <c r="Q30" s="5" t="str">
        <f>IF(VLOOKUP(A30,Dividende_je_Aktie!A$3:AM$103,17,FALSE)&lt;&gt;"",IF(VLOOKUP(A30,Ergebnis_je_Aktie_verwässert!A$3:AK$103,17,FALSE)&lt;&gt;"",IF(VLOOKUP(A30,Ergebnis_je_Aktie_verwässert!A$3:AK$103,17,FALSE)&lt;=0,2,IF(VLOOKUP(A30,Dividende_je_Aktie!A$3:AM$103,17,FALSE)/VLOOKUP(A30,Ergebnis_je_Aktie_verwässert!A$3:AK$103,17,FALSE)&gt;=2,2,VLOOKUP(A30,Dividende_je_Aktie!A$3:AM$103,17,FALSE)/VLOOKUP(A30,Ergebnis_je_Aktie_verwässert!A$3:AK$103,17,FALSE))),""),"")</f>
        <v/>
      </c>
      <c r="R30" s="5" t="str">
        <f>IF(VLOOKUP(A30,Dividende_je_Aktie!A$3:AM$103,18,FALSE)&lt;&gt;"",IF(VLOOKUP(A30,Ergebnis_je_Aktie_verwässert!A$3:AK$103,18,FALSE)&lt;&gt;"",IF(VLOOKUP(A30,Ergebnis_je_Aktie_verwässert!A$3:AK$103,18,FALSE)&lt;=0,2,IF(VLOOKUP(A30,Dividende_je_Aktie!A$3:AM$103,18,FALSE)/VLOOKUP(A30,Ergebnis_je_Aktie_verwässert!A$3:AK$103,18,FALSE)&gt;=2,2,VLOOKUP(A30,Dividende_je_Aktie!A$3:AM$103,18,FALSE)/VLOOKUP(A30,Ergebnis_je_Aktie_verwässert!A$3:AK$103,18,FALSE))),""),"")</f>
        <v/>
      </c>
      <c r="S30" s="10">
        <f t="shared" si="0"/>
        <v>0.52122452393925811</v>
      </c>
      <c r="T30" s="4">
        <f t="shared" ca="1" si="1"/>
        <v>0</v>
      </c>
      <c r="U30" s="4">
        <f t="shared" ca="1" si="2"/>
        <v>122</v>
      </c>
      <c r="V30" s="4">
        <f t="shared" ca="1" si="3"/>
        <v>238</v>
      </c>
      <c r="W30" s="10">
        <f t="shared" ca="1" si="4"/>
        <v>0.68892628858969129</v>
      </c>
      <c r="X30" s="5">
        <f t="shared" ca="1" si="5"/>
        <v>0.32174572942768265</v>
      </c>
    </row>
    <row r="31" spans="1:24" x14ac:dyDescent="0.25">
      <c r="A31" t="s">
        <v>52</v>
      </c>
      <c r="B31" t="s">
        <v>53</v>
      </c>
      <c r="C31" s="56">
        <v>31</v>
      </c>
      <c r="D31" s="56">
        <v>12</v>
      </c>
      <c r="E31" s="56">
        <v>2015</v>
      </c>
      <c r="F31" s="5">
        <f>IF(VLOOKUP(A31,Dividende_je_Aktie!A$3:AM$103,6,FALSE)&lt;&gt;"",IF(VLOOKUP(A31,Ergebnis_je_Aktie_verwässert!A$3:AK$103,6,FALSE)&lt;&gt;"",IF(VLOOKUP(A31,Ergebnis_je_Aktie_verwässert!A$3:AK$103,6,FALSE)&lt;=0,2,IF(VLOOKUP(A31,Dividende_je_Aktie!A$3:AM$103,6,FALSE)/VLOOKUP(A31,Ergebnis_je_Aktie_verwässert!A$3:AK$103,6,FALSE)&gt;=2,2,VLOOKUP(A31,Dividende_je_Aktie!A$3:AM$103,6,FALSE)/VLOOKUP(A31,Ergebnis_je_Aktie_verwässert!A$3:AK$103,6,FALSE))),""),"")</f>
        <v>0.69055944055944063</v>
      </c>
      <c r="G31" s="5">
        <f>IF(VLOOKUP(A31,Dividende_je_Aktie!A$3:AM$103,7,FALSE)&lt;&gt;"",IF(VLOOKUP(A31,Ergebnis_je_Aktie_verwässert!A$3:AK$103,7,FALSE)&lt;&gt;"",IF(VLOOKUP(A31,Ergebnis_je_Aktie_verwässert!A$3:AK$103,7,FALSE)&lt;=0,2,IF(VLOOKUP(A31,Dividende_je_Aktie!A$3:AM$103,7,FALSE)/VLOOKUP(A31,Ergebnis_je_Aktie_verwässert!A$3:AK$103,7,FALSE)&gt;=2,2,VLOOKUP(A31,Dividende_je_Aktie!A$3:AM$103,7,FALSE)/VLOOKUP(A31,Ergebnis_je_Aktie_verwässert!A$3:AK$103,7,FALSE))),""),"")</f>
        <v>0.71650485436893196</v>
      </c>
      <c r="H31" s="5">
        <f>IF(VLOOKUP(A31,Dividende_je_Aktie!A$3:AM$103,8,FALSE)&lt;&gt;"",IF(VLOOKUP(A31,Ergebnis_je_Aktie_verwässert!A$3:AK$103,8,FALSE)&lt;&gt;"",IF(VLOOKUP(A31,Ergebnis_je_Aktie_verwässert!A$3:AK$103,8,FALSE)&lt;=0,2,IF(VLOOKUP(A31,Dividende_je_Aktie!A$3:AM$103,8,FALSE)/VLOOKUP(A31,Ergebnis_je_Aktie_verwässert!A$3:AK$103,8,FALSE)&gt;=2,2,VLOOKUP(A31,Dividende_je_Aktie!A$3:AM$103,8,FALSE)/VLOOKUP(A31,Ergebnis_je_Aktie_verwässert!A$3:AK$103,8,FALSE))),""),"")</f>
        <v>0.71933471933471937</v>
      </c>
      <c r="I31" s="5">
        <f>IF(VLOOKUP(A31,Dividende_je_Aktie!A$3:AM$103,9,FALSE)&lt;&gt;"",IF(VLOOKUP(A31,Ergebnis_je_Aktie_verwässert!A$3:AK$103,9,FALSE)&lt;&gt;"",IF(VLOOKUP(A31,Ergebnis_je_Aktie_verwässert!A$3:AK$103,9,FALSE)&lt;=0,2,IF(VLOOKUP(A31,Dividende_je_Aktie!A$3:AM$103,9,FALSE)/VLOOKUP(A31,Ergebnis_je_Aktie_verwässert!A$3:AK$103,9,FALSE)&gt;=2,2,VLOOKUP(A31,Dividende_je_Aktie!A$3:AM$103,9,FALSE)/VLOOKUP(A31,Ergebnis_je_Aktie_verwässert!A$3:AK$103,9,FALSE))),""),"")</f>
        <v>0.68049792531120323</v>
      </c>
      <c r="J31" s="5">
        <f>IF(VLOOKUP(A31,Dividende_je_Aktie!A$3:AM$103,10,FALSE)&lt;&gt;"",IF(VLOOKUP(A31,Ergebnis_je_Aktie_verwässert!A$3:AK$103,10,FALSE)&lt;&gt;"",IF(VLOOKUP(A31,Ergebnis_je_Aktie_verwässert!A$3:AK$103,10,FALSE)&lt;=0,2,IF(VLOOKUP(A31,Dividende_je_Aktie!A$3:AM$103,10,FALSE)/VLOOKUP(A31,Ergebnis_je_Aktie_verwässert!A$3:AK$103,10,FALSE)&gt;=2,2,VLOOKUP(A31,Dividende_je_Aktie!A$3:AM$103,10,FALSE)/VLOOKUP(A31,Ergebnis_je_Aktie_verwässert!A$3:AK$103,10,FALSE))),""),"")</f>
        <v>0.56216216216216219</v>
      </c>
      <c r="K31" s="5">
        <f>IF(VLOOKUP(A31,Dividende_je_Aktie!A$3:AM$103,11,FALSE)&lt;&gt;"",IF(VLOOKUP(A31,Ergebnis_je_Aktie_verwässert!A$3:AK$103,11,FALSE)&lt;&gt;"",IF(VLOOKUP(A31,Ergebnis_je_Aktie_verwässert!A$3:AK$103,11,FALSE)&lt;=0,2,IF(VLOOKUP(A31,Dividende_je_Aktie!A$3:AM$103,11,FALSE)/VLOOKUP(A31,Ergebnis_je_Aktie_verwässert!A$3:AK$103,11,FALSE)&gt;=2,2,VLOOKUP(A31,Dividende_je_Aktie!A$3:AM$103,11,FALSE)/VLOOKUP(A31,Ergebnis_je_Aktie_verwässert!A$3:AK$103,11,FALSE))),""),"")</f>
        <v>0.53544776119402981</v>
      </c>
      <c r="L31" s="5">
        <f>IF(VLOOKUP(A31,Dividende_je_Aktie!A$3:AM$103,12,FALSE)&lt;&gt;"",IF(VLOOKUP(A31,Ergebnis_je_Aktie_verwässert!A$3:AK$103,12,FALSE)&lt;&gt;"",IF(VLOOKUP(A31,Ergebnis_je_Aktie_verwässert!A$3:AK$103,12,FALSE)&lt;=0,2,IF(VLOOKUP(A31,Dividende_je_Aktie!A$3:AM$103,12,FALSE)/VLOOKUP(A31,Ergebnis_je_Aktie_verwässert!A$3:AK$103,12,FALSE)&gt;=2,2,VLOOKUP(A31,Dividende_je_Aktie!A$3:AM$103,12,FALSE)/VLOOKUP(A31,Ergebnis_je_Aktie_verwässert!A$3:AK$103,12,FALSE))),""),"")</f>
        <v>0.48007590132827327</v>
      </c>
      <c r="M31" s="5">
        <f>IF(VLOOKUP(A31,Dividende_je_Aktie!A$3:AM$103,13,FALSE)&lt;&gt;"",IF(VLOOKUP(A31,Ergebnis_je_Aktie_verwässert!A$3:AK$103,13,FALSE)&lt;&gt;"",IF(VLOOKUP(A31,Ergebnis_je_Aktie_verwässert!A$3:AK$103,13,FALSE)&lt;=0,2,IF(VLOOKUP(A31,Dividende_je_Aktie!A$3:AM$103,13,FALSE)/VLOOKUP(A31,Ergebnis_je_Aktie_verwässert!A$3:AK$103,13,FALSE)&gt;=2,2,VLOOKUP(A31,Dividende_je_Aktie!A$3:AM$103,13,FALSE)/VLOOKUP(A31,Ergebnis_je_Aktie_verwässert!A$3:AK$103,13,FALSE))),""),"")</f>
        <v>0.49344978165938858</v>
      </c>
      <c r="N31" s="5">
        <f>IF(VLOOKUP(A31,Dividende_je_Aktie!A$3:AM$103,14,FALSE)&lt;&gt;"",IF(VLOOKUP(A31,Ergebnis_je_Aktie_verwässert!A$3:AK$103,14,FALSE)&lt;&gt;"",IF(VLOOKUP(A31,Ergebnis_je_Aktie_verwässert!A$3:AK$103,14,FALSE)&lt;=0,2,IF(VLOOKUP(A31,Dividende_je_Aktie!A$3:AM$103,14,FALSE)/VLOOKUP(A31,Ergebnis_je_Aktie_verwässert!A$3:AK$103,14,FALSE)&gt;=2,2,VLOOKUP(A31,Dividende_je_Aktie!A$3:AM$103,14,FALSE)/VLOOKUP(A31,Ergebnis_je_Aktie_verwässert!A$3:AK$103,14,FALSE))),""),"")</f>
        <v>0.49878345498783444</v>
      </c>
      <c r="O31" s="5">
        <f>IF(VLOOKUP(A31,Dividende_je_Aktie!A$3:AM$103,15,FALSE)&lt;&gt;"",IF(VLOOKUP(A31,Ergebnis_je_Aktie_verwässert!A$3:AK$103,15,FALSE)&lt;&gt;"",IF(VLOOKUP(A31,Ergebnis_je_Aktie_verwässert!A$3:AK$103,15,FALSE)&lt;=0,2,IF(VLOOKUP(A31,Dividende_je_Aktie!A$3:AM$103,15,FALSE)/VLOOKUP(A31,Ergebnis_je_Aktie_verwässert!A$3:AK$103,15,FALSE)&gt;=2,2,VLOOKUP(A31,Dividende_je_Aktie!A$3:AM$103,15,FALSE)/VLOOKUP(A31,Ergebnis_je_Aktie_verwässert!A$3:AK$103,15,FALSE))),""),"")</f>
        <v>0.43351063829787234</v>
      </c>
      <c r="P31" s="5">
        <f>IF(VLOOKUP(A31,Dividende_je_Aktie!A$3:AM$103,16,FALSE)&lt;&gt;"",IF(VLOOKUP(A31,Ergebnis_je_Aktie_verwässert!A$3:AK$103,16,FALSE)&lt;&gt;"",IF(VLOOKUP(A31,Ergebnis_je_Aktie_verwässert!A$3:AK$103,16,FALSE)&lt;=0,2,IF(VLOOKUP(A31,Dividende_je_Aktie!A$3:AM$103,16,FALSE)/VLOOKUP(A31,Ergebnis_je_Aktie_verwässert!A$3:AK$103,16,FALSE)&gt;=2,2,VLOOKUP(A31,Dividende_je_Aktie!A$3:AM$103,16,FALSE)/VLOOKUP(A31,Ergebnis_je_Aktie_verwässert!A$3:AK$103,16,FALSE))),""),"")</f>
        <v>0.45454545454545459</v>
      </c>
      <c r="Q31" s="5">
        <f>IF(VLOOKUP(A31,Dividende_je_Aktie!A$3:AM$103,17,FALSE)&lt;&gt;"",IF(VLOOKUP(A31,Ergebnis_je_Aktie_verwässert!A$3:AK$103,17,FALSE)&lt;&gt;"",IF(VLOOKUP(A31,Ergebnis_je_Aktie_verwässert!A$3:AK$103,17,FALSE)&lt;=0,2,IF(VLOOKUP(A31,Dividende_je_Aktie!A$3:AM$103,17,FALSE)/VLOOKUP(A31,Ergebnis_je_Aktie_verwässert!A$3:AK$103,17,FALSE)&gt;=2,2,VLOOKUP(A31,Dividende_je_Aktie!A$3:AM$103,17,FALSE)/VLOOKUP(A31,Ergebnis_je_Aktie_verwässert!A$3:AK$103,17,FALSE))),""),"")</f>
        <v>0.35335689045936397</v>
      </c>
      <c r="R31" s="5">
        <f>IF(VLOOKUP(A31,Dividende_je_Aktie!A$3:AM$103,18,FALSE)&lt;&gt;"",IF(VLOOKUP(A31,Ergebnis_je_Aktie_verwässert!A$3:AK$103,18,FALSE)&lt;&gt;"",IF(VLOOKUP(A31,Ergebnis_je_Aktie_verwässert!A$3:AK$103,18,FALSE)&lt;=0,2,IF(VLOOKUP(A31,Dividende_je_Aktie!A$3:AM$103,18,FALSE)/VLOOKUP(A31,Ergebnis_je_Aktie_verwässert!A$3:AK$103,18,FALSE)&gt;=2,2,VLOOKUP(A31,Dividende_je_Aktie!A$3:AM$103,18,FALSE)/VLOOKUP(A31,Ergebnis_je_Aktie_verwässert!A$3:AK$103,18,FALSE))),""),"")</f>
        <v>0.32843137254901961</v>
      </c>
      <c r="S31" s="10">
        <f t="shared" si="0"/>
        <v>0.53435848898136107</v>
      </c>
      <c r="T31" s="4">
        <f t="shared" ca="1" si="1"/>
        <v>0</v>
      </c>
      <c r="U31" s="4">
        <f t="shared" ca="1" si="2"/>
        <v>122</v>
      </c>
      <c r="V31" s="4">
        <f t="shared" ca="1" si="3"/>
        <v>238</v>
      </c>
      <c r="W31" s="10">
        <f t="shared" ca="1" si="4"/>
        <v>0.71837570954075813</v>
      </c>
      <c r="X31" s="5">
        <f t="shared" ca="1" si="5"/>
        <v>0.344370351278944</v>
      </c>
    </row>
    <row r="32" spans="1:24" x14ac:dyDescent="0.25">
      <c r="A32" t="s">
        <v>54</v>
      </c>
      <c r="B32" t="s">
        <v>55</v>
      </c>
      <c r="C32" s="56">
        <v>31</v>
      </c>
      <c r="D32" s="56">
        <v>12</v>
      </c>
      <c r="E32" s="56">
        <v>2015</v>
      </c>
      <c r="F32" s="5">
        <f>IF(VLOOKUP(A32,Dividende_je_Aktie!A$3:AM$103,6,FALSE)&lt;&gt;"",IF(VLOOKUP(A32,Ergebnis_je_Aktie_verwässert!A$3:AK$103,6,FALSE)&lt;&gt;"",IF(VLOOKUP(A32,Ergebnis_je_Aktie_verwässert!A$3:AK$103,6,FALSE)&lt;=0,2,IF(VLOOKUP(A32,Dividende_je_Aktie!A$3:AM$103,6,FALSE)/VLOOKUP(A32,Ergebnis_je_Aktie_verwässert!A$3:AK$103,6,FALSE)&gt;=2,2,VLOOKUP(A32,Dividende_je_Aktie!A$3:AM$103,6,FALSE)/VLOOKUP(A32,Ergebnis_je_Aktie_verwässert!A$3:AK$103,6,FALSE))),""),"")</f>
        <v>0.61437908496732019</v>
      </c>
      <c r="G32" s="5">
        <f>IF(VLOOKUP(A32,Dividende_je_Aktie!A$3:AM$103,7,FALSE)&lt;&gt;"",IF(VLOOKUP(A32,Ergebnis_je_Aktie_verwässert!A$3:AK$103,7,FALSE)&lt;&gt;"",IF(VLOOKUP(A32,Ergebnis_je_Aktie_verwässert!A$3:AK$103,7,FALSE)&lt;=0,2,IF(VLOOKUP(A32,Dividende_je_Aktie!A$3:AM$103,7,FALSE)/VLOOKUP(A32,Ergebnis_je_Aktie_verwässert!A$3:AK$103,7,FALSE)&gt;=2,2,VLOOKUP(A32,Dividende_je_Aktie!A$3:AM$103,7,FALSE)/VLOOKUP(A32,Ergebnis_je_Aktie_verwässert!A$3:AK$103,7,FALSE))),""),"")</f>
        <v>0.70769230769230773</v>
      </c>
      <c r="H32" s="5">
        <f>IF(VLOOKUP(A32,Dividende_je_Aktie!A$3:AM$103,8,FALSE)&lt;&gt;"",IF(VLOOKUP(A32,Ergebnis_je_Aktie_verwässert!A$3:AK$103,8,FALSE)&lt;&gt;"",IF(VLOOKUP(A32,Ergebnis_je_Aktie_verwässert!A$3:AK$103,8,FALSE)&lt;=0,2,IF(VLOOKUP(A32,Dividende_je_Aktie!A$3:AM$103,8,FALSE)/VLOOKUP(A32,Ergebnis_je_Aktie_verwässert!A$3:AK$103,8,FALSE)&gt;=2,2,VLOOKUP(A32,Dividende_je_Aktie!A$3:AM$103,8,FALSE)/VLOOKUP(A32,Ergebnis_je_Aktie_verwässert!A$3:AK$103,8,FALSE))),""),"")</f>
        <v>1.0056179775280898</v>
      </c>
      <c r="I32" s="5">
        <f>IF(VLOOKUP(A32,Dividende_je_Aktie!A$3:AM$103,9,FALSE)&lt;&gt;"",IF(VLOOKUP(A32,Ergebnis_je_Aktie_verwässert!A$3:AK$103,9,FALSE)&lt;&gt;"",IF(VLOOKUP(A32,Ergebnis_je_Aktie_verwässert!A$3:AK$103,9,FALSE)&lt;=0,2,IF(VLOOKUP(A32,Dividende_je_Aktie!A$3:AM$103,9,FALSE)/VLOOKUP(A32,Ergebnis_je_Aktie_verwässert!A$3:AK$103,9,FALSE)&gt;=2,2,VLOOKUP(A32,Dividende_je_Aktie!A$3:AM$103,9,FALSE)/VLOOKUP(A32,Ergebnis_je_Aktie_verwässert!A$3:AK$103,9,FALSE))),""),"")</f>
        <v>1.0598802395209581</v>
      </c>
      <c r="J32" s="5">
        <f>IF(VLOOKUP(A32,Dividende_je_Aktie!A$3:AM$103,10,FALSE)&lt;&gt;"",IF(VLOOKUP(A32,Ergebnis_je_Aktie_verwässert!A$3:AK$103,10,FALSE)&lt;&gt;"",IF(VLOOKUP(A32,Ergebnis_je_Aktie_verwässert!A$3:AK$103,10,FALSE)&lt;=0,2,IF(VLOOKUP(A32,Dividende_je_Aktie!A$3:AM$103,10,FALSE)/VLOOKUP(A32,Ergebnis_je_Aktie_verwässert!A$3:AK$103,10,FALSE)&gt;=2,2,VLOOKUP(A32,Dividende_je_Aktie!A$3:AM$103,10,FALSE)/VLOOKUP(A32,Ergebnis_je_Aktie_verwässert!A$3:AK$103,10,FALSE))),""),"")</f>
        <v>1.1768707482993197</v>
      </c>
      <c r="K32" s="5">
        <f>IF(VLOOKUP(A32,Dividende_je_Aktie!A$3:AM$103,11,FALSE)&lt;&gt;"",IF(VLOOKUP(A32,Ergebnis_je_Aktie_verwässert!A$3:AK$103,11,FALSE)&lt;&gt;"",IF(VLOOKUP(A32,Ergebnis_je_Aktie_verwässert!A$3:AK$103,11,FALSE)&lt;=0,2,IF(VLOOKUP(A32,Dividende_je_Aktie!A$3:AM$103,11,FALSE)/VLOOKUP(A32,Ergebnis_je_Aktie_verwässert!A$3:AK$103,11,FALSE)&gt;=2,2,VLOOKUP(A32,Dividende_je_Aktie!A$3:AM$103,11,FALSE)/VLOOKUP(A32,Ergebnis_je_Aktie_verwässert!A$3:AK$103,11,FALSE))),""),"")</f>
        <v>0.84</v>
      </c>
      <c r="L32" s="5">
        <f>IF(VLOOKUP(A32,Dividende_je_Aktie!A$3:AM$103,12,FALSE)&lt;&gt;"",IF(VLOOKUP(A32,Ergebnis_je_Aktie_verwässert!A$3:AK$103,12,FALSE)&lt;&gt;"",IF(VLOOKUP(A32,Ergebnis_je_Aktie_verwässert!A$3:AK$103,12,FALSE)&lt;=0,2,IF(VLOOKUP(A32,Dividende_je_Aktie!A$3:AM$103,12,FALSE)/VLOOKUP(A32,Ergebnis_je_Aktie_verwässert!A$3:AK$103,12,FALSE)&gt;=2,2,VLOOKUP(A32,Dividende_je_Aktie!A$3:AM$103,12,FALSE)/VLOOKUP(A32,Ergebnis_je_Aktie_verwässert!A$3:AK$103,12,FALSE))),""),"")</f>
        <v>0.75247524752475248</v>
      </c>
      <c r="M32" s="5">
        <f>IF(VLOOKUP(A32,Dividende_je_Aktie!A$3:AM$103,13,FALSE)&lt;&gt;"",IF(VLOOKUP(A32,Ergebnis_je_Aktie_verwässert!A$3:AK$103,13,FALSE)&lt;&gt;"",IF(VLOOKUP(A32,Ergebnis_je_Aktie_verwässert!A$3:AK$103,13,FALSE)&lt;=0,2,IF(VLOOKUP(A32,Dividende_je_Aktie!A$3:AM$103,13,FALSE)/VLOOKUP(A32,Ergebnis_je_Aktie_verwässert!A$3:AK$103,13,FALSE)&gt;=2,2,VLOOKUP(A32,Dividende_je_Aktie!A$3:AM$103,13,FALSE)/VLOOKUP(A32,Ergebnis_je_Aktie_verwässert!A$3:AK$103,13,FALSE))),""),"")</f>
        <v>0.44444444444444448</v>
      </c>
      <c r="N32" s="5">
        <f>IF(VLOOKUP(A32,Dividende_je_Aktie!A$3:AM$103,14,FALSE)&lt;&gt;"",IF(VLOOKUP(A32,Ergebnis_je_Aktie_verwässert!A$3:AK$103,14,FALSE)&lt;&gt;"",IF(VLOOKUP(A32,Ergebnis_je_Aktie_verwässert!A$3:AK$103,14,FALSE)&lt;=0,2,IF(VLOOKUP(A32,Dividende_je_Aktie!A$3:AM$103,14,FALSE)/VLOOKUP(A32,Ergebnis_je_Aktie_verwässert!A$3:AK$103,14,FALSE)&gt;=2,2,VLOOKUP(A32,Dividende_je_Aktie!A$3:AM$103,14,FALSE)/VLOOKUP(A32,Ergebnis_je_Aktie_verwässert!A$3:AK$103,14,FALSE))),""),"")</f>
        <v>1.1603053435114503</v>
      </c>
      <c r="O32" s="5">
        <f>IF(VLOOKUP(A32,Dividende_je_Aktie!A$3:AM$103,15,FALSE)&lt;&gt;"",IF(VLOOKUP(A32,Ergebnis_je_Aktie_verwässert!A$3:AK$103,15,FALSE)&lt;&gt;"",IF(VLOOKUP(A32,Ergebnis_je_Aktie_verwässert!A$3:AK$103,15,FALSE)&lt;=0,2,IF(VLOOKUP(A32,Dividende_je_Aktie!A$3:AM$103,15,FALSE)/VLOOKUP(A32,Ergebnis_je_Aktie_verwässert!A$3:AK$103,15,FALSE)&gt;=2,2,VLOOKUP(A32,Dividende_je_Aktie!A$3:AM$103,15,FALSE)/VLOOKUP(A32,Ergebnis_je_Aktie_verwässert!A$3:AK$103,15,FALSE))),""),"")</f>
        <v>0.53333333333333333</v>
      </c>
      <c r="P32" s="5">
        <f>IF(VLOOKUP(A32,Dividende_je_Aktie!A$3:AM$103,16,FALSE)&lt;&gt;"",IF(VLOOKUP(A32,Ergebnis_je_Aktie_verwässert!A$3:AK$103,16,FALSE)&lt;&gt;"",IF(VLOOKUP(A32,Ergebnis_je_Aktie_verwässert!A$3:AK$103,16,FALSE)&lt;=0,2,IF(VLOOKUP(A32,Dividende_je_Aktie!A$3:AM$103,16,FALSE)/VLOOKUP(A32,Ergebnis_je_Aktie_verwässert!A$3:AK$103,16,FALSE)&gt;=2,2,VLOOKUP(A32,Dividende_je_Aktie!A$3:AM$103,16,FALSE)/VLOOKUP(A32,Ergebnis_je_Aktie_verwässert!A$3:AK$103,16,FALSE))),""),"")</f>
        <v>1.0201342281879195</v>
      </c>
      <c r="Q32" s="5">
        <f>IF(VLOOKUP(A32,Dividende_je_Aktie!A$3:AM$103,17,FALSE)&lt;&gt;"",IF(VLOOKUP(A32,Ergebnis_je_Aktie_verwässert!A$3:AK$103,17,FALSE)&lt;&gt;"",IF(VLOOKUP(A32,Ergebnis_je_Aktie_verwässert!A$3:AK$103,17,FALSE)&lt;=0,2,IF(VLOOKUP(A32,Dividende_je_Aktie!A$3:AM$103,17,FALSE)/VLOOKUP(A32,Ergebnis_je_Aktie_verwässert!A$3:AK$103,17,FALSE)&gt;=2,2,VLOOKUP(A32,Dividende_je_Aktie!A$3:AM$103,17,FALSE)/VLOOKUP(A32,Ergebnis_je_Aktie_verwässert!A$3:AK$103,17,FALSE))),""),"")</f>
        <v>0.74876847290640403</v>
      </c>
      <c r="R32" s="5">
        <f>IF(VLOOKUP(A32,Dividende_je_Aktie!A$3:AM$103,18,FALSE)&lt;&gt;"",IF(VLOOKUP(A32,Ergebnis_je_Aktie_verwässert!A$3:AK$103,18,FALSE)&lt;&gt;"",IF(VLOOKUP(A32,Ergebnis_je_Aktie_verwässert!A$3:AK$103,18,FALSE)&lt;=0,2,IF(VLOOKUP(A32,Dividende_je_Aktie!A$3:AM$103,18,FALSE)/VLOOKUP(A32,Ergebnis_je_Aktie_verwässert!A$3:AK$103,18,FALSE)&gt;=2,2,VLOOKUP(A32,Dividende_je_Aktie!A$3:AM$103,18,FALSE)/VLOOKUP(A32,Ergebnis_je_Aktie_verwässert!A$3:AK$103,18,FALSE))),""),"")</f>
        <v>0.72380952380952379</v>
      </c>
      <c r="S32" s="10">
        <f t="shared" si="0"/>
        <v>0.82982391936352484</v>
      </c>
      <c r="T32" s="4">
        <f t="shared" ca="1" si="1"/>
        <v>0</v>
      </c>
      <c r="U32" s="4">
        <f t="shared" ca="1" si="2"/>
        <v>122</v>
      </c>
      <c r="V32" s="4">
        <f t="shared" ca="1" si="3"/>
        <v>238</v>
      </c>
      <c r="W32" s="10">
        <f t="shared" ca="1" si="4"/>
        <v>0.90465427830596368</v>
      </c>
      <c r="X32" s="5">
        <f t="shared" ca="1" si="5"/>
        <v>9.0176189425623887E-2</v>
      </c>
    </row>
    <row r="33" spans="1:24" x14ac:dyDescent="0.25">
      <c r="A33" t="s">
        <v>56</v>
      </c>
      <c r="B33" t="s">
        <v>57</v>
      </c>
      <c r="C33" s="56">
        <v>30</v>
      </c>
      <c r="D33" s="56">
        <v>6</v>
      </c>
      <c r="E33" s="56">
        <v>2015</v>
      </c>
      <c r="F33" s="5">
        <f>IF(VLOOKUP(A33,Dividende_je_Aktie!A$3:AM$103,6,FALSE)&lt;&gt;"",IF(VLOOKUP(A33,Ergebnis_je_Aktie_verwässert!A$3:AK$103,6,FALSE)&lt;&gt;"",IF(VLOOKUP(A33,Ergebnis_je_Aktie_verwässert!A$3:AK$103,6,FALSE)&lt;=0,2,IF(VLOOKUP(A33,Dividende_je_Aktie!A$3:AM$103,6,FALSE)/VLOOKUP(A33,Ergebnis_je_Aktie_verwässert!A$3:AK$103,6,FALSE)&gt;=2,2,VLOOKUP(A33,Dividende_je_Aktie!A$3:AM$103,6,FALSE)/VLOOKUP(A33,Ergebnis_je_Aktie_verwässert!A$3:AK$103,6,FALSE))),""),"")</f>
        <v>0.42592592592592587</v>
      </c>
      <c r="G33" s="5">
        <f>IF(VLOOKUP(A33,Dividende_je_Aktie!A$3:AM$103,7,FALSE)&lt;&gt;"",IF(VLOOKUP(A33,Ergebnis_je_Aktie_verwässert!A$3:AK$103,7,FALSE)&lt;&gt;"",IF(VLOOKUP(A33,Ergebnis_je_Aktie_verwässert!A$3:AK$103,7,FALSE)&lt;=0,2,IF(VLOOKUP(A33,Dividende_je_Aktie!A$3:AM$103,7,FALSE)/VLOOKUP(A33,Ergebnis_je_Aktie_verwässert!A$3:AK$103,7,FALSE)&gt;=2,2,VLOOKUP(A33,Dividende_je_Aktie!A$3:AM$103,7,FALSE)/VLOOKUP(A33,Ergebnis_je_Aktie_verwässert!A$3:AK$103,7,FALSE))),""),"")</f>
        <v>0.44718309859154931</v>
      </c>
      <c r="H33" s="5">
        <f>IF(VLOOKUP(A33,Dividende_je_Aktie!A$3:AM$103,8,FALSE)&lt;&gt;"",IF(VLOOKUP(A33,Ergebnis_je_Aktie_verwässert!A$3:AK$103,8,FALSE)&lt;&gt;"",IF(VLOOKUP(A33,Ergebnis_je_Aktie_verwässert!A$3:AK$103,8,FALSE)&lt;=0,2,IF(VLOOKUP(A33,Dividende_je_Aktie!A$3:AM$103,8,FALSE)/VLOOKUP(A33,Ergebnis_je_Aktie_verwässert!A$3:AK$103,8,FALSE)&gt;=2,2,VLOOKUP(A33,Dividende_je_Aktie!A$3:AM$103,8,FALSE)/VLOOKUP(A33,Ergebnis_je_Aktie_verwässert!A$3:AK$103,8,FALSE))),""),"")</f>
        <v>0.48971193415637854</v>
      </c>
      <c r="I33" s="5">
        <f>IF(VLOOKUP(A33,Dividende_je_Aktie!A$3:AM$103,9,FALSE)&lt;&gt;"",IF(VLOOKUP(A33,Ergebnis_je_Aktie_verwässert!A$3:AK$103,9,FALSE)&lt;&gt;"",IF(VLOOKUP(A33,Ergebnis_je_Aktie_verwässert!A$3:AK$103,9,FALSE)&lt;=0,2,IF(VLOOKUP(A33,Dividende_je_Aktie!A$3:AM$103,9,FALSE)/VLOOKUP(A33,Ergebnis_je_Aktie_verwässert!A$3:AK$103,9,FALSE)&gt;=2,2,VLOOKUP(A33,Dividende_je_Aktie!A$3:AM$103,9,FALSE)/VLOOKUP(A33,Ergebnis_je_Aktie_verwässert!A$3:AK$103,9,FALSE))),""),"")</f>
        <v>0.42585551330798482</v>
      </c>
      <c r="J33" s="5">
        <f>IF(VLOOKUP(A33,Dividende_je_Aktie!A$3:AM$103,10,FALSE)&lt;&gt;"",IF(VLOOKUP(A33,Ergebnis_je_Aktie_verwässert!A$3:AK$103,10,FALSE)&lt;&gt;"",IF(VLOOKUP(A33,Ergebnis_je_Aktie_verwässert!A$3:AK$103,10,FALSE)&lt;=0,2,IF(VLOOKUP(A33,Dividende_je_Aktie!A$3:AM$103,10,FALSE)/VLOOKUP(A33,Ergebnis_je_Aktie_verwässert!A$3:AK$103,10,FALSE)&gt;=2,2,VLOOKUP(A33,Dividende_je_Aktie!A$3:AM$103,10,FALSE)/VLOOKUP(A33,Ergebnis_je_Aktie_verwässert!A$3:AK$103,10,FALSE))),""),"")</f>
        <v>0.34456928838951312</v>
      </c>
      <c r="K33" s="5">
        <f>IF(VLOOKUP(A33,Dividende_je_Aktie!A$3:AM$103,11,FALSE)&lt;&gt;"",IF(VLOOKUP(A33,Ergebnis_je_Aktie_verwässert!A$3:AK$103,11,FALSE)&lt;&gt;"",IF(VLOOKUP(A33,Ergebnis_je_Aktie_verwässert!A$3:AK$103,11,FALSE)&lt;=0,2,IF(VLOOKUP(A33,Dividende_je_Aktie!A$3:AM$103,11,FALSE)/VLOOKUP(A33,Ergebnis_je_Aktie_verwässert!A$3:AK$103,11,FALSE)&gt;=2,2,VLOOKUP(A33,Dividende_je_Aktie!A$3:AM$103,11,FALSE)/VLOOKUP(A33,Ergebnis_je_Aktie_verwässert!A$3:AK$103,11,FALSE))),""),"")</f>
        <v>0.29304029304029305</v>
      </c>
      <c r="L33" s="5">
        <f>IF(VLOOKUP(A33,Dividende_je_Aktie!A$3:AM$103,12,FALSE)&lt;&gt;"",IF(VLOOKUP(A33,Ergebnis_je_Aktie_verwässert!A$3:AK$103,12,FALSE)&lt;&gt;"",IF(VLOOKUP(A33,Ergebnis_je_Aktie_verwässert!A$3:AK$103,12,FALSE)&lt;=0,2,IF(VLOOKUP(A33,Dividende_je_Aktie!A$3:AM$103,12,FALSE)/VLOOKUP(A33,Ergebnis_je_Aktie_verwässert!A$3:AK$103,12,FALSE)&gt;=2,2,VLOOKUP(A33,Dividende_je_Aktie!A$3:AM$103,12,FALSE)/VLOOKUP(A33,Ergebnis_je_Aktie_verwässert!A$3:AK$103,12,FALSE))),""),"")</f>
        <v>0.23791821561338292</v>
      </c>
      <c r="M33" s="5">
        <f>IF(VLOOKUP(A33,Dividende_je_Aktie!A$3:AM$103,13,FALSE)&lt;&gt;"",IF(VLOOKUP(A33,Ergebnis_je_Aktie_verwässert!A$3:AK$103,13,FALSE)&lt;&gt;"",IF(VLOOKUP(A33,Ergebnis_je_Aktie_verwässert!A$3:AK$103,13,FALSE)&lt;=0,2,IF(VLOOKUP(A33,Dividende_je_Aktie!A$3:AM$103,13,FALSE)/VLOOKUP(A33,Ergebnis_je_Aktie_verwässert!A$3:AK$103,13,FALSE)&gt;=2,2,VLOOKUP(A33,Dividende_je_Aktie!A$3:AM$103,13,FALSE)/VLOOKUP(A33,Ergebnis_je_Aktie_verwässert!A$3:AK$103,13,FALSE))),""),"")</f>
        <v>0.24761904761904763</v>
      </c>
      <c r="N33" s="5">
        <f>IF(VLOOKUP(A33,Dividende_je_Aktie!A$3:AM$103,14,FALSE)&lt;&gt;"",IF(VLOOKUP(A33,Ergebnis_je_Aktie_verwässert!A$3:AK$103,14,FALSE)&lt;&gt;"",IF(VLOOKUP(A33,Ergebnis_je_Aktie_verwässert!A$3:AK$103,14,FALSE)&lt;=0,2,IF(VLOOKUP(A33,Dividende_je_Aktie!A$3:AM$103,14,FALSE)/VLOOKUP(A33,Ergebnis_je_Aktie_verwässert!A$3:AK$103,14,FALSE)&gt;=2,2,VLOOKUP(A33,Dividende_je_Aktie!A$3:AM$103,14,FALSE)/VLOOKUP(A33,Ergebnis_je_Aktie_verwässert!A$3:AK$103,14,FALSE))),""),"")</f>
        <v>0.32098765432098764</v>
      </c>
      <c r="O33" s="5">
        <f>IF(VLOOKUP(A33,Dividende_je_Aktie!A$3:AM$103,15,FALSE)&lt;&gt;"",IF(VLOOKUP(A33,Ergebnis_je_Aktie_verwässert!A$3:AK$103,15,FALSE)&lt;&gt;"",IF(VLOOKUP(A33,Ergebnis_je_Aktie_verwässert!A$3:AK$103,15,FALSE)&lt;=0,2,IF(VLOOKUP(A33,Dividende_je_Aktie!A$3:AM$103,15,FALSE)/VLOOKUP(A33,Ergebnis_je_Aktie_verwässert!A$3:AK$103,15,FALSE)&gt;=2,2,VLOOKUP(A33,Dividende_je_Aktie!A$3:AM$103,15,FALSE)/VLOOKUP(A33,Ergebnis_je_Aktie_verwässert!A$3:AK$103,15,FALSE))),""),"")</f>
        <v>0.23529411764705882</v>
      </c>
      <c r="P33" s="5">
        <f>IF(VLOOKUP(A33,Dividende_je_Aktie!A$3:AM$103,16,FALSE)&lt;&gt;"",IF(VLOOKUP(A33,Ergebnis_je_Aktie_verwässert!A$3:AK$103,16,FALSE)&lt;&gt;"",IF(VLOOKUP(A33,Ergebnis_je_Aktie_verwässert!A$3:AK$103,16,FALSE)&lt;=0,2,IF(VLOOKUP(A33,Dividende_je_Aktie!A$3:AM$103,16,FALSE)/VLOOKUP(A33,Ergebnis_je_Aktie_verwässert!A$3:AK$103,16,FALSE)&gt;=2,2,VLOOKUP(A33,Dividende_je_Aktie!A$3:AM$103,16,FALSE)/VLOOKUP(A33,Ergebnis_je_Aktie_verwässert!A$3:AK$103,16,FALSE))),""),"")</f>
        <v>0.28169014084507044</v>
      </c>
      <c r="Q33" s="5">
        <f>IF(VLOOKUP(A33,Dividende_je_Aktie!A$3:AM$103,17,FALSE)&lt;&gt;"",IF(VLOOKUP(A33,Ergebnis_je_Aktie_verwässert!A$3:AK$103,17,FALSE)&lt;&gt;"",IF(VLOOKUP(A33,Ergebnis_je_Aktie_verwässert!A$3:AK$103,17,FALSE)&lt;=0,2,IF(VLOOKUP(A33,Dividende_je_Aktie!A$3:AM$103,17,FALSE)/VLOOKUP(A33,Ergebnis_je_Aktie_verwässert!A$3:AK$103,17,FALSE)&gt;=2,2,VLOOKUP(A33,Dividende_je_Aktie!A$3:AM$103,17,FALSE)/VLOOKUP(A33,Ergebnis_je_Aktie_verwässert!A$3:AK$103,17,FALSE))),""),"")</f>
        <v>0.29166666666666669</v>
      </c>
      <c r="R33" s="5">
        <f>IF(VLOOKUP(A33,Dividende_je_Aktie!A$3:AM$103,18,FALSE)&lt;&gt;"",IF(VLOOKUP(A33,Ergebnis_je_Aktie_verwässert!A$3:AK$103,18,FALSE)&lt;&gt;"",IF(VLOOKUP(A33,Ergebnis_je_Aktie_verwässert!A$3:AK$103,18,FALSE)&lt;=0,2,IF(VLOOKUP(A33,Dividende_je_Aktie!A$3:AM$103,18,FALSE)/VLOOKUP(A33,Ergebnis_je_Aktie_verwässert!A$3:AK$103,18,FALSE)&gt;=2,2,VLOOKUP(A33,Dividende_je_Aktie!A$3:AM$103,18,FALSE)/VLOOKUP(A33,Ergebnis_je_Aktie_verwässert!A$3:AK$103,18,FALSE))),""),"")</f>
        <v>0.30357142857142855</v>
      </c>
      <c r="S33" s="10">
        <f t="shared" si="0"/>
        <v>0.33423333266886829</v>
      </c>
      <c r="T33" s="4">
        <f t="shared" ca="1" si="1"/>
        <v>0</v>
      </c>
      <c r="U33" s="4">
        <f t="shared" ca="1" si="2"/>
        <v>303</v>
      </c>
      <c r="V33" s="4">
        <f t="shared" ca="1" si="3"/>
        <v>57</v>
      </c>
      <c r="W33" s="10">
        <f t="shared" ca="1" si="4"/>
        <v>0.45391683088931395</v>
      </c>
      <c r="X33" s="5">
        <f t="shared" ca="1" si="5"/>
        <v>0.35808366946757686</v>
      </c>
    </row>
    <row r="34" spans="1:24" x14ac:dyDescent="0.25">
      <c r="A34" t="s">
        <v>58</v>
      </c>
      <c r="B34" t="s">
        <v>59</v>
      </c>
      <c r="C34" s="56">
        <v>31</v>
      </c>
      <c r="D34" s="56">
        <v>12</v>
      </c>
      <c r="E34" s="56">
        <v>2015</v>
      </c>
      <c r="F34" s="5">
        <f>IF(VLOOKUP(A34,Dividende_je_Aktie!A$3:AM$103,6,FALSE)&lt;&gt;"",IF(VLOOKUP(A34,Ergebnis_je_Aktie_verwässert!A$3:AK$103,6,FALSE)&lt;&gt;"",IF(VLOOKUP(A34,Ergebnis_je_Aktie_verwässert!A$3:AK$103,6,FALSE)&lt;=0,2,IF(VLOOKUP(A34,Dividende_je_Aktie!A$3:AM$103,6,FALSE)/VLOOKUP(A34,Ergebnis_je_Aktie_verwässert!A$3:AK$103,6,FALSE)&gt;=2,2,VLOOKUP(A34,Dividende_je_Aktie!A$3:AM$103,6,FALSE)/VLOOKUP(A34,Ergebnis_je_Aktie_verwässert!A$3:AK$103,6,FALSE))),""),"")</f>
        <v>0.33962264150943394</v>
      </c>
      <c r="G34" s="5">
        <f>IF(VLOOKUP(A34,Dividende_je_Aktie!A$3:AM$103,7,FALSE)&lt;&gt;"",IF(VLOOKUP(A34,Ergebnis_je_Aktie_verwässert!A$3:AK$103,7,FALSE)&lt;&gt;"",IF(VLOOKUP(A34,Ergebnis_je_Aktie_verwässert!A$3:AK$103,7,FALSE)&lt;=0,2,IF(VLOOKUP(A34,Dividende_je_Aktie!A$3:AM$103,7,FALSE)/VLOOKUP(A34,Ergebnis_je_Aktie_verwässert!A$3:AK$103,7,FALSE)&gt;=2,2,VLOOKUP(A34,Dividende_je_Aktie!A$3:AM$103,7,FALSE)/VLOOKUP(A34,Ergebnis_je_Aktie_verwässert!A$3:AK$103,7,FALSE))),""),"")</f>
        <v>0.35483870967741937</v>
      </c>
      <c r="H34" s="5">
        <f>IF(VLOOKUP(A34,Dividende_je_Aktie!A$3:AM$103,8,FALSE)&lt;&gt;"",IF(VLOOKUP(A34,Ergebnis_je_Aktie_verwässert!A$3:AK$103,8,FALSE)&lt;&gt;"",IF(VLOOKUP(A34,Ergebnis_je_Aktie_verwässert!A$3:AK$103,8,FALSE)&lt;=0,2,IF(VLOOKUP(A34,Dividende_je_Aktie!A$3:AM$103,8,FALSE)/VLOOKUP(A34,Ergebnis_je_Aktie_verwässert!A$3:AK$103,8,FALSE)&gt;=2,2,VLOOKUP(A34,Dividende_je_Aktie!A$3:AM$103,8,FALSE)/VLOOKUP(A34,Ergebnis_je_Aktie_verwässert!A$3:AK$103,8,FALSE))),""),"")</f>
        <v>0.38364779874213834</v>
      </c>
      <c r="I34" s="5">
        <f>IF(VLOOKUP(A34,Dividende_je_Aktie!A$3:AM$103,9,FALSE)&lt;&gt;"",IF(VLOOKUP(A34,Ergebnis_je_Aktie_verwässert!A$3:AK$103,9,FALSE)&lt;&gt;"",IF(VLOOKUP(A34,Ergebnis_je_Aktie_verwässert!A$3:AK$103,9,FALSE)&lt;=0,2,IF(VLOOKUP(A34,Dividende_je_Aktie!A$3:AM$103,9,FALSE)/VLOOKUP(A34,Ergebnis_je_Aktie_verwässert!A$3:AK$103,9,FALSE)&gt;=2,2,VLOOKUP(A34,Dividende_je_Aktie!A$3:AM$103,9,FALSE)/VLOOKUP(A34,Ergebnis_je_Aktie_verwässert!A$3:AK$103,9,FALSE))),""),"")</f>
        <v>0.45312499999999994</v>
      </c>
      <c r="J34" s="5">
        <f>IF(VLOOKUP(A34,Dividende_je_Aktie!A$3:AM$103,10,FALSE)&lt;&gt;"",IF(VLOOKUP(A34,Ergebnis_je_Aktie_verwässert!A$3:AK$103,10,FALSE)&lt;&gt;"",IF(VLOOKUP(A34,Ergebnis_je_Aktie_verwässert!A$3:AK$103,10,FALSE)&lt;=0,2,IF(VLOOKUP(A34,Dividende_je_Aktie!A$3:AM$103,10,FALSE)/VLOOKUP(A34,Ergebnis_je_Aktie_verwässert!A$3:AK$103,10,FALSE)&gt;=2,2,VLOOKUP(A34,Dividende_je_Aktie!A$3:AM$103,10,FALSE)/VLOOKUP(A34,Ergebnis_je_Aktie_verwässert!A$3:AK$103,10,FALSE))),""),"")</f>
        <v>0.41860465116279072</v>
      </c>
      <c r="K34" s="5">
        <f>IF(VLOOKUP(A34,Dividende_je_Aktie!A$3:AM$103,11,FALSE)&lt;&gt;"",IF(VLOOKUP(A34,Ergebnis_je_Aktie_verwässert!A$3:AK$103,11,FALSE)&lt;&gt;"",IF(VLOOKUP(A34,Ergebnis_je_Aktie_verwässert!A$3:AK$103,11,FALSE)&lt;=0,2,IF(VLOOKUP(A34,Dividende_je_Aktie!A$3:AM$103,11,FALSE)/VLOOKUP(A34,Ergebnis_je_Aktie_verwässert!A$3:AK$103,11,FALSE)&gt;=2,2,VLOOKUP(A34,Dividende_je_Aktie!A$3:AM$103,11,FALSE)/VLOOKUP(A34,Ergebnis_je_Aktie_verwässert!A$3:AK$103,11,FALSE))),""),"")</f>
        <v>0.41551246537396125</v>
      </c>
      <c r="L34" s="5">
        <f>IF(VLOOKUP(A34,Dividende_je_Aktie!A$3:AM$103,12,FALSE)&lt;&gt;"",IF(VLOOKUP(A34,Ergebnis_je_Aktie_verwässert!A$3:AK$103,12,FALSE)&lt;&gt;"",IF(VLOOKUP(A34,Ergebnis_je_Aktie_verwässert!A$3:AK$103,12,FALSE)&lt;=0,2,IF(VLOOKUP(A34,Dividende_je_Aktie!A$3:AM$103,12,FALSE)/VLOOKUP(A34,Ergebnis_je_Aktie_verwässert!A$3:AK$103,12,FALSE)&gt;=2,2,VLOOKUP(A34,Dividende_je_Aktie!A$3:AM$103,12,FALSE)/VLOOKUP(A34,Ergebnis_je_Aktie_verwässert!A$3:AK$103,12,FALSE))),""),"")</f>
        <v>0.29219143576826201</v>
      </c>
      <c r="M34" s="5">
        <f>IF(VLOOKUP(A34,Dividende_je_Aktie!A$3:AM$103,13,FALSE)&lt;&gt;"",IF(VLOOKUP(A34,Ergebnis_je_Aktie_verwässert!A$3:AK$103,13,FALSE)&lt;&gt;"",IF(VLOOKUP(A34,Ergebnis_je_Aktie_verwässert!A$3:AK$103,13,FALSE)&lt;=0,2,IF(VLOOKUP(A34,Dividende_je_Aktie!A$3:AM$103,13,FALSE)/VLOOKUP(A34,Ergebnis_je_Aktie_verwässert!A$3:AK$103,13,FALSE)&gt;=2,2,VLOOKUP(A34,Dividende_je_Aktie!A$3:AM$103,13,FALSE)/VLOOKUP(A34,Ergebnis_je_Aktie_verwässert!A$3:AK$103,13,FALSE))),""),"")</f>
        <v>0.32402234636871502</v>
      </c>
      <c r="N34" s="5">
        <f>IF(VLOOKUP(A34,Dividende_je_Aktie!A$3:AM$103,14,FALSE)&lt;&gt;"",IF(VLOOKUP(A34,Ergebnis_je_Aktie_verwässert!A$3:AK$103,14,FALSE)&lt;&gt;"",IF(VLOOKUP(A34,Ergebnis_je_Aktie_verwässert!A$3:AK$103,14,FALSE)&lt;=0,2,IF(VLOOKUP(A34,Dividende_je_Aktie!A$3:AM$103,14,FALSE)/VLOOKUP(A34,Ergebnis_je_Aktie_verwässert!A$3:AK$103,14,FALSE)&gt;=2,2,VLOOKUP(A34,Dividende_je_Aktie!A$3:AM$103,14,FALSE)/VLOOKUP(A34,Ergebnis_je_Aktie_verwässert!A$3:AK$103,14,FALSE))),""),"")</f>
        <v>0.30687830687830686</v>
      </c>
      <c r="O34" s="5">
        <f>IF(VLOOKUP(A34,Dividende_je_Aktie!A$3:AM$103,15,FALSE)&lt;&gt;"",IF(VLOOKUP(A34,Ergebnis_je_Aktie_verwässert!A$3:AK$103,15,FALSE)&lt;&gt;"",IF(VLOOKUP(A34,Ergebnis_je_Aktie_verwässert!A$3:AK$103,15,FALSE)&lt;=0,2,IF(VLOOKUP(A34,Dividende_je_Aktie!A$3:AM$103,15,FALSE)/VLOOKUP(A34,Ergebnis_je_Aktie_verwässert!A$3:AK$103,15,FALSE)&gt;=2,2,VLOOKUP(A34,Dividende_je_Aktie!A$3:AM$103,15,FALSE)/VLOOKUP(A34,Ergebnis_je_Aktie_verwässert!A$3:AK$103,15,FALSE))),""),"")</f>
        <v>0.45344129554655882</v>
      </c>
      <c r="P34" s="5" t="str">
        <f>IF(VLOOKUP(A34,Dividende_je_Aktie!A$3:AM$103,16,FALSE)&lt;&gt;"",IF(VLOOKUP(A34,Ergebnis_je_Aktie_verwässert!A$3:AK$103,16,FALSE)&lt;&gt;"",IF(VLOOKUP(A34,Ergebnis_je_Aktie_verwässert!A$3:AK$103,16,FALSE)&lt;=0,2,IF(VLOOKUP(A34,Dividende_je_Aktie!A$3:AM$103,16,FALSE)/VLOOKUP(A34,Ergebnis_je_Aktie_verwässert!A$3:AK$103,16,FALSE)&gt;=2,2,VLOOKUP(A34,Dividende_je_Aktie!A$3:AM$103,16,FALSE)/VLOOKUP(A34,Ergebnis_je_Aktie_verwässert!A$3:AK$103,16,FALSE))),""),"")</f>
        <v/>
      </c>
      <c r="Q34" s="5" t="str">
        <f>IF(VLOOKUP(A34,Dividende_je_Aktie!A$3:AM$103,17,FALSE)&lt;&gt;"",IF(VLOOKUP(A34,Ergebnis_je_Aktie_verwässert!A$3:AK$103,17,FALSE)&lt;&gt;"",IF(VLOOKUP(A34,Ergebnis_je_Aktie_verwässert!A$3:AK$103,17,FALSE)&lt;=0,2,IF(VLOOKUP(A34,Dividende_je_Aktie!A$3:AM$103,17,FALSE)/VLOOKUP(A34,Ergebnis_je_Aktie_verwässert!A$3:AK$103,17,FALSE)&gt;=2,2,VLOOKUP(A34,Dividende_je_Aktie!A$3:AM$103,17,FALSE)/VLOOKUP(A34,Ergebnis_je_Aktie_verwässert!A$3:AK$103,17,FALSE))),""),"")</f>
        <v/>
      </c>
      <c r="R34" s="5" t="str">
        <f>IF(VLOOKUP(A34,Dividende_je_Aktie!A$3:AM$103,18,FALSE)&lt;&gt;"",IF(VLOOKUP(A34,Ergebnis_je_Aktie_verwässert!A$3:AK$103,18,FALSE)&lt;&gt;"",IF(VLOOKUP(A34,Ergebnis_je_Aktie_verwässert!A$3:AK$103,18,FALSE)&lt;=0,2,IF(VLOOKUP(A34,Dividende_je_Aktie!A$3:AM$103,18,FALSE)/VLOOKUP(A34,Ergebnis_je_Aktie_verwässert!A$3:AK$103,18,FALSE)&gt;=2,2,VLOOKUP(A34,Dividende_je_Aktie!A$3:AM$103,18,FALSE)/VLOOKUP(A34,Ergebnis_je_Aktie_verwässert!A$3:AK$103,18,FALSE))),""),"")</f>
        <v/>
      </c>
      <c r="S34" s="10">
        <f t="shared" si="0"/>
        <v>0.37418846510275861</v>
      </c>
      <c r="T34" s="4">
        <f t="shared" ca="1" si="1"/>
        <v>0</v>
      </c>
      <c r="U34" s="4">
        <f t="shared" ca="1" si="2"/>
        <v>122</v>
      </c>
      <c r="V34" s="4">
        <f t="shared" ca="1" si="3"/>
        <v>238</v>
      </c>
      <c r="W34" s="10">
        <f t="shared" ca="1" si="4"/>
        <v>0.37388471855909466</v>
      </c>
      <c r="X34" s="5">
        <f t="shared" ca="1" si="5"/>
        <v>-8.11747480191638E-4</v>
      </c>
    </row>
    <row r="35" spans="1:24" x14ac:dyDescent="0.25">
      <c r="A35" t="s">
        <v>60</v>
      </c>
      <c r="B35" t="s">
        <v>61</v>
      </c>
      <c r="C35" s="56">
        <v>31</v>
      </c>
      <c r="D35" s="56">
        <v>8</v>
      </c>
      <c r="E35" s="56">
        <v>2015</v>
      </c>
      <c r="F35" s="5">
        <f>IF(VLOOKUP(A35,Dividende_je_Aktie!A$3:AM$103,6,FALSE)&lt;&gt;"",IF(VLOOKUP(A35,Ergebnis_je_Aktie_verwässert!A$3:AK$103,6,FALSE)&lt;&gt;"",IF(VLOOKUP(A35,Ergebnis_je_Aktie_verwässert!A$3:AK$103,6,FALSE)&lt;=0,2,IF(VLOOKUP(A35,Dividende_je_Aktie!A$3:AM$103,6,FALSE)/VLOOKUP(A35,Ergebnis_je_Aktie_verwässert!A$3:AK$103,6,FALSE)&gt;=2,2,VLOOKUP(A35,Dividende_je_Aktie!A$3:AM$103,6,FALSE)/VLOOKUP(A35,Ergebnis_je_Aktie_verwässert!A$3:AK$103,6,FALSE))),""),"")</f>
        <v>0.26998689384010488</v>
      </c>
      <c r="G35" s="5">
        <f>IF(VLOOKUP(A35,Dividende_je_Aktie!A$3:AM$103,7,FALSE)&lt;&gt;"",IF(VLOOKUP(A35,Ergebnis_je_Aktie_verwässert!A$3:AK$103,7,FALSE)&lt;&gt;"",IF(VLOOKUP(A35,Ergebnis_je_Aktie_verwässert!A$3:AK$103,7,FALSE)&lt;=0,2,IF(VLOOKUP(A35,Dividende_je_Aktie!A$3:AM$103,7,FALSE)/VLOOKUP(A35,Ergebnis_je_Aktie_verwässert!A$3:AK$103,7,FALSE)&gt;=2,2,VLOOKUP(A35,Dividende_je_Aktie!A$3:AM$103,7,FALSE)/VLOOKUP(A35,Ergebnis_je_Aktie_verwässert!A$3:AK$103,7,FALSE))),""),"")</f>
        <v>0.30803571428571425</v>
      </c>
      <c r="H35" s="5">
        <f>IF(VLOOKUP(A35,Dividende_je_Aktie!A$3:AM$103,8,FALSE)&lt;&gt;"",IF(VLOOKUP(A35,Ergebnis_je_Aktie_verwässert!A$3:AK$103,8,FALSE)&lt;&gt;"",IF(VLOOKUP(A35,Ergebnis_je_Aktie_verwässert!A$3:AK$103,8,FALSE)&lt;=0,2,IF(VLOOKUP(A35,Dividende_je_Aktie!A$3:AM$103,8,FALSE)/VLOOKUP(A35,Ergebnis_je_Aktie_verwässert!A$3:AK$103,8,FALSE)&gt;=2,2,VLOOKUP(A35,Dividende_je_Aktie!A$3:AM$103,8,FALSE)/VLOOKUP(A35,Ergebnis_je_Aktie_verwässert!A$3:AK$103,8,FALSE))),""),"")</f>
        <v>0.33217993079584773</v>
      </c>
      <c r="I35" s="5">
        <f>IF(VLOOKUP(A35,Dividende_je_Aktie!A$3:AM$103,9,FALSE)&lt;&gt;"",IF(VLOOKUP(A35,Ergebnis_je_Aktie_verwässert!A$3:AK$103,9,FALSE)&lt;&gt;"",IF(VLOOKUP(A35,Ergebnis_je_Aktie_verwässert!A$3:AK$103,9,FALSE)&lt;=0,2,IF(VLOOKUP(A35,Dividende_je_Aktie!A$3:AM$103,9,FALSE)/VLOOKUP(A35,Ergebnis_je_Aktie_verwässert!A$3:AK$103,9,FALSE)&gt;=2,2,VLOOKUP(A35,Dividende_je_Aktie!A$3:AM$103,9,FALSE)/VLOOKUP(A35,Ergebnis_je_Aktie_verwässert!A$3:AK$103,9,FALSE))),""),"")</f>
        <v>0.34099616858237553</v>
      </c>
      <c r="J35" s="5">
        <f>IF(VLOOKUP(A35,Dividende_je_Aktie!A$3:AM$103,10,FALSE)&lt;&gt;"",IF(VLOOKUP(A35,Ergebnis_je_Aktie_verwässert!A$3:AK$103,10,FALSE)&lt;&gt;"",IF(VLOOKUP(A35,Ergebnis_je_Aktie_verwässert!A$3:AK$103,10,FALSE)&lt;=0,2,IF(VLOOKUP(A35,Dividende_je_Aktie!A$3:AM$103,10,FALSE)/VLOOKUP(A35,Ergebnis_je_Aktie_verwässert!A$3:AK$103,10,FALSE)&gt;=2,2,VLOOKUP(A35,Dividende_je_Aktie!A$3:AM$103,10,FALSE)/VLOOKUP(A35,Ergebnis_je_Aktie_verwässert!A$3:AK$103,10,FALSE))),""),"")</f>
        <v>0.33913043478260874</v>
      </c>
      <c r="K35" s="5">
        <f>IF(VLOOKUP(A35,Dividende_je_Aktie!A$3:AM$103,11,FALSE)&lt;&gt;"",IF(VLOOKUP(A35,Ergebnis_je_Aktie_verwässert!A$3:AK$103,11,FALSE)&lt;&gt;"",IF(VLOOKUP(A35,Ergebnis_je_Aktie_verwässert!A$3:AK$103,11,FALSE)&lt;=0,2,IF(VLOOKUP(A35,Dividende_je_Aktie!A$3:AM$103,11,FALSE)/VLOOKUP(A35,Ergebnis_je_Aktie_verwässert!A$3:AK$103,11,FALSE)&gt;=2,2,VLOOKUP(A35,Dividende_je_Aktie!A$3:AM$103,11,FALSE)/VLOOKUP(A35,Ergebnis_je_Aktie_verwässert!A$3:AK$103,11,FALSE))),""),"")</f>
        <v>0.33773087071240104</v>
      </c>
      <c r="L35" s="5">
        <f>IF(VLOOKUP(A35,Dividende_je_Aktie!A$3:AM$103,12,FALSE)&lt;&gt;"",IF(VLOOKUP(A35,Ergebnis_je_Aktie_verwässert!A$3:AK$103,12,FALSE)&lt;&gt;"",IF(VLOOKUP(A35,Ergebnis_je_Aktie_verwässert!A$3:AK$103,12,FALSE)&lt;=0,2,IF(VLOOKUP(A35,Dividende_je_Aktie!A$3:AM$103,12,FALSE)/VLOOKUP(A35,Ergebnis_je_Aktie_verwässert!A$3:AK$103,12,FALSE)&gt;=2,2,VLOOKUP(A35,Dividende_je_Aktie!A$3:AM$103,12,FALSE)/VLOOKUP(A35,Ergebnis_je_Aktie_verwässert!A$3:AK$103,12,FALSE))),""),"")</f>
        <v>0.38513513513513509</v>
      </c>
      <c r="M35" s="5">
        <f>IF(VLOOKUP(A35,Dividende_je_Aktie!A$3:AM$103,13,FALSE)&lt;&gt;"",IF(VLOOKUP(A35,Ergebnis_je_Aktie_verwässert!A$3:AK$103,13,FALSE)&lt;&gt;"",IF(VLOOKUP(A35,Ergebnis_je_Aktie_verwässert!A$3:AK$103,13,FALSE)&lt;=0,2,IF(VLOOKUP(A35,Dividende_je_Aktie!A$3:AM$103,13,FALSE)/VLOOKUP(A35,Ergebnis_je_Aktie_verwässert!A$3:AK$103,13,FALSE)&gt;=2,2,VLOOKUP(A35,Dividende_je_Aktie!A$3:AM$103,13,FALSE)/VLOOKUP(A35,Ergebnis_je_Aktie_verwässert!A$3:AK$103,13,FALSE))),""),"")</f>
        <v>0.47161572052401751</v>
      </c>
      <c r="N35" s="5">
        <f>IF(VLOOKUP(A35,Dividende_je_Aktie!A$3:AM$103,14,FALSE)&lt;&gt;"",IF(VLOOKUP(A35,Ergebnis_je_Aktie_verwässert!A$3:AK$103,14,FALSE)&lt;&gt;"",IF(VLOOKUP(A35,Ergebnis_je_Aktie_verwässert!A$3:AK$103,14,FALSE)&lt;=0,2,IF(VLOOKUP(A35,Dividende_je_Aktie!A$3:AM$103,14,FALSE)/VLOOKUP(A35,Ergebnis_je_Aktie_verwässert!A$3:AK$103,14,FALSE)&gt;=2,2,VLOOKUP(A35,Dividende_je_Aktie!A$3:AM$103,14,FALSE)/VLOOKUP(A35,Ergebnis_je_Aktie_verwässert!A$3:AK$103,14,FALSE))),""),"")</f>
        <v>0.24299065420560748</v>
      </c>
      <c r="O35" s="5">
        <f>IF(VLOOKUP(A35,Dividende_je_Aktie!A$3:AM$103,15,FALSE)&lt;&gt;"",IF(VLOOKUP(A35,Ergebnis_je_Aktie_verwässert!A$3:AK$103,15,FALSE)&lt;&gt;"",IF(VLOOKUP(A35,Ergebnis_je_Aktie_verwässert!A$3:AK$103,15,FALSE)&lt;=0,2,IF(VLOOKUP(A35,Dividende_je_Aktie!A$3:AM$103,15,FALSE)/VLOOKUP(A35,Ergebnis_je_Aktie_verwässert!A$3:AK$103,15,FALSE)&gt;=2,2,VLOOKUP(A35,Dividende_je_Aktie!A$3:AM$103,15,FALSE)/VLOOKUP(A35,Ergebnis_je_Aktie_verwässert!A$3:AK$103,15,FALSE))),""),"")</f>
        <v>0.22928176795580107</v>
      </c>
      <c r="P35" s="5">
        <f>IF(VLOOKUP(A35,Dividende_je_Aktie!A$3:AM$103,16,FALSE)&lt;&gt;"",IF(VLOOKUP(A35,Ergebnis_je_Aktie_verwässert!A$3:AK$103,16,FALSE)&lt;&gt;"",IF(VLOOKUP(A35,Ergebnis_je_Aktie_verwässert!A$3:AK$103,16,FALSE)&lt;=0,2,IF(VLOOKUP(A35,Dividende_je_Aktie!A$3:AM$103,16,FALSE)/VLOOKUP(A35,Ergebnis_je_Aktie_verwässert!A$3:AK$103,16,FALSE)&gt;=2,2,VLOOKUP(A35,Dividende_je_Aktie!A$3:AM$103,16,FALSE)/VLOOKUP(A35,Ergebnis_je_Aktie_verwässert!A$3:AK$103,16,FALSE))),""),"")</f>
        <v>0.30726256983240224</v>
      </c>
      <c r="Q35" s="5">
        <f>IF(VLOOKUP(A35,Dividende_je_Aktie!A$3:AM$103,17,FALSE)&lt;&gt;"",IF(VLOOKUP(A35,Ergebnis_je_Aktie_verwässert!A$3:AK$103,17,FALSE)&lt;&gt;"",IF(VLOOKUP(A35,Ergebnis_je_Aktie_verwässert!A$3:AK$103,17,FALSE)&lt;=0,2,IF(VLOOKUP(A35,Dividende_je_Aktie!A$3:AM$103,17,FALSE)/VLOOKUP(A35,Ergebnis_je_Aktie_verwässert!A$3:AK$103,17,FALSE)&gt;=2,2,VLOOKUP(A35,Dividende_je_Aktie!A$3:AM$103,17,FALSE)/VLOOKUP(A35,Ergebnis_je_Aktie_verwässert!A$3:AK$103,17,FALSE))),""),"")</f>
        <v>0.32</v>
      </c>
      <c r="R35" s="5">
        <f>IF(VLOOKUP(A35,Dividende_je_Aktie!A$3:AM$103,18,FALSE)&lt;&gt;"",IF(VLOOKUP(A35,Ergebnis_je_Aktie_verwässert!A$3:AK$103,18,FALSE)&lt;&gt;"",IF(VLOOKUP(A35,Ergebnis_je_Aktie_verwässert!A$3:AK$103,18,FALSE)&lt;=0,2,IF(VLOOKUP(A35,Dividende_je_Aktie!A$3:AM$103,18,FALSE)/VLOOKUP(A35,Ergebnis_je_Aktie_verwässert!A$3:AK$103,18,FALSE)&gt;=2,2,VLOOKUP(A35,Dividende_je_Aktie!A$3:AM$103,18,FALSE)/VLOOKUP(A35,Ergebnis_je_Aktie_verwässert!A$3:AK$103,18,FALSE))),""),"")</f>
        <v>0.72340425531914898</v>
      </c>
      <c r="S35" s="10">
        <f t="shared" si="0"/>
        <v>0.3544423166131665</v>
      </c>
      <c r="T35" s="4">
        <f t="shared" ca="1" si="1"/>
        <v>0</v>
      </c>
      <c r="U35" s="4">
        <f t="shared" ca="1" si="2"/>
        <v>242</v>
      </c>
      <c r="V35" s="4">
        <f t="shared" ca="1" si="3"/>
        <v>118</v>
      </c>
      <c r="W35" s="10">
        <f t="shared" ca="1" si="4"/>
        <v>0.31594965191959135</v>
      </c>
      <c r="X35" s="5">
        <f t="shared" ca="1" si="5"/>
        <v>-0.10860064639399569</v>
      </c>
    </row>
    <row r="36" spans="1:24" x14ac:dyDescent="0.25">
      <c r="A36" t="s">
        <v>62</v>
      </c>
      <c r="B36" t="s">
        <v>63</v>
      </c>
      <c r="C36" s="56">
        <v>31</v>
      </c>
      <c r="D36" s="56">
        <v>5</v>
      </c>
      <c r="E36" s="56">
        <v>2015</v>
      </c>
      <c r="F36" s="5">
        <f>IF(VLOOKUP(A36,Dividende_je_Aktie!A$3:AM$103,6,FALSE)&lt;&gt;"",IF(VLOOKUP(A36,Ergebnis_je_Aktie_verwässert!A$3:AK$103,6,FALSE)&lt;&gt;"",IF(VLOOKUP(A36,Ergebnis_je_Aktie_verwässert!A$3:AK$103,6,FALSE)&lt;=0,2,IF(VLOOKUP(A36,Dividende_je_Aktie!A$3:AM$103,6,FALSE)/VLOOKUP(A36,Ergebnis_je_Aktie_verwässert!A$3:AK$103,6,FALSE)&gt;=2,2,VLOOKUP(A36,Dividende_je_Aktie!A$3:AM$103,6,FALSE)/VLOOKUP(A36,Ergebnis_je_Aktie_verwässert!A$3:AK$103,6,FALSE))),""),"")</f>
        <v>0.20664206642066424</v>
      </c>
      <c r="G36" s="5">
        <f>IF(VLOOKUP(A36,Dividende_je_Aktie!A$3:AM$103,7,FALSE)&lt;&gt;"",IF(VLOOKUP(A36,Ergebnis_je_Aktie_verwässert!A$3:AK$103,7,FALSE)&lt;&gt;"",IF(VLOOKUP(A36,Ergebnis_je_Aktie_verwässert!A$3:AK$103,7,FALSE)&lt;=0,2,IF(VLOOKUP(A36,Dividende_je_Aktie!A$3:AM$103,7,FALSE)/VLOOKUP(A36,Ergebnis_je_Aktie_verwässert!A$3:AK$103,7,FALSE)&gt;=2,2,VLOOKUP(A36,Dividende_je_Aktie!A$3:AM$103,7,FALSE)/VLOOKUP(A36,Ergebnis_je_Aktie_verwässert!A$3:AK$103,7,FALSE))),""),"")</f>
        <v>0.21825396825396828</v>
      </c>
      <c r="H36" s="5">
        <f>IF(VLOOKUP(A36,Dividende_je_Aktie!A$3:AM$103,8,FALSE)&lt;&gt;"",IF(VLOOKUP(A36,Ergebnis_je_Aktie_verwässert!A$3:AK$103,8,FALSE)&lt;&gt;"",IF(VLOOKUP(A36,Ergebnis_je_Aktie_verwässert!A$3:AK$103,8,FALSE)&lt;=0,2,IF(VLOOKUP(A36,Dividende_je_Aktie!A$3:AM$103,8,FALSE)/VLOOKUP(A36,Ergebnis_je_Aktie_verwässert!A$3:AK$103,8,FALSE)&gt;=2,2,VLOOKUP(A36,Dividende_je_Aktie!A$3:AM$103,8,FALSE)/VLOOKUP(A36,Ergebnis_je_Aktie_verwässert!A$3:AK$103,8,FALSE))),""),"")</f>
        <v>0.21551724137931036</v>
      </c>
      <c r="I36" s="5">
        <f>IF(VLOOKUP(A36,Dividende_je_Aktie!A$3:AM$103,9,FALSE)&lt;&gt;"",IF(VLOOKUP(A36,Ergebnis_je_Aktie_verwässert!A$3:AK$103,9,FALSE)&lt;&gt;"",IF(VLOOKUP(A36,Ergebnis_je_Aktie_verwässert!A$3:AK$103,9,FALSE)&lt;=0,2,IF(VLOOKUP(A36,Dividende_je_Aktie!A$3:AM$103,9,FALSE)/VLOOKUP(A36,Ergebnis_je_Aktie_verwässert!A$3:AK$103,9,FALSE)&gt;=2,2,VLOOKUP(A36,Dividende_je_Aktie!A$3:AM$103,9,FALSE)/VLOOKUP(A36,Ergebnis_je_Aktie_verwässert!A$3:AK$103,9,FALSE))),""),"")</f>
        <v>0.20168067226890757</v>
      </c>
      <c r="J36" s="5">
        <f>IF(VLOOKUP(A36,Dividende_je_Aktie!A$3:AM$103,10,FALSE)&lt;&gt;"",IF(VLOOKUP(A36,Ergebnis_je_Aktie_verwässert!A$3:AK$103,10,FALSE)&lt;&gt;"",IF(VLOOKUP(A36,Ergebnis_je_Aktie_verwässert!A$3:AK$103,10,FALSE)&lt;=0,2,IF(VLOOKUP(A36,Dividende_je_Aktie!A$3:AM$103,10,FALSE)/VLOOKUP(A36,Ergebnis_je_Aktie_verwässert!A$3:AK$103,10,FALSE)&gt;=2,2,VLOOKUP(A36,Dividende_je_Aktie!A$3:AM$103,10,FALSE)/VLOOKUP(A36,Ergebnis_je_Aktie_verwässert!A$3:AK$103,10,FALSE))),""),"")</f>
        <v>0.13274336283185842</v>
      </c>
      <c r="K36" s="5">
        <f>IF(VLOOKUP(A36,Dividende_je_Aktie!A$3:AM$103,11,FALSE)&lt;&gt;"",IF(VLOOKUP(A36,Ergebnis_je_Aktie_verwässert!A$3:AK$103,11,FALSE)&lt;&gt;"",IF(VLOOKUP(A36,Ergebnis_je_Aktie_verwässert!A$3:AK$103,11,FALSE)&lt;=0,2,IF(VLOOKUP(A36,Dividende_je_Aktie!A$3:AM$103,11,FALSE)/VLOOKUP(A36,Ergebnis_je_Aktie_verwässert!A$3:AK$103,11,FALSE)&gt;=2,2,VLOOKUP(A36,Dividende_je_Aktie!A$3:AM$103,11,FALSE)/VLOOKUP(A36,Ergebnis_je_Aktie_verwässert!A$3:AK$103,11,FALSE))),""),"")</f>
        <v>0.12244897959183673</v>
      </c>
      <c r="L36" s="5">
        <f>IF(VLOOKUP(A36,Dividende_je_Aktie!A$3:AM$103,12,FALSE)&lt;&gt;"",IF(VLOOKUP(A36,Ergebnis_je_Aktie_verwässert!A$3:AK$103,12,FALSE)&lt;&gt;"",IF(VLOOKUP(A36,Ergebnis_je_Aktie_verwässert!A$3:AK$103,12,FALSE)&lt;=0,2,IF(VLOOKUP(A36,Dividende_je_Aktie!A$3:AM$103,12,FALSE)/VLOOKUP(A36,Ergebnis_je_Aktie_verwässert!A$3:AK$103,12,FALSE)&gt;=2,2,VLOOKUP(A36,Dividende_je_Aktie!A$3:AM$103,12,FALSE)/VLOOKUP(A36,Ergebnis_je_Aktie_verwässert!A$3:AK$103,12,FALSE))),""),"")</f>
        <v>0.12574850299401197</v>
      </c>
      <c r="M36" s="5">
        <f>IF(VLOOKUP(A36,Dividende_je_Aktie!A$3:AM$103,13,FALSE)&lt;&gt;"",IF(VLOOKUP(A36,Ergebnis_je_Aktie_verwässert!A$3:AK$103,13,FALSE)&lt;&gt;"",IF(VLOOKUP(A36,Ergebnis_je_Aktie_verwässert!A$3:AK$103,13,FALSE)&lt;=0,2,IF(VLOOKUP(A36,Dividende_je_Aktie!A$3:AM$103,13,FALSE)/VLOOKUP(A36,Ergebnis_je_Aktie_verwässert!A$3:AK$103,13,FALSE)&gt;=2,2,VLOOKUP(A36,Dividende_je_Aktie!A$3:AM$103,13,FALSE)/VLOOKUP(A36,Ergebnis_je_Aktie_verwässert!A$3:AK$103,13,FALSE))),""),"")</f>
        <v>0.16528925619834711</v>
      </c>
      <c r="N36" s="5">
        <f>IF(VLOOKUP(A36,Dividende_je_Aktie!A$3:AM$103,14,FALSE)&lt;&gt;"",IF(VLOOKUP(A36,Ergebnis_je_Aktie_verwässert!A$3:AK$103,14,FALSE)&lt;&gt;"",IF(VLOOKUP(A36,Ergebnis_je_Aktie_verwässert!A$3:AK$103,14,FALSE)&lt;=0,2,IF(VLOOKUP(A36,Dividende_je_Aktie!A$3:AM$103,14,FALSE)/VLOOKUP(A36,Ergebnis_je_Aktie_verwässert!A$3:AK$103,14,FALSE)&gt;=2,2,VLOOKUP(A36,Dividende_je_Aktie!A$3:AM$103,14,FALSE)/VLOOKUP(A36,Ergebnis_je_Aktie_verwässert!A$3:AK$103,14,FALSE))),""),"")</f>
        <v>4.5871559633027525E-2</v>
      </c>
      <c r="O36" s="5">
        <f>IF(VLOOKUP(A36,Dividende_je_Aktie!A$3:AM$103,15,FALSE)&lt;&gt;"",IF(VLOOKUP(A36,Ergebnis_je_Aktie_verwässert!A$3:AK$103,15,FALSE)&lt;&gt;"",IF(VLOOKUP(A36,Ergebnis_je_Aktie_verwässert!A$3:AK$103,15,FALSE)&lt;=0,2,IF(VLOOKUP(A36,Dividende_je_Aktie!A$3:AM$103,15,FALSE)/VLOOKUP(A36,Ergebnis_je_Aktie_verwässert!A$3:AK$103,15,FALSE)&gt;=2,2,VLOOKUP(A36,Dividende_je_Aktie!A$3:AM$103,15,FALSE)/VLOOKUP(A36,Ergebnis_je_Aktie_verwässert!A$3:AK$103,15,FALSE))),""),"")</f>
        <v>0</v>
      </c>
      <c r="P36" s="5">
        <f>IF(VLOOKUP(A36,Dividende_je_Aktie!A$3:AM$103,16,FALSE)&lt;&gt;"",IF(VLOOKUP(A36,Ergebnis_je_Aktie_verwässert!A$3:AK$103,16,FALSE)&lt;&gt;"",IF(VLOOKUP(A36,Ergebnis_je_Aktie_verwässert!A$3:AK$103,16,FALSE)&lt;=0,2,IF(VLOOKUP(A36,Dividende_je_Aktie!A$3:AM$103,16,FALSE)/VLOOKUP(A36,Ergebnis_je_Aktie_verwässert!A$3:AK$103,16,FALSE)&gt;=2,2,VLOOKUP(A36,Dividende_je_Aktie!A$3:AM$103,16,FALSE)/VLOOKUP(A36,Ergebnis_je_Aktie_verwässert!A$3:AK$103,16,FALSE))),""),"")</f>
        <v>0</v>
      </c>
      <c r="Q36" s="5">
        <f>IF(VLOOKUP(A36,Dividende_je_Aktie!A$3:AM$103,17,FALSE)&lt;&gt;"",IF(VLOOKUP(A36,Ergebnis_je_Aktie_verwässert!A$3:AK$103,17,FALSE)&lt;&gt;"",IF(VLOOKUP(A36,Ergebnis_je_Aktie_verwässert!A$3:AK$103,17,FALSE)&lt;=0,2,IF(VLOOKUP(A36,Dividende_je_Aktie!A$3:AM$103,17,FALSE)/VLOOKUP(A36,Ergebnis_je_Aktie_verwässert!A$3:AK$103,17,FALSE)&gt;=2,2,VLOOKUP(A36,Dividende_je_Aktie!A$3:AM$103,17,FALSE)/VLOOKUP(A36,Ergebnis_je_Aktie_verwässert!A$3:AK$103,17,FALSE))),""),"")</f>
        <v>0</v>
      </c>
      <c r="R36" s="5">
        <f>IF(VLOOKUP(A36,Dividende_je_Aktie!A$3:AM$103,18,FALSE)&lt;&gt;"",IF(VLOOKUP(A36,Ergebnis_je_Aktie_verwässert!A$3:AK$103,18,FALSE)&lt;&gt;"",IF(VLOOKUP(A36,Ergebnis_je_Aktie_verwässert!A$3:AK$103,18,FALSE)&lt;=0,2,IF(VLOOKUP(A36,Dividende_je_Aktie!A$3:AM$103,18,FALSE)/VLOOKUP(A36,Ergebnis_je_Aktie_verwässert!A$3:AK$103,18,FALSE)&gt;=2,2,VLOOKUP(A36,Dividende_je_Aktie!A$3:AM$103,18,FALSE)/VLOOKUP(A36,Ergebnis_je_Aktie_verwässert!A$3:AK$103,18,FALSE))),""),"")</f>
        <v>0</v>
      </c>
      <c r="S36" s="10">
        <f t="shared" ref="S36:S102" si="6">AVERAGE(F36:R36)</f>
        <v>0.11032273919784091</v>
      </c>
      <c r="T36" s="4">
        <f t="shared" ref="T36:T102" ca="1" si="7">IF(DAYS360(TODAY(),DATE(E36+2,D36,C36))&gt;=720,0,360-U36)</f>
        <v>0</v>
      </c>
      <c r="U36" s="4">
        <f t="shared" ref="U36:U102" ca="1" si="8">IF(DAYS360(TODAY(),DATE(E36+1,D36,C36))&lt;=360,DAYS360(TODAY(),DATE(E36+1,D36,C36)),360-V36)</f>
        <v>332</v>
      </c>
      <c r="V36" s="4">
        <f t="shared" ref="V36:V103" ca="1" si="9">IF(DATE(E36,D36,C36)&lt;=TODAY(),0,DAYS360(TODAY(),DATE(E36,D36,C36)))</f>
        <v>28</v>
      </c>
      <c r="W36" s="10">
        <f t="shared" ref="W36:W102" ca="1" si="10">IF(T36&gt;0,(F36/360*T36)+(G36/360*U36)+(H36/360*V36),(G36/360*U36)+(H36/360*V36))</f>
        <v>0.21804111171927268</v>
      </c>
      <c r="X36" s="5">
        <f t="shared" ref="X36:X102" ca="1" si="11">(W36/S36)-1</f>
        <v>0.97639320148007958</v>
      </c>
    </row>
    <row r="37" spans="1:24" x14ac:dyDescent="0.25">
      <c r="A37" t="s">
        <v>64</v>
      </c>
      <c r="B37" t="s">
        <v>65</v>
      </c>
      <c r="C37" s="56">
        <v>31</v>
      </c>
      <c r="D37" s="56">
        <v>12</v>
      </c>
      <c r="E37" s="56">
        <v>2015</v>
      </c>
      <c r="F37" s="5">
        <f>IF(VLOOKUP(A37,Dividende_je_Aktie!A$3:AM$103,6,FALSE)&lt;&gt;"",IF(VLOOKUP(A37,Ergebnis_je_Aktie_verwässert!A$3:AK$103,6,FALSE)&lt;&gt;"",IF(VLOOKUP(A37,Ergebnis_je_Aktie_verwässert!A$3:AK$103,6,FALSE)&lt;=0,2,IF(VLOOKUP(A37,Dividende_je_Aktie!A$3:AM$103,6,FALSE)/VLOOKUP(A37,Ergebnis_je_Aktie_verwässert!A$3:AK$103,6,FALSE)&gt;=2,2,VLOOKUP(A37,Dividende_je_Aktie!A$3:AM$103,6,FALSE)/VLOOKUP(A37,Ergebnis_je_Aktie_verwässert!A$3:AK$103,6,FALSE))),""),"")</f>
        <v>0.61132075471698122</v>
      </c>
      <c r="G37" s="5">
        <f>IF(VLOOKUP(A37,Dividende_je_Aktie!A$3:AM$103,7,FALSE)&lt;&gt;"",IF(VLOOKUP(A37,Ergebnis_je_Aktie_verwässert!A$3:AK$103,7,FALSE)&lt;&gt;"",IF(VLOOKUP(A37,Ergebnis_je_Aktie_verwässert!A$3:AK$103,7,FALSE)&lt;=0,2,IF(VLOOKUP(A37,Dividende_je_Aktie!A$3:AM$103,7,FALSE)/VLOOKUP(A37,Ergebnis_je_Aktie_verwässert!A$3:AK$103,7,FALSE)&gt;=2,2,VLOOKUP(A37,Dividende_je_Aktie!A$3:AM$103,7,FALSE)/VLOOKUP(A37,Ergebnis_je_Aktie_verwässert!A$3:AK$103,7,FALSE))),""),"")</f>
        <v>0.60531697341513291</v>
      </c>
      <c r="H37" s="5">
        <f>IF(VLOOKUP(A37,Dividende_je_Aktie!A$3:AM$103,8,FALSE)&lt;&gt;"",IF(VLOOKUP(A37,Ergebnis_je_Aktie_verwässert!A$3:AK$103,8,FALSE)&lt;&gt;"",IF(VLOOKUP(A37,Ergebnis_je_Aktie_verwässert!A$3:AK$103,8,FALSE)&lt;=0,2,IF(VLOOKUP(A37,Dividende_je_Aktie!A$3:AM$103,8,FALSE)/VLOOKUP(A37,Ergebnis_je_Aktie_verwässert!A$3:AK$103,8,FALSE)&gt;=2,2,VLOOKUP(A37,Dividende_je_Aktie!A$3:AM$103,8,FALSE)/VLOOKUP(A37,Ergebnis_je_Aktie_verwässert!A$3:AK$103,8,FALSE))),""),"")</f>
        <v>0.6188340807174888</v>
      </c>
      <c r="I37" s="5">
        <f>IF(VLOOKUP(A37,Dividende_je_Aktie!A$3:AM$103,9,FALSE)&lt;&gt;"",IF(VLOOKUP(A37,Ergebnis_je_Aktie_verwässert!A$3:AK$103,9,FALSE)&lt;&gt;"",IF(VLOOKUP(A37,Ergebnis_je_Aktie_verwässert!A$3:AK$103,9,FALSE)&lt;=0,2,IF(VLOOKUP(A37,Dividende_je_Aktie!A$3:AM$103,9,FALSE)/VLOOKUP(A37,Ergebnis_je_Aktie_verwässert!A$3:AK$103,9,FALSE)&gt;=2,2,VLOOKUP(A37,Dividende_je_Aktie!A$3:AM$103,9,FALSE)/VLOOKUP(A37,Ergebnis_je_Aktie_verwässert!A$3:AK$103,9,FALSE))),""),"")</f>
        <v>0.59250585480093676</v>
      </c>
      <c r="J37" s="5">
        <f>IF(VLOOKUP(A37,Dividende_je_Aktie!A$3:AM$103,10,FALSE)&lt;&gt;"",IF(VLOOKUP(A37,Ergebnis_je_Aktie_verwässert!A$3:AK$103,10,FALSE)&lt;&gt;"",IF(VLOOKUP(A37,Ergebnis_je_Aktie_verwässert!A$3:AK$103,10,FALSE)&lt;=0,2,IF(VLOOKUP(A37,Dividende_je_Aktie!A$3:AM$103,10,FALSE)/VLOOKUP(A37,Ergebnis_je_Aktie_verwässert!A$3:AK$103,10,FALSE)&gt;=2,2,VLOOKUP(A37,Dividende_je_Aktie!A$3:AM$103,10,FALSE)/VLOOKUP(A37,Ergebnis_je_Aktie_verwässert!A$3:AK$103,10,FALSE))),""),"")</f>
        <v>0.51851851851851849</v>
      </c>
      <c r="K37" s="5">
        <f>IF(VLOOKUP(A37,Dividende_je_Aktie!A$3:AM$103,11,FALSE)&lt;&gt;"",IF(VLOOKUP(A37,Ergebnis_je_Aktie_verwässert!A$3:AK$103,11,FALSE)&lt;&gt;"",IF(VLOOKUP(A37,Ergebnis_je_Aktie_verwässert!A$3:AK$103,11,FALSE)&lt;=0,2,IF(VLOOKUP(A37,Dividende_je_Aktie!A$3:AM$103,11,FALSE)/VLOOKUP(A37,Ergebnis_je_Aktie_verwässert!A$3:AK$103,11,FALSE)&gt;=2,2,VLOOKUP(A37,Dividende_je_Aktie!A$3:AM$103,11,FALSE)/VLOOKUP(A37,Ergebnis_je_Aktie_verwässert!A$3:AK$103,11,FALSE))),""),"")</f>
        <v>0.54336734693877553</v>
      </c>
      <c r="L37" s="5">
        <f>IF(VLOOKUP(A37,Dividende_je_Aktie!A$3:AM$103,12,FALSE)&lt;&gt;"",IF(VLOOKUP(A37,Ergebnis_je_Aktie_verwässert!A$3:AK$103,12,FALSE)&lt;&gt;"",IF(VLOOKUP(A37,Ergebnis_je_Aktie_verwässert!A$3:AK$103,12,FALSE)&lt;=0,2,IF(VLOOKUP(A37,Dividende_je_Aktie!A$3:AM$103,12,FALSE)/VLOOKUP(A37,Ergebnis_je_Aktie_verwässert!A$3:AK$103,12,FALSE)&gt;=2,2,VLOOKUP(A37,Dividende_je_Aktie!A$3:AM$103,12,FALSE)/VLOOKUP(A37,Ergebnis_je_Aktie_verwässert!A$3:AK$103,12,FALSE))),""),"")</f>
        <v>0.50372208436724553</v>
      </c>
      <c r="M37" s="5">
        <f>IF(VLOOKUP(A37,Dividende_je_Aktie!A$3:AM$103,13,FALSE)&lt;&gt;"",IF(VLOOKUP(A37,Ergebnis_je_Aktie_verwässert!A$3:AK$103,13,FALSE)&lt;&gt;"",IF(VLOOKUP(A37,Ergebnis_je_Aktie_verwässert!A$3:AK$103,13,FALSE)&lt;=0,2,IF(VLOOKUP(A37,Dividende_je_Aktie!A$3:AM$103,13,FALSE)/VLOOKUP(A37,Ergebnis_je_Aktie_verwässert!A$3:AK$103,13,FALSE)&gt;=2,2,VLOOKUP(A37,Dividende_je_Aktie!A$3:AM$103,13,FALSE)/VLOOKUP(A37,Ergebnis_je_Aktie_verwässert!A$3:AK$103,13,FALSE))),""),"")</f>
        <v>0.48337595907928382</v>
      </c>
      <c r="N37" s="5">
        <f>IF(VLOOKUP(A37,Dividende_je_Aktie!A$3:AM$103,14,FALSE)&lt;&gt;"",IF(VLOOKUP(A37,Ergebnis_je_Aktie_verwässert!A$3:AK$103,14,FALSE)&lt;&gt;"",IF(VLOOKUP(A37,Ergebnis_je_Aktie_verwässert!A$3:AK$103,14,FALSE)&lt;=0,2,IF(VLOOKUP(A37,Dividende_je_Aktie!A$3:AM$103,14,FALSE)/VLOOKUP(A37,Ergebnis_je_Aktie_verwässert!A$3:AK$103,14,FALSE)&gt;=2,2,VLOOKUP(A37,Dividende_je_Aktie!A$3:AM$103,14,FALSE)/VLOOKUP(A37,Ergebnis_je_Aktie_verwässert!A$3:AK$103,14,FALSE))),""),"")</f>
        <v>0.47214854111405835</v>
      </c>
      <c r="O37" s="5">
        <f>IF(VLOOKUP(A37,Dividende_je_Aktie!A$3:AM$103,15,FALSE)&lt;&gt;"",IF(VLOOKUP(A37,Ergebnis_je_Aktie_verwässert!A$3:AK$103,15,FALSE)&lt;&gt;"",IF(VLOOKUP(A37,Ergebnis_je_Aktie_verwässert!A$3:AK$103,15,FALSE)&lt;=0,2,IF(VLOOKUP(A37,Dividende_je_Aktie!A$3:AM$103,15,FALSE)/VLOOKUP(A37,Ergebnis_je_Aktie_verwässert!A$3:AK$103,15,FALSE)&gt;=2,2,VLOOKUP(A37,Dividende_je_Aktie!A$3:AM$103,15,FALSE)/VLOOKUP(A37,Ergebnis_je_Aktie_verwässert!A$3:AK$103,15,FALSE))),""),"")</f>
        <v>0.51401869158878499</v>
      </c>
      <c r="P37" s="5">
        <f>IF(VLOOKUP(A37,Dividende_je_Aktie!A$3:AM$103,16,FALSE)&lt;&gt;"",IF(VLOOKUP(A37,Ergebnis_je_Aktie_verwässert!A$3:AK$103,16,FALSE)&lt;&gt;"",IF(VLOOKUP(A37,Ergebnis_je_Aktie_verwässert!A$3:AK$103,16,FALSE)&lt;=0,2,IF(VLOOKUP(A37,Dividende_je_Aktie!A$3:AM$103,16,FALSE)/VLOOKUP(A37,Ergebnis_je_Aktie_verwässert!A$3:AK$103,16,FALSE)&gt;=2,2,VLOOKUP(A37,Dividende_je_Aktie!A$3:AM$103,16,FALSE)/VLOOKUP(A37,Ergebnis_je_Aktie_verwässert!A$3:AK$103,16,FALSE))),""),"")</f>
        <v>0.41935483870967738</v>
      </c>
      <c r="Q37" s="5">
        <f>IF(VLOOKUP(A37,Dividende_je_Aktie!A$3:AM$103,17,FALSE)&lt;&gt;"",IF(VLOOKUP(A37,Ergebnis_je_Aktie_verwässert!A$3:AK$103,17,FALSE)&lt;&gt;"",IF(VLOOKUP(A37,Ergebnis_je_Aktie_verwässert!A$3:AK$103,17,FALSE)&lt;=0,2,IF(VLOOKUP(A37,Dividende_je_Aktie!A$3:AM$103,17,FALSE)/VLOOKUP(A37,Ergebnis_je_Aktie_verwässert!A$3:AK$103,17,FALSE)&gt;=2,2,VLOOKUP(A37,Dividende_je_Aktie!A$3:AM$103,17,FALSE)/VLOOKUP(A37,Ergebnis_je_Aktie_verwässert!A$3:AK$103,17,FALSE))),""),"")</f>
        <v>0.3473053892215569</v>
      </c>
      <c r="R37" s="5">
        <f>IF(VLOOKUP(A37,Dividende_je_Aktie!A$3:AM$103,18,FALSE)&lt;&gt;"",IF(VLOOKUP(A37,Ergebnis_je_Aktie_verwässert!A$3:AK$103,18,FALSE)&lt;&gt;"",IF(VLOOKUP(A37,Ergebnis_je_Aktie_verwässert!A$3:AK$103,18,FALSE)&lt;=0,2,IF(VLOOKUP(A37,Dividende_je_Aktie!A$3:AM$103,18,FALSE)/VLOOKUP(A37,Ergebnis_je_Aktie_verwässert!A$3:AK$103,18,FALSE)&gt;=2,2,VLOOKUP(A37,Dividende_je_Aktie!A$3:AM$103,18,FALSE)/VLOOKUP(A37,Ergebnis_je_Aktie_verwässert!A$3:AK$103,18,FALSE))),""),"")</f>
        <v>0.42259414225941422</v>
      </c>
      <c r="S37" s="10">
        <f t="shared" si="6"/>
        <v>0.51172178272675795</v>
      </c>
      <c r="T37" s="4">
        <f t="shared" ca="1" si="7"/>
        <v>0</v>
      </c>
      <c r="U37" s="4">
        <f t="shared" ca="1" si="8"/>
        <v>122</v>
      </c>
      <c r="V37" s="4">
        <f t="shared" ca="1" si="9"/>
        <v>238</v>
      </c>
      <c r="W37" s="10">
        <f t="shared" ca="1" si="10"/>
        <v>0.6142532832428016</v>
      </c>
      <c r="X37" s="5">
        <f t="shared" ca="1" si="11"/>
        <v>0.20036571429438643</v>
      </c>
    </row>
    <row r="38" spans="1:24" x14ac:dyDescent="0.25">
      <c r="A38" t="s">
        <v>66</v>
      </c>
      <c r="B38" t="s">
        <v>67</v>
      </c>
      <c r="C38" s="56">
        <v>31</v>
      </c>
      <c r="D38" s="56">
        <v>12</v>
      </c>
      <c r="E38" s="56">
        <v>2015</v>
      </c>
      <c r="F38" s="5">
        <f>IF(VLOOKUP(A38,Dividende_je_Aktie!A$3:AM$103,6,FALSE)&lt;&gt;"",IF(VLOOKUP(A38,Ergebnis_je_Aktie_verwässert!A$3:AK$103,6,FALSE)&lt;&gt;"",IF(VLOOKUP(A38,Ergebnis_je_Aktie_verwässert!A$3:AK$103,6,FALSE)&lt;=0,2,IF(VLOOKUP(A38,Dividende_je_Aktie!A$3:AM$103,6,FALSE)/VLOOKUP(A38,Ergebnis_je_Aktie_verwässert!A$3:AK$103,6,FALSE)&gt;=2,2,VLOOKUP(A38,Dividende_je_Aktie!A$3:AM$103,6,FALSE)/VLOOKUP(A38,Ergebnis_je_Aktie_verwässert!A$3:AK$103,6,FALSE))),""),"")</f>
        <v>0.61734693877551017</v>
      </c>
      <c r="G38" s="5">
        <f>IF(VLOOKUP(A38,Dividende_je_Aktie!A$3:AM$103,7,FALSE)&lt;&gt;"",IF(VLOOKUP(A38,Ergebnis_je_Aktie_verwässert!A$3:AK$103,7,FALSE)&lt;&gt;"",IF(VLOOKUP(A38,Ergebnis_je_Aktie_verwässert!A$3:AK$103,7,FALSE)&lt;=0,2,IF(VLOOKUP(A38,Dividende_je_Aktie!A$3:AM$103,7,FALSE)/VLOOKUP(A38,Ergebnis_je_Aktie_verwässert!A$3:AK$103,7,FALSE)&gt;=2,2,VLOOKUP(A38,Dividende_je_Aktie!A$3:AM$103,7,FALSE)/VLOOKUP(A38,Ergebnis_je_Aktie_verwässert!A$3:AK$103,7,FALSE))),""),"")</f>
        <v>0.62499999999999989</v>
      </c>
      <c r="H38" s="5">
        <f>IF(VLOOKUP(A38,Dividende_je_Aktie!A$3:AM$103,8,FALSE)&lt;&gt;"",IF(VLOOKUP(A38,Ergebnis_je_Aktie_verwässert!A$3:AK$103,8,FALSE)&lt;&gt;"",IF(VLOOKUP(A38,Ergebnis_je_Aktie_verwässert!A$3:AK$103,8,FALSE)&lt;=0,2,IF(VLOOKUP(A38,Dividende_je_Aktie!A$3:AM$103,8,FALSE)/VLOOKUP(A38,Ergebnis_je_Aktie_verwässert!A$3:AK$103,8,FALSE)&gt;=2,2,VLOOKUP(A38,Dividende_je_Aktie!A$3:AM$103,8,FALSE)/VLOOKUP(A38,Ergebnis_je_Aktie_verwässert!A$3:AK$103,8,FALSE))),""),"")</f>
        <v>0.64912280701754388</v>
      </c>
      <c r="I38" s="5">
        <f>IF(VLOOKUP(A38,Dividende_je_Aktie!A$3:AM$103,9,FALSE)&lt;&gt;"",IF(VLOOKUP(A38,Ergebnis_je_Aktie_verwässert!A$3:AK$103,9,FALSE)&lt;&gt;"",IF(VLOOKUP(A38,Ergebnis_je_Aktie_verwässert!A$3:AK$103,9,FALSE)&lt;=0,2,IF(VLOOKUP(A38,Dividende_je_Aktie!A$3:AM$103,9,FALSE)/VLOOKUP(A38,Ergebnis_je_Aktie_verwässert!A$3:AK$103,9,FALSE)&gt;=2,2,VLOOKUP(A38,Dividende_je_Aktie!A$3:AM$103,9,FALSE)/VLOOKUP(A38,Ergebnis_je_Aktie_verwässert!A$3:AK$103,9,FALSE))),""),"")</f>
        <v>0.73239436619718312</v>
      </c>
      <c r="J38" s="5">
        <f>IF(VLOOKUP(A38,Dividende_je_Aktie!A$3:AM$103,10,FALSE)&lt;&gt;"",IF(VLOOKUP(A38,Ergebnis_je_Aktie_verwässert!A$3:AK$103,10,FALSE)&lt;&gt;"",IF(VLOOKUP(A38,Ergebnis_je_Aktie_verwässert!A$3:AK$103,10,FALSE)&lt;=0,2,IF(VLOOKUP(A38,Dividende_je_Aktie!A$3:AM$103,10,FALSE)/VLOOKUP(A38,Ergebnis_je_Aktie_verwässert!A$3:AK$103,10,FALSE)&gt;=2,2,VLOOKUP(A38,Dividende_je_Aktie!A$3:AM$103,10,FALSE)/VLOOKUP(A38,Ergebnis_je_Aktie_verwässert!A$3:AK$103,10,FALSE))),""),"")</f>
        <v>0.58181818181818179</v>
      </c>
      <c r="K38" s="5">
        <f>IF(VLOOKUP(A38,Dividende_je_Aktie!A$3:AM$103,11,FALSE)&lt;&gt;"",IF(VLOOKUP(A38,Ergebnis_je_Aktie_verwässert!A$3:AK$103,11,FALSE)&lt;&gt;"",IF(VLOOKUP(A38,Ergebnis_je_Aktie_verwässert!A$3:AK$103,11,FALSE)&lt;=0,2,IF(VLOOKUP(A38,Dividende_je_Aktie!A$3:AM$103,11,FALSE)/VLOOKUP(A38,Ergebnis_je_Aktie_verwässert!A$3:AK$103,11,FALSE)&gt;=2,2,VLOOKUP(A38,Dividende_je_Aktie!A$3:AM$103,11,FALSE)/VLOOKUP(A38,Ergebnis_je_Aktie_verwässert!A$3:AK$103,11,FALSE))),""),"")</f>
        <v>0.45360824742268041</v>
      </c>
      <c r="L38" s="5">
        <f>IF(VLOOKUP(A38,Dividende_je_Aktie!A$3:AM$103,12,FALSE)&lt;&gt;"",IF(VLOOKUP(A38,Ergebnis_je_Aktie_verwässert!A$3:AK$103,12,FALSE)&lt;&gt;"",IF(VLOOKUP(A38,Ergebnis_je_Aktie_verwässert!A$3:AK$103,12,FALSE)&lt;=0,2,IF(VLOOKUP(A38,Dividende_je_Aktie!A$3:AM$103,12,FALSE)/VLOOKUP(A38,Ergebnis_je_Aktie_verwässert!A$3:AK$103,12,FALSE)&gt;=2,2,VLOOKUP(A38,Dividende_je_Aktie!A$3:AM$103,12,FALSE)/VLOOKUP(A38,Ergebnis_je_Aktie_verwässert!A$3:AK$103,12,FALSE))),""),"")</f>
        <v>0.62992125984251968</v>
      </c>
      <c r="M38" s="5">
        <f>IF(VLOOKUP(A38,Dividende_je_Aktie!A$3:AM$103,13,FALSE)&lt;&gt;"",IF(VLOOKUP(A38,Ergebnis_je_Aktie_verwässert!A$3:AK$103,13,FALSE)&lt;&gt;"",IF(VLOOKUP(A38,Ergebnis_je_Aktie_verwässert!A$3:AK$103,13,FALSE)&lt;=0,2,IF(VLOOKUP(A38,Dividende_je_Aktie!A$3:AM$103,13,FALSE)/VLOOKUP(A38,Ergebnis_je_Aktie_verwässert!A$3:AK$103,13,FALSE)&gt;=2,2,VLOOKUP(A38,Dividende_je_Aktie!A$3:AM$103,13,FALSE)/VLOOKUP(A38,Ergebnis_je_Aktie_verwässert!A$3:AK$103,13,FALSE))),""),"")</f>
        <v>0.70588235294117641</v>
      </c>
      <c r="N38" s="5">
        <f>IF(VLOOKUP(A38,Dividende_je_Aktie!A$3:AM$103,14,FALSE)&lt;&gt;"",IF(VLOOKUP(A38,Ergebnis_je_Aktie_verwässert!A$3:AK$103,14,FALSE)&lt;&gt;"",IF(VLOOKUP(A38,Ergebnis_je_Aktie_verwässert!A$3:AK$103,14,FALSE)&lt;=0,2,IF(VLOOKUP(A38,Dividende_je_Aktie!A$3:AM$103,14,FALSE)/VLOOKUP(A38,Ergebnis_je_Aktie_verwässert!A$3:AK$103,14,FALSE)&gt;=2,2,VLOOKUP(A38,Dividende_je_Aktie!A$3:AM$103,14,FALSE)/VLOOKUP(A38,Ergebnis_je_Aktie_verwässert!A$3:AK$103,14,FALSE))),""),"")</f>
        <v>0.65040650406504075</v>
      </c>
      <c r="O38" s="5">
        <f>IF(VLOOKUP(A38,Dividende_je_Aktie!A$3:AM$103,15,FALSE)&lt;&gt;"",IF(VLOOKUP(A38,Ergebnis_je_Aktie_verwässert!A$3:AK$103,15,FALSE)&lt;&gt;"",IF(VLOOKUP(A38,Ergebnis_je_Aktie_verwässert!A$3:AK$103,15,FALSE)&lt;=0,2,IF(VLOOKUP(A38,Dividende_je_Aktie!A$3:AM$103,15,FALSE)/VLOOKUP(A38,Ergebnis_je_Aktie_verwässert!A$3:AK$103,15,FALSE)&gt;=2,2,VLOOKUP(A38,Dividende_je_Aktie!A$3:AM$103,15,FALSE)/VLOOKUP(A38,Ergebnis_je_Aktie_verwässert!A$3:AK$103,15,FALSE))),""),"")</f>
        <v>1.0666666666666667</v>
      </c>
      <c r="P38" s="5">
        <f>IF(VLOOKUP(A38,Dividende_je_Aktie!A$3:AM$103,16,FALSE)&lt;&gt;"",IF(VLOOKUP(A38,Ergebnis_je_Aktie_verwässert!A$3:AK$103,16,FALSE)&lt;&gt;"",IF(VLOOKUP(A38,Ergebnis_je_Aktie_verwässert!A$3:AK$103,16,FALSE)&lt;=0,2,IF(VLOOKUP(A38,Dividende_je_Aktie!A$3:AM$103,16,FALSE)/VLOOKUP(A38,Ergebnis_je_Aktie_verwässert!A$3:AK$103,16,FALSE)&gt;=2,2,VLOOKUP(A38,Dividende_je_Aktie!A$3:AM$103,16,FALSE)/VLOOKUP(A38,Ergebnis_je_Aktie_verwässert!A$3:AK$103,16,FALSE))),""),"")</f>
        <v>0.99145299145299148</v>
      </c>
      <c r="Q38" s="5">
        <f>IF(VLOOKUP(A38,Dividende_je_Aktie!A$3:AM$103,17,FALSE)&lt;&gt;"",IF(VLOOKUP(A38,Ergebnis_je_Aktie_verwässert!A$3:AK$103,17,FALSE)&lt;&gt;"",IF(VLOOKUP(A38,Ergebnis_je_Aktie_verwässert!A$3:AK$103,17,FALSE)&lt;=0,2,IF(VLOOKUP(A38,Dividende_je_Aktie!A$3:AM$103,17,FALSE)/VLOOKUP(A38,Ergebnis_je_Aktie_verwässert!A$3:AK$103,17,FALSE)&gt;=2,2,VLOOKUP(A38,Dividende_je_Aktie!A$3:AM$103,17,FALSE)/VLOOKUP(A38,Ergebnis_je_Aktie_verwässert!A$3:AK$103,17,FALSE))),""),"")</f>
        <v>0.63157894736842102</v>
      </c>
      <c r="R38" s="5">
        <f>IF(VLOOKUP(A38,Dividende_je_Aktie!A$3:AM$103,18,FALSE)&lt;&gt;"",IF(VLOOKUP(A38,Ergebnis_je_Aktie_verwässert!A$3:AK$103,18,FALSE)&lt;&gt;"",IF(VLOOKUP(A38,Ergebnis_je_Aktie_verwässert!A$3:AK$103,18,FALSE)&lt;=0,2,IF(VLOOKUP(A38,Dividende_je_Aktie!A$3:AM$103,18,FALSE)/VLOOKUP(A38,Ergebnis_je_Aktie_verwässert!A$3:AK$103,18,FALSE)&gt;=2,2,VLOOKUP(A38,Dividende_je_Aktie!A$3:AM$103,18,FALSE)/VLOOKUP(A38,Ergebnis_je_Aktie_verwässert!A$3:AK$103,18,FALSE))),""),"")</f>
        <v>0.69724770642201828</v>
      </c>
      <c r="S38" s="10">
        <f t="shared" si="6"/>
        <v>0.6948036130761488</v>
      </c>
      <c r="T38" s="4">
        <f t="shared" ca="1" si="7"/>
        <v>0</v>
      </c>
      <c r="U38" s="4">
        <f t="shared" ca="1" si="8"/>
        <v>122</v>
      </c>
      <c r="V38" s="4">
        <f t="shared" ca="1" si="9"/>
        <v>238</v>
      </c>
      <c r="W38" s="10">
        <f t="shared" ca="1" si="10"/>
        <v>0.64094785575048729</v>
      </c>
      <c r="X38" s="5">
        <f t="shared" ca="1" si="11"/>
        <v>-7.7512201019252713E-2</v>
      </c>
    </row>
    <row r="39" spans="1:24" x14ac:dyDescent="0.25">
      <c r="A39" t="s">
        <v>68</v>
      </c>
      <c r="B39" t="s">
        <v>69</v>
      </c>
      <c r="C39" s="56">
        <v>31</v>
      </c>
      <c r="D39" s="56">
        <v>12</v>
      </c>
      <c r="E39" s="56">
        <v>2015</v>
      </c>
      <c r="F39" s="5">
        <f>IF(VLOOKUP(A39,Dividende_je_Aktie!A$3:AM$103,6,FALSE)&lt;&gt;"",IF(VLOOKUP(A39,Ergebnis_je_Aktie_verwässert!A$3:AK$103,6,FALSE)&lt;&gt;"",IF(VLOOKUP(A39,Ergebnis_je_Aktie_verwässert!A$3:AK$103,6,FALSE)&lt;=0,2,IF(VLOOKUP(A39,Dividende_je_Aktie!A$3:AM$103,6,FALSE)/VLOOKUP(A39,Ergebnis_je_Aktie_verwässert!A$3:AK$103,6,FALSE)&gt;=2,2,VLOOKUP(A39,Dividende_je_Aktie!A$3:AM$103,6,FALSE)/VLOOKUP(A39,Ergebnis_je_Aktie_verwässert!A$3:AK$103,6,FALSE))),""),"")</f>
        <v>0.86561264822134387</v>
      </c>
      <c r="G39" s="5">
        <f>IF(VLOOKUP(A39,Dividende_je_Aktie!A$3:AM$103,7,FALSE)&lt;&gt;"",IF(VLOOKUP(A39,Ergebnis_je_Aktie_verwässert!A$3:AK$103,7,FALSE)&lt;&gt;"",IF(VLOOKUP(A39,Ergebnis_je_Aktie_verwässert!A$3:AK$103,7,FALSE)&lt;=0,2,IF(VLOOKUP(A39,Dividende_je_Aktie!A$3:AM$103,7,FALSE)/VLOOKUP(A39,Ergebnis_je_Aktie_verwässert!A$3:AK$103,7,FALSE)&gt;=2,2,VLOOKUP(A39,Dividende_je_Aktie!A$3:AM$103,7,FALSE)/VLOOKUP(A39,Ergebnis_je_Aktie_verwässert!A$3:AK$103,7,FALSE))),""),"")</f>
        <v>0.89217758985200835</v>
      </c>
      <c r="H39" s="5">
        <f>IF(VLOOKUP(A39,Dividende_je_Aktie!A$3:AM$103,8,FALSE)&lt;&gt;"",IF(VLOOKUP(A39,Ergebnis_je_Aktie_verwässert!A$3:AK$103,8,FALSE)&lt;&gt;"",IF(VLOOKUP(A39,Ergebnis_je_Aktie_verwässert!A$3:AK$103,8,FALSE)&lt;=0,2,IF(VLOOKUP(A39,Dividende_je_Aktie!A$3:AM$103,8,FALSE)/VLOOKUP(A39,Ergebnis_je_Aktie_verwässert!A$3:AK$103,8,FALSE)&gt;=2,2,VLOOKUP(A39,Dividende_je_Aktie!A$3:AM$103,8,FALSE)/VLOOKUP(A39,Ergebnis_je_Aktie_verwässert!A$3:AK$103,8,FALSE))),""),"")</f>
        <v>0.93981481481481466</v>
      </c>
      <c r="I39" s="5">
        <f>IF(VLOOKUP(A39,Dividende_je_Aktie!A$3:AM$103,9,FALSE)&lt;&gt;"",IF(VLOOKUP(A39,Ergebnis_je_Aktie_verwässert!A$3:AK$103,9,FALSE)&lt;&gt;"",IF(VLOOKUP(A39,Ergebnis_je_Aktie_verwässert!A$3:AK$103,9,FALSE)&lt;=0,2,IF(VLOOKUP(A39,Dividende_je_Aktie!A$3:AM$103,9,FALSE)/VLOOKUP(A39,Ergebnis_je_Aktie_verwässert!A$3:AK$103,9,FALSE)&gt;=2,2,VLOOKUP(A39,Dividende_je_Aktie!A$3:AM$103,9,FALSE)/VLOOKUP(A39,Ergebnis_je_Aktie_verwässert!A$3:AK$103,9,FALSE))),""),"")</f>
        <v>0.81512605042016806</v>
      </c>
      <c r="J39" s="5">
        <f>IF(VLOOKUP(A39,Dividende_je_Aktie!A$3:AM$103,10,FALSE)&lt;&gt;"",IF(VLOOKUP(A39,Ergebnis_je_Aktie_verwässert!A$3:AK$103,10,FALSE)&lt;&gt;"",IF(VLOOKUP(A39,Ergebnis_je_Aktie_verwässert!A$3:AK$103,10,FALSE)&lt;=0,2,IF(VLOOKUP(A39,Dividende_je_Aktie!A$3:AM$103,10,FALSE)/VLOOKUP(A39,Ergebnis_je_Aktie_verwässert!A$3:AK$103,10,FALSE)&gt;=2,2,VLOOKUP(A39,Dividende_je_Aktie!A$3:AM$103,10,FALSE)/VLOOKUP(A39,Ergebnis_je_Aktie_verwässert!A$3:AK$103,10,FALSE))),""),"")</f>
        <v>0.68060836501901145</v>
      </c>
      <c r="K39" s="5">
        <f>IF(VLOOKUP(A39,Dividende_je_Aktie!A$3:AM$103,11,FALSE)&lt;&gt;"",IF(VLOOKUP(A39,Ergebnis_je_Aktie_verwässert!A$3:AK$103,11,FALSE)&lt;&gt;"",IF(VLOOKUP(A39,Ergebnis_je_Aktie_verwässert!A$3:AK$103,11,FALSE)&lt;=0,2,IF(VLOOKUP(A39,Dividende_je_Aktie!A$3:AM$103,11,FALSE)/VLOOKUP(A39,Ergebnis_je_Aktie_verwässert!A$3:AK$103,11,FALSE)&gt;=2,2,VLOOKUP(A39,Dividende_je_Aktie!A$3:AM$103,11,FALSE)/VLOOKUP(A39,Ergebnis_je_Aktie_verwässert!A$3:AK$103,11,FALSE))),""),"")</f>
        <v>0.62669245647969052</v>
      </c>
      <c r="L39" s="5">
        <f>IF(VLOOKUP(A39,Dividende_je_Aktie!A$3:AM$103,12,FALSE)&lt;&gt;"",IF(VLOOKUP(A39,Ergebnis_je_Aktie_verwässert!A$3:AK$103,12,FALSE)&lt;&gt;"",IF(VLOOKUP(A39,Ergebnis_je_Aktie_verwässert!A$3:AK$103,12,FALSE)&lt;=0,2,IF(VLOOKUP(A39,Dividende_je_Aktie!A$3:AM$103,12,FALSE)/VLOOKUP(A39,Ergebnis_je_Aktie_verwässert!A$3:AK$103,12,FALSE)&gt;=2,2,VLOOKUP(A39,Dividende_je_Aktie!A$3:AM$103,12,FALSE)/VLOOKUP(A39,Ergebnis_je_Aktie_verwässert!A$3:AK$103,12,FALSE))),""),"")</f>
        <v>0.58144329896907221</v>
      </c>
      <c r="M39" s="5">
        <f>IF(VLOOKUP(A39,Dividende_je_Aktie!A$3:AM$103,13,FALSE)&lt;&gt;"",IF(VLOOKUP(A39,Ergebnis_je_Aktie_verwässert!A$3:AK$103,13,FALSE)&lt;&gt;"",IF(VLOOKUP(A39,Ergebnis_je_Aktie_verwässert!A$3:AK$103,13,FALSE)&lt;=0,2,IF(VLOOKUP(A39,Dividende_je_Aktie!A$3:AM$103,13,FALSE)/VLOOKUP(A39,Ergebnis_je_Aktie_verwässert!A$3:AK$103,13,FALSE)&gt;=2,2,VLOOKUP(A39,Dividende_je_Aktie!A$3:AM$103,13,FALSE)/VLOOKUP(A39,Ergebnis_je_Aktie_verwässert!A$3:AK$103,13,FALSE))),""),"")</f>
        <v>0.62244897959183676</v>
      </c>
      <c r="N39" s="5">
        <f>IF(VLOOKUP(A39,Dividende_je_Aktie!A$3:AM$103,14,FALSE)&lt;&gt;"",IF(VLOOKUP(A39,Ergebnis_je_Aktie_verwässert!A$3:AK$103,14,FALSE)&lt;&gt;"",IF(VLOOKUP(A39,Ergebnis_je_Aktie_verwässert!A$3:AK$103,14,FALSE)&lt;=0,2,IF(VLOOKUP(A39,Dividende_je_Aktie!A$3:AM$103,14,FALSE)/VLOOKUP(A39,Ergebnis_je_Aktie_verwässert!A$3:AK$103,14,FALSE)&gt;=2,2,VLOOKUP(A39,Dividende_je_Aktie!A$3:AM$103,14,FALSE)/VLOOKUP(A39,Ergebnis_je_Aktie_verwässert!A$3:AK$103,14,FALSE))),""),"")</f>
        <v>0.6913580246913581</v>
      </c>
      <c r="O39" s="5">
        <f>IF(VLOOKUP(A39,Dividende_je_Aktie!A$3:AM$103,15,FALSE)&lt;&gt;"",IF(VLOOKUP(A39,Ergebnis_je_Aktie_verwässert!A$3:AK$103,15,FALSE)&lt;&gt;"",IF(VLOOKUP(A39,Ergebnis_je_Aktie_verwässert!A$3:AK$103,15,FALSE)&lt;=0,2,IF(VLOOKUP(A39,Dividende_je_Aktie!A$3:AM$103,15,FALSE)/VLOOKUP(A39,Ergebnis_je_Aktie_verwässert!A$3:AK$103,15,FALSE)&gt;=2,2,VLOOKUP(A39,Dividende_je_Aktie!A$3:AM$103,15,FALSE)/VLOOKUP(A39,Ergebnis_je_Aktie_verwässert!A$3:AK$103,15,FALSE))),""),"")</f>
        <v>0.46525679758308158</v>
      </c>
      <c r="P39" s="5" t="str">
        <f>IF(VLOOKUP(A39,Dividende_je_Aktie!A$3:AM$103,16,FALSE)&lt;&gt;"",IF(VLOOKUP(A39,Ergebnis_je_Aktie_verwässert!A$3:AK$103,16,FALSE)&lt;&gt;"",IF(VLOOKUP(A39,Ergebnis_je_Aktie_verwässert!A$3:AK$103,16,FALSE)&lt;=0,2,IF(VLOOKUP(A39,Dividende_je_Aktie!A$3:AM$103,16,FALSE)/VLOOKUP(A39,Ergebnis_je_Aktie_verwässert!A$3:AK$103,16,FALSE)&gt;=2,2,VLOOKUP(A39,Dividende_je_Aktie!A$3:AM$103,16,FALSE)/VLOOKUP(A39,Ergebnis_je_Aktie_verwässert!A$3:AK$103,16,FALSE))),""),"")</f>
        <v/>
      </c>
      <c r="Q39" s="5" t="str">
        <f>IF(VLOOKUP(A39,Dividende_je_Aktie!A$3:AM$103,17,FALSE)&lt;&gt;"",IF(VLOOKUP(A39,Ergebnis_je_Aktie_verwässert!A$3:AK$103,17,FALSE)&lt;&gt;"",IF(VLOOKUP(A39,Ergebnis_je_Aktie_verwässert!A$3:AK$103,17,FALSE)&lt;=0,2,IF(VLOOKUP(A39,Dividende_je_Aktie!A$3:AM$103,17,FALSE)/VLOOKUP(A39,Ergebnis_je_Aktie_verwässert!A$3:AK$103,17,FALSE)&gt;=2,2,VLOOKUP(A39,Dividende_je_Aktie!A$3:AM$103,17,FALSE)/VLOOKUP(A39,Ergebnis_je_Aktie_verwässert!A$3:AK$103,17,FALSE))),""),"")</f>
        <v/>
      </c>
      <c r="R39" s="5" t="str">
        <f>IF(VLOOKUP(A39,Dividende_je_Aktie!A$3:AM$103,18,FALSE)&lt;&gt;"",IF(VLOOKUP(A39,Ergebnis_je_Aktie_verwässert!A$3:AK$103,18,FALSE)&lt;&gt;"",IF(VLOOKUP(A39,Ergebnis_je_Aktie_verwässert!A$3:AK$103,18,FALSE)&lt;=0,2,IF(VLOOKUP(A39,Dividende_je_Aktie!A$3:AM$103,18,FALSE)/VLOOKUP(A39,Ergebnis_je_Aktie_verwässert!A$3:AK$103,18,FALSE)&gt;=2,2,VLOOKUP(A39,Dividende_je_Aktie!A$3:AM$103,18,FALSE)/VLOOKUP(A39,Ergebnis_je_Aktie_verwässert!A$3:AK$103,18,FALSE))),""),"")</f>
        <v/>
      </c>
      <c r="S39" s="10">
        <f t="shared" si="6"/>
        <v>0.71805390256423851</v>
      </c>
      <c r="T39" s="4">
        <f t="shared" ca="1" si="7"/>
        <v>0</v>
      </c>
      <c r="U39" s="4">
        <f t="shared" ca="1" si="8"/>
        <v>122</v>
      </c>
      <c r="V39" s="4">
        <f t="shared" ca="1" si="9"/>
        <v>238</v>
      </c>
      <c r="W39" s="10">
        <f t="shared" ca="1" si="10"/>
        <v>0.92367108857741909</v>
      </c>
      <c r="X39" s="5">
        <f t="shared" ca="1" si="11"/>
        <v>0.28635341341214371</v>
      </c>
    </row>
    <row r="40" spans="1:24" x14ac:dyDescent="0.25">
      <c r="A40" t="s">
        <v>70</v>
      </c>
      <c r="B40" t="s">
        <v>71</v>
      </c>
      <c r="C40" s="56">
        <v>30</v>
      </c>
      <c r="D40" s="56">
        <v>6</v>
      </c>
      <c r="E40" s="56">
        <v>2015</v>
      </c>
      <c r="F40" s="5">
        <f>IF(VLOOKUP(A40,Dividende_je_Aktie!A$3:AM$103,6,FALSE)&lt;&gt;"",IF(VLOOKUP(A40,Ergebnis_je_Aktie_verwässert!A$3:AK$103,6,FALSE)&lt;&gt;"",IF(VLOOKUP(A40,Ergebnis_je_Aktie_verwässert!A$3:AK$103,6,FALSE)&lt;=0,2,IF(VLOOKUP(A40,Dividende_je_Aktie!A$3:AM$103,6,FALSE)/VLOOKUP(A40,Ergebnis_je_Aktie_verwässert!A$3:AK$103,6,FALSE)&gt;=2,2,VLOOKUP(A40,Dividende_je_Aktie!A$3:AM$103,6,FALSE)/VLOOKUP(A40,Ergebnis_je_Aktie_verwässert!A$3:AK$103,6,FALSE))),""),"")</f>
        <v>0.63362068965517249</v>
      </c>
      <c r="G40" s="5">
        <f>IF(VLOOKUP(A40,Dividende_je_Aktie!A$3:AM$103,7,FALSE)&lt;&gt;"",IF(VLOOKUP(A40,Ergebnis_je_Aktie_verwässert!A$3:AK$103,7,FALSE)&lt;&gt;"",IF(VLOOKUP(A40,Ergebnis_je_Aktie_verwässert!A$3:AK$103,7,FALSE)&lt;=0,2,IF(VLOOKUP(A40,Dividende_je_Aktie!A$3:AM$103,7,FALSE)/VLOOKUP(A40,Ergebnis_je_Aktie_verwässert!A$3:AK$103,7,FALSE)&gt;=2,2,VLOOKUP(A40,Dividende_je_Aktie!A$3:AM$103,7,FALSE)/VLOOKUP(A40,Ergebnis_je_Aktie_verwässert!A$3:AK$103,7,FALSE))),""),"")</f>
        <v>0.65789473684210531</v>
      </c>
      <c r="H40" s="5">
        <f>IF(VLOOKUP(A40,Dividende_je_Aktie!A$3:AM$103,8,FALSE)&lt;&gt;"",IF(VLOOKUP(A40,Ergebnis_je_Aktie_verwässert!A$3:AK$103,8,FALSE)&lt;&gt;"",IF(VLOOKUP(A40,Ergebnis_je_Aktie_verwässert!A$3:AK$103,8,FALSE)&lt;=0,2,IF(VLOOKUP(A40,Dividende_je_Aktie!A$3:AM$103,8,FALSE)/VLOOKUP(A40,Ergebnis_je_Aktie_verwässert!A$3:AK$103,8,FALSE)&gt;=2,2,VLOOKUP(A40,Dividende_je_Aktie!A$3:AM$103,8,FALSE)/VLOOKUP(A40,Ergebnis_je_Aktie_verwässert!A$3:AK$103,8,FALSE))),""),"")</f>
        <v>0.69729729729729728</v>
      </c>
      <c r="I40" s="5">
        <f>IF(VLOOKUP(A40,Dividende_je_Aktie!A$3:AM$103,9,FALSE)&lt;&gt;"",IF(VLOOKUP(A40,Ergebnis_je_Aktie_verwässert!A$3:AK$103,9,FALSE)&lt;&gt;"",IF(VLOOKUP(A40,Ergebnis_je_Aktie_verwässert!A$3:AK$103,9,FALSE)&lt;=0,2,IF(VLOOKUP(A40,Dividende_je_Aktie!A$3:AM$103,9,FALSE)/VLOOKUP(A40,Ergebnis_je_Aktie_verwässert!A$3:AK$103,9,FALSE)&gt;=2,2,VLOOKUP(A40,Dividende_je_Aktie!A$3:AM$103,9,FALSE)/VLOOKUP(A40,Ergebnis_je_Aktie_verwässert!A$3:AK$103,9,FALSE))),""),"")</f>
        <v>0.61557788944723624</v>
      </c>
      <c r="J40" s="5">
        <f>IF(VLOOKUP(A40,Dividende_je_Aktie!A$3:AM$103,10,FALSE)&lt;&gt;"",IF(VLOOKUP(A40,Ergebnis_je_Aktie_verwässert!A$3:AK$103,10,FALSE)&lt;&gt;"",IF(VLOOKUP(A40,Ergebnis_je_Aktie_verwässert!A$3:AK$103,10,FALSE)&lt;=0,2,IF(VLOOKUP(A40,Dividende_je_Aktie!A$3:AM$103,10,FALSE)/VLOOKUP(A40,Ergebnis_je_Aktie_verwässert!A$3:AK$103,10,FALSE)&gt;=2,2,VLOOKUP(A40,Dividende_je_Aktie!A$3:AM$103,10,FALSE)/VLOOKUP(A40,Ergebnis_je_Aktie_verwässert!A$3:AK$103,10,FALSE))),""),"")</f>
        <v>0.59791122715404699</v>
      </c>
      <c r="K40" s="5">
        <f>IF(VLOOKUP(A40,Dividende_je_Aktie!A$3:AM$103,11,FALSE)&lt;&gt;"",IF(VLOOKUP(A40,Ergebnis_je_Aktie_verwässert!A$3:AK$103,11,FALSE)&lt;&gt;"",IF(VLOOKUP(A40,Ergebnis_je_Aktie_verwässert!A$3:AK$103,11,FALSE)&lt;=0,2,IF(VLOOKUP(A40,Dividende_je_Aktie!A$3:AM$103,11,FALSE)/VLOOKUP(A40,Ergebnis_je_Aktie_verwässert!A$3:AK$103,11,FALSE)&gt;=2,2,VLOOKUP(A40,Dividende_je_Aktie!A$3:AM$103,11,FALSE)/VLOOKUP(A40,Ergebnis_je_Aktie_verwässert!A$3:AK$103,11,FALSE))),""),"")</f>
        <v>0.69934640522875824</v>
      </c>
      <c r="L40" s="5">
        <f>IF(VLOOKUP(A40,Dividende_je_Aktie!A$3:AM$103,12,FALSE)&lt;&gt;"",IF(VLOOKUP(A40,Ergebnis_je_Aktie_verwässert!A$3:AK$103,12,FALSE)&lt;&gt;"",IF(VLOOKUP(A40,Ergebnis_je_Aktie_verwässert!A$3:AK$103,12,FALSE)&lt;=0,2,IF(VLOOKUP(A40,Dividende_je_Aktie!A$3:AM$103,12,FALSE)/VLOOKUP(A40,Ergebnis_je_Aktie_verwässert!A$3:AK$103,12,FALSE)&gt;=2,2,VLOOKUP(A40,Dividende_je_Aktie!A$3:AM$103,12,FALSE)/VLOOKUP(A40,Ergebnis_je_Aktie_verwässert!A$3:AK$103,12,FALSE))),""),"")</f>
        <v>0.51168831168831164</v>
      </c>
      <c r="M40" s="5">
        <f>IF(VLOOKUP(A40,Dividende_je_Aktie!A$3:AM$103,13,FALSE)&lt;&gt;"",IF(VLOOKUP(A40,Ergebnis_je_Aktie_verwässert!A$3:AK$103,13,FALSE)&lt;&gt;"",IF(VLOOKUP(A40,Ergebnis_je_Aktie_verwässert!A$3:AK$103,13,FALSE)&lt;=0,2,IF(VLOOKUP(A40,Dividende_je_Aktie!A$3:AM$103,13,FALSE)/VLOOKUP(A40,Ergebnis_je_Aktie_verwässert!A$3:AK$103,13,FALSE)&gt;=2,2,VLOOKUP(A40,Dividende_je_Aktie!A$3:AM$103,13,FALSE)/VLOOKUP(A40,Ergebnis_je_Aktie_verwässert!A$3:AK$103,13,FALSE))),""),"")</f>
        <v>0.51873198847262247</v>
      </c>
      <c r="N40" s="5">
        <f>IF(VLOOKUP(A40,Dividende_je_Aktie!A$3:AM$103,14,FALSE)&lt;&gt;"",IF(VLOOKUP(A40,Ergebnis_je_Aktie_verwässert!A$3:AK$103,14,FALSE)&lt;&gt;"",IF(VLOOKUP(A40,Ergebnis_je_Aktie_verwässert!A$3:AK$103,14,FALSE)&lt;=0,2,IF(VLOOKUP(A40,Dividende_je_Aktie!A$3:AM$103,14,FALSE)/VLOOKUP(A40,Ergebnis_je_Aktie_verwässert!A$3:AK$103,14,FALSE)&gt;=2,2,VLOOKUP(A40,Dividende_je_Aktie!A$3:AM$103,14,FALSE)/VLOOKUP(A40,Ergebnis_je_Aktie_verwässert!A$3:AK$103,14,FALSE))),""),"")</f>
        <v>0.48377581120943947</v>
      </c>
      <c r="O40" s="5">
        <f>IF(VLOOKUP(A40,Dividende_je_Aktie!A$3:AM$103,15,FALSE)&lt;&gt;"",IF(VLOOKUP(A40,Ergebnis_je_Aktie_verwässert!A$3:AK$103,15,FALSE)&lt;&gt;"",IF(VLOOKUP(A40,Ergebnis_je_Aktie_verwässert!A$3:AK$103,15,FALSE)&lt;=0,2,IF(VLOOKUP(A40,Dividende_je_Aktie!A$3:AM$103,15,FALSE)/VLOOKUP(A40,Ergebnis_je_Aktie_verwässert!A$3:AK$103,15,FALSE)&gt;=2,2,VLOOKUP(A40,Dividende_je_Aktie!A$3:AM$103,15,FALSE)/VLOOKUP(A40,Ergebnis_je_Aktie_verwässert!A$3:AK$103,15,FALSE))),""),"")</f>
        <v>0.4264705882352941</v>
      </c>
      <c r="P40" s="5">
        <f>IF(VLOOKUP(A40,Dividende_je_Aktie!A$3:AM$103,16,FALSE)&lt;&gt;"",IF(VLOOKUP(A40,Ergebnis_je_Aktie_verwässert!A$3:AK$103,16,FALSE)&lt;&gt;"",IF(VLOOKUP(A40,Ergebnis_je_Aktie_verwässert!A$3:AK$103,16,FALSE)&lt;=0,2,IF(VLOOKUP(A40,Dividende_je_Aktie!A$3:AM$103,16,FALSE)/VLOOKUP(A40,Ergebnis_je_Aktie_verwässert!A$3:AK$103,16,FALSE)&gt;=2,2,VLOOKUP(A40,Dividende_je_Aktie!A$3:AM$103,16,FALSE)/VLOOKUP(A40,Ergebnis_je_Aktie_verwässert!A$3:AK$103,16,FALSE))),""),"")</f>
        <v>0.45070422535211269</v>
      </c>
      <c r="Q40" s="5">
        <f>IF(VLOOKUP(A40,Dividende_je_Aktie!A$3:AM$103,17,FALSE)&lt;&gt;"",IF(VLOOKUP(A40,Ergebnis_je_Aktie_verwässert!A$3:AK$103,17,FALSE)&lt;&gt;"",IF(VLOOKUP(A40,Ergebnis_je_Aktie_verwässert!A$3:AK$103,17,FALSE)&lt;=0,2,IF(VLOOKUP(A40,Dividende_je_Aktie!A$3:AM$103,17,FALSE)/VLOOKUP(A40,Ergebnis_je_Aktie_verwässert!A$3:AK$103,17,FALSE)&gt;=2,2,VLOOKUP(A40,Dividende_je_Aktie!A$3:AM$103,17,FALSE)/VLOOKUP(A40,Ergebnis_je_Aktie_verwässert!A$3:AK$103,17,FALSE))),""),"")</f>
        <v>0.46184738955823285</v>
      </c>
      <c r="R40" s="5">
        <f>IF(VLOOKUP(A40,Dividende_je_Aktie!A$3:AM$103,18,FALSE)&lt;&gt;"",IF(VLOOKUP(A40,Ergebnis_je_Aktie_verwässert!A$3:AK$103,18,FALSE)&lt;&gt;"",IF(VLOOKUP(A40,Ergebnis_je_Aktie_verwässert!A$3:AK$103,18,FALSE)&lt;=0,2,IF(VLOOKUP(A40,Dividende_je_Aktie!A$3:AM$103,18,FALSE)/VLOOKUP(A40,Ergebnis_je_Aktie_verwässert!A$3:AK$103,18,FALSE)&gt;=2,2,VLOOKUP(A40,Dividende_je_Aktie!A$3:AM$103,18,FALSE)/VLOOKUP(A40,Ergebnis_je_Aktie_verwässert!A$3:AK$103,18,FALSE))),""),"")</f>
        <v>0.40711462450592889</v>
      </c>
      <c r="S40" s="10">
        <f t="shared" si="6"/>
        <v>0.5509216295881969</v>
      </c>
      <c r="T40" s="4">
        <f t="shared" ca="1" si="7"/>
        <v>0</v>
      </c>
      <c r="U40" s="4">
        <f t="shared" ca="1" si="8"/>
        <v>303</v>
      </c>
      <c r="V40" s="4">
        <f t="shared" ca="1" si="9"/>
        <v>57</v>
      </c>
      <c r="W40" s="10">
        <f t="shared" ca="1" si="10"/>
        <v>0.66413347558084412</v>
      </c>
      <c r="X40" s="5">
        <f t="shared" ca="1" si="11"/>
        <v>0.20549537341140667</v>
      </c>
    </row>
    <row r="41" spans="1:24" x14ac:dyDescent="0.25">
      <c r="A41" t="s">
        <v>72</v>
      </c>
      <c r="B41" t="s">
        <v>73</v>
      </c>
      <c r="C41" s="56">
        <v>31</v>
      </c>
      <c r="D41" s="56">
        <v>12</v>
      </c>
      <c r="E41" s="56">
        <v>2015</v>
      </c>
      <c r="F41" s="5">
        <f>IF(VLOOKUP(A41,Dividende_je_Aktie!A$3:AM$103,6,FALSE)&lt;&gt;"",IF(VLOOKUP(A41,Ergebnis_je_Aktie_verwässert!A$3:AK$103,6,FALSE)&lt;&gt;"",IF(VLOOKUP(A41,Ergebnis_je_Aktie_verwässert!A$3:AK$103,6,FALSE)&lt;=0,2,IF(VLOOKUP(A41,Dividende_je_Aktie!A$3:AM$103,6,FALSE)/VLOOKUP(A41,Ergebnis_je_Aktie_verwässert!A$3:AK$103,6,FALSE)&gt;=2,2,VLOOKUP(A41,Dividende_je_Aktie!A$3:AM$103,6,FALSE)/VLOOKUP(A41,Ergebnis_je_Aktie_verwässert!A$3:AK$103,6,FALSE))),""),"")</f>
        <v>0.56144578313253013</v>
      </c>
      <c r="G41" s="5">
        <f>IF(VLOOKUP(A41,Dividende_je_Aktie!A$3:AM$103,7,FALSE)&lt;&gt;"",IF(VLOOKUP(A41,Ergebnis_je_Aktie_verwässert!A$3:AK$103,7,FALSE)&lt;&gt;"",IF(VLOOKUP(A41,Ergebnis_je_Aktie_verwässert!A$3:AK$103,7,FALSE)&lt;=0,2,IF(VLOOKUP(A41,Dividende_je_Aktie!A$3:AM$103,7,FALSE)/VLOOKUP(A41,Ergebnis_je_Aktie_verwässert!A$3:AK$103,7,FALSE)&gt;=2,2,VLOOKUP(A41,Dividende_je_Aktie!A$3:AM$103,7,FALSE)/VLOOKUP(A41,Ergebnis_je_Aktie_verwässert!A$3:AK$103,7,FALSE))),""),"")</f>
        <v>0.56327543424317617</v>
      </c>
      <c r="H41" s="5">
        <f>IF(VLOOKUP(A41,Dividende_je_Aktie!A$3:AM$103,8,FALSE)&lt;&gt;"",IF(VLOOKUP(A41,Ergebnis_je_Aktie_verwässert!A$3:AK$103,8,FALSE)&lt;&gt;"",IF(VLOOKUP(A41,Ergebnis_je_Aktie_verwässert!A$3:AK$103,8,FALSE)&lt;=0,2,IF(VLOOKUP(A41,Dividende_je_Aktie!A$3:AM$103,8,FALSE)/VLOOKUP(A41,Ergebnis_je_Aktie_verwässert!A$3:AK$103,8,FALSE)&gt;=2,2,VLOOKUP(A41,Dividende_je_Aktie!A$3:AM$103,8,FALSE)/VLOOKUP(A41,Ergebnis_je_Aktie_verwässert!A$3:AK$103,8,FALSE))),""),"")</f>
        <v>0.57812500000000011</v>
      </c>
      <c r="I41" s="5">
        <f>IF(VLOOKUP(A41,Dividende_je_Aktie!A$3:AM$103,9,FALSE)&lt;&gt;"",IF(VLOOKUP(A41,Ergebnis_je_Aktie_verwässert!A$3:AK$103,9,FALSE)&lt;&gt;"",IF(VLOOKUP(A41,Ergebnis_je_Aktie_verwässert!A$3:AK$103,9,FALSE)&lt;=0,2,IF(VLOOKUP(A41,Dividende_je_Aktie!A$3:AM$103,9,FALSE)/VLOOKUP(A41,Ergebnis_je_Aktie_verwässert!A$3:AK$103,9,FALSE)&gt;=2,2,VLOOKUP(A41,Dividende_je_Aktie!A$3:AM$103,9,FALSE)/VLOOKUP(A41,Ergebnis_je_Aktie_verwässert!A$3:AK$103,9,FALSE))),""),"")</f>
        <v>0.89256198347107452</v>
      </c>
      <c r="J41" s="5">
        <f>IF(VLOOKUP(A41,Dividende_je_Aktie!A$3:AM$103,10,FALSE)&lt;&gt;"",IF(VLOOKUP(A41,Ergebnis_je_Aktie_verwässert!A$3:AK$103,10,FALSE)&lt;&gt;"",IF(VLOOKUP(A41,Ergebnis_je_Aktie_verwässert!A$3:AK$103,10,FALSE)&lt;=0,2,IF(VLOOKUP(A41,Dividende_je_Aktie!A$3:AM$103,10,FALSE)/VLOOKUP(A41,Ergebnis_je_Aktie_verwässert!A$3:AK$103,10,FALSE)&gt;=2,2,VLOOKUP(A41,Dividende_je_Aktie!A$3:AM$103,10,FALSE)/VLOOKUP(A41,Ergebnis_je_Aktie_verwässert!A$3:AK$103,10,FALSE))),""),"")</f>
        <v>0.52249999999999996</v>
      </c>
      <c r="K41" s="5">
        <f>IF(VLOOKUP(A41,Dividende_je_Aktie!A$3:AM$103,11,FALSE)&lt;&gt;"",IF(VLOOKUP(A41,Ergebnis_je_Aktie_verwässert!A$3:AK$103,11,FALSE)&lt;&gt;"",IF(VLOOKUP(A41,Ergebnis_je_Aktie_verwässert!A$3:AK$103,11,FALSE)&lt;=0,2,IF(VLOOKUP(A41,Dividende_je_Aktie!A$3:AM$103,11,FALSE)/VLOOKUP(A41,Ergebnis_je_Aktie_verwässert!A$3:AK$103,11,FALSE)&gt;=2,2,VLOOKUP(A41,Dividende_je_Aktie!A$3:AM$103,11,FALSE)/VLOOKUP(A41,Ergebnis_je_Aktie_verwässert!A$3:AK$103,11,FALSE))),""),"")</f>
        <v>0.90624999999999978</v>
      </c>
      <c r="L41" s="5">
        <f>IF(VLOOKUP(A41,Dividende_je_Aktie!A$3:AM$103,12,FALSE)&lt;&gt;"",IF(VLOOKUP(A41,Ergebnis_je_Aktie_verwässert!A$3:AK$103,12,FALSE)&lt;&gt;"",IF(VLOOKUP(A41,Ergebnis_je_Aktie_verwässert!A$3:AK$103,12,FALSE)&lt;=0,2,IF(VLOOKUP(A41,Dividende_je_Aktie!A$3:AM$103,12,FALSE)/VLOOKUP(A41,Ergebnis_je_Aktie_verwässert!A$3:AK$103,12,FALSE)&gt;=2,2,VLOOKUP(A41,Dividende_je_Aktie!A$3:AM$103,12,FALSE)/VLOOKUP(A41,Ergebnis_je_Aktie_verwässert!A$3:AK$103,12,FALSE))),""),"")</f>
        <v>0.92093023255813955</v>
      </c>
      <c r="M41" s="5">
        <f>IF(VLOOKUP(A41,Dividende_je_Aktie!A$3:AM$103,13,FALSE)&lt;&gt;"",IF(VLOOKUP(A41,Ergebnis_je_Aktie_verwässert!A$3:AK$103,13,FALSE)&lt;&gt;"",IF(VLOOKUP(A41,Ergebnis_je_Aktie_verwässert!A$3:AK$103,13,FALSE)&lt;=0,2,IF(VLOOKUP(A41,Dividende_je_Aktie!A$3:AM$103,13,FALSE)/VLOOKUP(A41,Ergebnis_je_Aktie_verwässert!A$3:AK$103,13,FALSE)&gt;=2,2,VLOOKUP(A41,Dividende_je_Aktie!A$3:AM$103,13,FALSE)/VLOOKUP(A41,Ergebnis_je_Aktie_verwässert!A$3:AK$103,13,FALSE))),""),"")</f>
        <v>0.8772727272727272</v>
      </c>
      <c r="N41" s="5">
        <f>IF(VLOOKUP(A41,Dividende_je_Aktie!A$3:AM$103,14,FALSE)&lt;&gt;"",IF(VLOOKUP(A41,Ergebnis_je_Aktie_verwässert!A$3:AK$103,14,FALSE)&lt;&gt;"",IF(VLOOKUP(A41,Ergebnis_je_Aktie_verwässert!A$3:AK$103,14,FALSE)&lt;=0,2,IF(VLOOKUP(A41,Dividende_je_Aktie!A$3:AM$103,14,FALSE)/VLOOKUP(A41,Ergebnis_je_Aktie_verwässert!A$3:AK$103,14,FALSE)&gt;=2,2,VLOOKUP(A41,Dividende_je_Aktie!A$3:AM$103,14,FALSE)/VLOOKUP(A41,Ergebnis_je_Aktie_verwässert!A$3:AK$103,14,FALSE))),""),"")</f>
        <v>0.77916666666666679</v>
      </c>
      <c r="O41" s="5">
        <f>IF(VLOOKUP(A41,Dividende_je_Aktie!A$3:AM$103,15,FALSE)&lt;&gt;"",IF(VLOOKUP(A41,Ergebnis_je_Aktie_verwässert!A$3:AK$103,15,FALSE)&lt;&gt;"",IF(VLOOKUP(A41,Ergebnis_je_Aktie_verwässert!A$3:AK$103,15,FALSE)&lt;=0,2,IF(VLOOKUP(A41,Dividende_je_Aktie!A$3:AM$103,15,FALSE)/VLOOKUP(A41,Ergebnis_je_Aktie_verwässert!A$3:AK$103,15,FALSE)&gt;=2,2,VLOOKUP(A41,Dividende_je_Aktie!A$3:AM$103,15,FALSE)/VLOOKUP(A41,Ergebnis_je_Aktie_verwässert!A$3:AK$103,15,FALSE))),""),"")</f>
        <v>0.78761061946902666</v>
      </c>
      <c r="P41" s="5">
        <f>IF(VLOOKUP(A41,Dividende_je_Aktie!A$3:AM$103,16,FALSE)&lt;&gt;"",IF(VLOOKUP(A41,Ergebnis_je_Aktie_verwässert!A$3:AK$103,16,FALSE)&lt;&gt;"",IF(VLOOKUP(A41,Ergebnis_je_Aktie_verwässert!A$3:AK$103,16,FALSE)&lt;=0,2,IF(VLOOKUP(A41,Dividende_je_Aktie!A$3:AM$103,16,FALSE)/VLOOKUP(A41,Ergebnis_je_Aktie_verwässert!A$3:AK$103,16,FALSE)&gt;=2,2,VLOOKUP(A41,Dividende_je_Aktie!A$3:AM$103,16,FALSE)/VLOOKUP(A41,Ergebnis_je_Aktie_verwässert!A$3:AK$103,16,FALSE))),""),"")</f>
        <v>0.87894736842105259</v>
      </c>
      <c r="Q41" s="5">
        <f>IF(VLOOKUP(A41,Dividende_je_Aktie!A$3:AM$103,17,FALSE)&lt;&gt;"",IF(VLOOKUP(A41,Ergebnis_je_Aktie_verwässert!A$3:AK$103,17,FALSE)&lt;&gt;"",IF(VLOOKUP(A41,Ergebnis_je_Aktie_verwässert!A$3:AK$103,17,FALSE)&lt;=0,2,IF(VLOOKUP(A41,Dividende_je_Aktie!A$3:AM$103,17,FALSE)/VLOOKUP(A41,Ergebnis_je_Aktie_verwässert!A$3:AK$103,17,FALSE)&gt;=2,2,VLOOKUP(A41,Dividende_je_Aktie!A$3:AM$103,17,FALSE)/VLOOKUP(A41,Ergebnis_je_Aktie_verwässert!A$3:AK$103,17,FALSE))),""),"")</f>
        <v>0.75348837209302333</v>
      </c>
      <c r="R41" s="5">
        <f>IF(VLOOKUP(A41,Dividende_je_Aktie!A$3:AM$103,18,FALSE)&lt;&gt;"",IF(VLOOKUP(A41,Ergebnis_je_Aktie_verwässert!A$3:AK$103,18,FALSE)&lt;&gt;"",IF(VLOOKUP(A41,Ergebnis_je_Aktie_verwässert!A$3:AK$103,18,FALSE)&lt;=0,2,IF(VLOOKUP(A41,Dividende_je_Aktie!A$3:AM$103,18,FALSE)/VLOOKUP(A41,Ergebnis_je_Aktie_verwässert!A$3:AK$103,18,FALSE)&gt;=2,2,VLOOKUP(A41,Dividende_je_Aktie!A$3:AM$103,18,FALSE)/VLOOKUP(A41,Ergebnis_je_Aktie_verwässert!A$3:AK$103,18,FALSE))),""),"")</f>
        <v>0.61132075471698122</v>
      </c>
      <c r="S41" s="10">
        <f t="shared" si="6"/>
        <v>0.74099191861879987</v>
      </c>
      <c r="T41" s="4">
        <f t="shared" ca="1" si="7"/>
        <v>0</v>
      </c>
      <c r="U41" s="4">
        <f t="shared" ca="1" si="8"/>
        <v>122</v>
      </c>
      <c r="V41" s="4">
        <f t="shared" ca="1" si="9"/>
        <v>238</v>
      </c>
      <c r="W41" s="10">
        <f t="shared" ca="1" si="10"/>
        <v>0.5730926471601876</v>
      </c>
      <c r="X41" s="5">
        <f t="shared" ca="1" si="11"/>
        <v>-0.22658718299057101</v>
      </c>
    </row>
    <row r="42" spans="1:24" x14ac:dyDescent="0.25">
      <c r="A42" t="s">
        <v>74</v>
      </c>
      <c r="B42" t="s">
        <v>75</v>
      </c>
      <c r="C42" s="56">
        <v>31</v>
      </c>
      <c r="D42" s="56">
        <v>1</v>
      </c>
      <c r="E42" s="56">
        <v>2015</v>
      </c>
      <c r="F42" s="5">
        <f>IF(VLOOKUP(A42,Dividende_je_Aktie!A$3:AM$103,6,FALSE)&lt;&gt;"",IF(VLOOKUP(A42,Ergebnis_je_Aktie_verwässert!A$3:AK$103,6,FALSE)&lt;&gt;"",IF(VLOOKUP(A42,Ergebnis_je_Aktie_verwässert!A$3:AK$103,6,FALSE)&lt;=0,2,IF(VLOOKUP(A42,Dividende_je_Aktie!A$3:AM$103,6,FALSE)/VLOOKUP(A42,Ergebnis_je_Aktie_verwässert!A$3:AK$103,6,FALSE)&gt;=2,2,VLOOKUP(A42,Dividende_je_Aktie!A$3:AM$103,6,FALSE)/VLOOKUP(A42,Ergebnis_je_Aktie_verwässert!A$3:AK$103,6,FALSE))),""),"")</f>
        <v>0.39458413926499036</v>
      </c>
      <c r="G42" s="5">
        <f>IF(VLOOKUP(A42,Dividende_je_Aktie!A$3:AM$103,7,FALSE)&lt;&gt;"",IF(VLOOKUP(A42,Ergebnis_je_Aktie_verwässert!A$3:AK$103,7,FALSE)&lt;&gt;"",IF(VLOOKUP(A42,Ergebnis_je_Aktie_verwässert!A$3:AK$103,7,FALSE)&lt;=0,2,IF(VLOOKUP(A42,Dividende_je_Aktie!A$3:AM$103,7,FALSE)/VLOOKUP(A42,Ergebnis_je_Aktie_verwässert!A$3:AK$103,7,FALSE)&gt;=2,2,VLOOKUP(A42,Dividende_je_Aktie!A$3:AM$103,7,FALSE)/VLOOKUP(A42,Ergebnis_je_Aktie_verwässert!A$3:AK$103,7,FALSE))),""),"")</f>
        <v>0.40368852459016391</v>
      </c>
      <c r="H42" s="5">
        <f>IF(VLOOKUP(A42,Dividende_je_Aktie!A$3:AM$103,8,FALSE)&lt;&gt;"",IF(VLOOKUP(A42,Ergebnis_je_Aktie_verwässert!A$3:AK$103,8,FALSE)&lt;&gt;"",IF(VLOOKUP(A42,Ergebnis_je_Aktie_verwässert!A$3:AK$103,8,FALSE)&lt;=0,2,IF(VLOOKUP(A42,Dividende_je_Aktie!A$3:AM$103,8,FALSE)/VLOOKUP(A42,Ergebnis_je_Aktie_verwässert!A$3:AK$103,8,FALSE)&gt;=2,2,VLOOKUP(A42,Dividende_je_Aktie!A$3:AM$103,8,FALSE)/VLOOKUP(A42,Ergebnis_je_Aktie_verwässert!A$3:AK$103,8,FALSE))),""),"")</f>
        <v>0.3801980198019802</v>
      </c>
      <c r="I42" s="5">
        <f>IF(VLOOKUP(A42,Dividende_je_Aktie!A$3:AM$103,9,FALSE)&lt;&gt;"",IF(VLOOKUP(A42,Ergebnis_je_Aktie_verwässert!A$3:AK$103,9,FALSE)&lt;&gt;"",IF(VLOOKUP(A42,Ergebnis_je_Aktie_verwässert!A$3:AK$103,9,FALSE)&lt;=0,2,IF(VLOOKUP(A42,Dividende_je_Aktie!A$3:AM$103,9,FALSE)/VLOOKUP(A42,Ergebnis_je_Aktie_verwässert!A$3:AK$103,9,FALSE)&gt;=2,2,VLOOKUP(A42,Dividende_je_Aktie!A$3:AM$103,9,FALSE)/VLOOKUP(A42,Ergebnis_je_Aktie_verwässert!A$3:AK$103,9,FALSE))),""),"")</f>
        <v>0.38524590163934425</v>
      </c>
      <c r="J42" s="5">
        <f>IF(VLOOKUP(A42,Dividende_je_Aktie!A$3:AM$103,10,FALSE)&lt;&gt;"",IF(VLOOKUP(A42,Ergebnis_je_Aktie_verwässert!A$3:AK$103,10,FALSE)&lt;&gt;"",IF(VLOOKUP(A42,Ergebnis_je_Aktie_verwässert!A$3:AK$103,10,FALSE)&lt;=0,2,IF(VLOOKUP(A42,Dividende_je_Aktie!A$3:AM$103,10,FALSE)/VLOOKUP(A42,Ergebnis_je_Aktie_verwässert!A$3:AK$103,10,FALSE)&gt;=2,2,VLOOKUP(A42,Dividende_je_Aktie!A$3:AM$103,10,FALSE)/VLOOKUP(A42,Ergebnis_je_Aktie_verwässert!A$3:AK$103,10,FALSE))),""),"")</f>
        <v>0.31673306772908372</v>
      </c>
      <c r="K42" s="5">
        <f>IF(VLOOKUP(A42,Dividende_je_Aktie!A$3:AM$103,11,FALSE)&lt;&gt;"",IF(VLOOKUP(A42,Ergebnis_je_Aktie_verwässert!A$3:AK$103,11,FALSE)&lt;&gt;"",IF(VLOOKUP(A42,Ergebnis_je_Aktie_verwässert!A$3:AK$103,11,FALSE)&lt;=0,2,IF(VLOOKUP(A42,Dividende_je_Aktie!A$3:AM$103,11,FALSE)/VLOOKUP(A42,Ergebnis_je_Aktie_verwässert!A$3:AK$103,11,FALSE)&gt;=2,2,VLOOKUP(A42,Dividende_je_Aktie!A$3:AM$103,11,FALSE)/VLOOKUP(A42,Ergebnis_je_Aktie_verwässert!A$3:AK$103,11,FALSE))),""),"")</f>
        <v>0.32300884955752213</v>
      </c>
      <c r="L42" s="5">
        <f>IF(VLOOKUP(A42,Dividende_je_Aktie!A$3:AM$103,12,FALSE)&lt;&gt;"",IF(VLOOKUP(A42,Ergebnis_je_Aktie_verwässert!A$3:AK$103,12,FALSE)&lt;&gt;"",IF(VLOOKUP(A42,Ergebnis_je_Aktie_verwässert!A$3:AK$103,12,FALSE)&lt;=0,2,IF(VLOOKUP(A42,Dividende_je_Aktie!A$3:AM$103,12,FALSE)/VLOOKUP(A42,Ergebnis_je_Aktie_verwässert!A$3:AK$103,12,FALSE)&gt;=2,2,VLOOKUP(A42,Dividende_je_Aktie!A$3:AM$103,12,FALSE)/VLOOKUP(A42,Ergebnis_je_Aktie_verwässert!A$3:AK$103,12,FALSE))),""),"")</f>
        <v>0.27069351230425054</v>
      </c>
      <c r="M42" s="5">
        <f>IF(VLOOKUP(A42,Dividende_je_Aktie!A$3:AM$103,13,FALSE)&lt;&gt;"",IF(VLOOKUP(A42,Ergebnis_je_Aktie_verwässert!A$3:AK$103,13,FALSE)&lt;&gt;"",IF(VLOOKUP(A42,Ergebnis_je_Aktie_verwässert!A$3:AK$103,13,FALSE)&lt;=0,2,IF(VLOOKUP(A42,Dividende_je_Aktie!A$3:AM$103,13,FALSE)/VLOOKUP(A42,Ergebnis_je_Aktie_verwässert!A$3:AK$103,13,FALSE)&gt;=2,2,VLOOKUP(A42,Dividende_je_Aktie!A$3:AM$103,13,FALSE)/VLOOKUP(A42,Ergebnis_je_Aktie_verwässert!A$3:AK$103,13,FALSE))),""),"")</f>
        <v>0.29459459459459458</v>
      </c>
      <c r="N42" s="5">
        <f>IF(VLOOKUP(A42,Dividende_je_Aktie!A$3:AM$103,14,FALSE)&lt;&gt;"",IF(VLOOKUP(A42,Ergebnis_je_Aktie_verwässert!A$3:AK$103,14,FALSE)&lt;&gt;"",IF(VLOOKUP(A42,Ergebnis_je_Aktie_verwässert!A$3:AK$103,14,FALSE)&lt;=0,2,IF(VLOOKUP(A42,Dividende_je_Aktie!A$3:AM$103,14,FALSE)/VLOOKUP(A42,Ergebnis_je_Aktie_verwässert!A$3:AK$103,14,FALSE)&gt;=2,2,VLOOKUP(A42,Dividende_je_Aktie!A$3:AM$103,14,FALSE)/VLOOKUP(A42,Ergebnis_je_Aktie_verwässert!A$3:AK$103,14,FALSE))),""),"")</f>
        <v>0.28023598820058992</v>
      </c>
      <c r="O42" s="5">
        <f>IF(VLOOKUP(A42,Dividende_je_Aktie!A$3:AM$103,15,FALSE)&lt;&gt;"",IF(VLOOKUP(A42,Ergebnis_je_Aktie_verwässert!A$3:AK$103,15,FALSE)&lt;&gt;"",IF(VLOOKUP(A42,Ergebnis_je_Aktie_verwässert!A$3:AK$103,15,FALSE)&lt;=0,2,IF(VLOOKUP(A42,Dividende_je_Aktie!A$3:AM$103,15,FALSE)/VLOOKUP(A42,Ergebnis_je_Aktie_verwässert!A$3:AK$103,15,FALSE)&gt;=2,2,VLOOKUP(A42,Dividende_je_Aktie!A$3:AM$103,15,FALSE)/VLOOKUP(A42,Ergebnis_je_Aktie_verwässert!A$3:AK$103,15,FALSE))),""),"")</f>
        <v>0.28115015974440893</v>
      </c>
      <c r="P42" s="5">
        <f>IF(VLOOKUP(A42,Dividende_je_Aktie!A$3:AM$103,16,FALSE)&lt;&gt;"",IF(VLOOKUP(A42,Ergebnis_je_Aktie_verwässert!A$3:AK$103,16,FALSE)&lt;&gt;"",IF(VLOOKUP(A42,Ergebnis_je_Aktie_verwässert!A$3:AK$103,16,FALSE)&lt;=0,2,IF(VLOOKUP(A42,Dividende_je_Aktie!A$3:AM$103,16,FALSE)/VLOOKUP(A42,Ergebnis_je_Aktie_verwässert!A$3:AK$103,16,FALSE)&gt;=2,2,VLOOKUP(A42,Dividende_je_Aktie!A$3:AM$103,16,FALSE)/VLOOKUP(A42,Ergebnis_je_Aktie_verwässert!A$3:AK$103,16,FALSE))),""),"")</f>
        <v>0.24723247232472326</v>
      </c>
      <c r="Q42" s="5">
        <f>IF(VLOOKUP(A42,Dividende_je_Aktie!A$3:AM$103,17,FALSE)&lt;&gt;"",IF(VLOOKUP(A42,Ergebnis_je_Aktie_verwässert!A$3:AK$103,17,FALSE)&lt;&gt;"",IF(VLOOKUP(A42,Ergebnis_je_Aktie_verwässert!A$3:AK$103,17,FALSE)&lt;=0,2,IF(VLOOKUP(A42,Dividende_je_Aktie!A$3:AM$103,17,FALSE)/VLOOKUP(A42,Ergebnis_je_Aktie_verwässert!A$3:AK$103,17,FALSE)&gt;=2,2,VLOOKUP(A42,Dividende_je_Aktie!A$3:AM$103,17,FALSE)/VLOOKUP(A42,Ergebnis_je_Aktie_verwässert!A$3:AK$103,17,FALSE))),""),"")</f>
        <v>0.22388059701492535</v>
      </c>
      <c r="R42" s="5">
        <f>IF(VLOOKUP(A42,Dividende_je_Aktie!A$3:AM$103,18,FALSE)&lt;&gt;"",IF(VLOOKUP(A42,Ergebnis_je_Aktie_verwässert!A$3:AK$103,18,FALSE)&lt;&gt;"",IF(VLOOKUP(A42,Ergebnis_je_Aktie_verwässert!A$3:AK$103,18,FALSE)&lt;=0,2,IF(VLOOKUP(A42,Dividende_je_Aktie!A$3:AM$103,18,FALSE)/VLOOKUP(A42,Ergebnis_je_Aktie_verwässert!A$3:AK$103,18,FALSE)&gt;=2,2,VLOOKUP(A42,Dividende_je_Aktie!A$3:AM$103,18,FALSE)/VLOOKUP(A42,Ergebnis_je_Aktie_verwässert!A$3:AK$103,18,FALSE))),""),"")</f>
        <v>0.21576763485477177</v>
      </c>
      <c r="S42" s="10">
        <f t="shared" si="6"/>
        <v>0.30900103550933455</v>
      </c>
      <c r="T42" s="4">
        <f t="shared" ca="1" si="7"/>
        <v>92</v>
      </c>
      <c r="U42" s="4">
        <f t="shared" ca="1" si="8"/>
        <v>268</v>
      </c>
      <c r="V42" s="4">
        <f t="shared" ca="1" si="9"/>
        <v>0</v>
      </c>
      <c r="W42" s="10">
        <f t="shared" ca="1" si="10"/>
        <v>0.40136184834039734</v>
      </c>
      <c r="X42" s="5">
        <f t="shared" ca="1" si="11"/>
        <v>0.29890130522968006</v>
      </c>
    </row>
    <row r="43" spans="1:24" x14ac:dyDescent="0.25">
      <c r="A43" t="s">
        <v>76</v>
      </c>
      <c r="B43" t="s">
        <v>77</v>
      </c>
      <c r="C43" s="56">
        <v>31</v>
      </c>
      <c r="D43" s="56">
        <v>12</v>
      </c>
      <c r="E43" s="56">
        <v>2015</v>
      </c>
      <c r="F43" s="5">
        <f>IF(VLOOKUP(A43,Dividende_je_Aktie!A$3:AM$103,6,FALSE)&lt;&gt;"",IF(VLOOKUP(A43,Ergebnis_je_Aktie_verwässert!A$3:AK$103,6,FALSE)&lt;&gt;"",IF(VLOOKUP(A43,Ergebnis_je_Aktie_verwässert!A$3:AK$103,6,FALSE)&lt;=0,2,IF(VLOOKUP(A43,Dividende_je_Aktie!A$3:AM$103,6,FALSE)/VLOOKUP(A43,Ergebnis_je_Aktie_verwässert!A$3:AK$103,6,FALSE)&gt;=2,2,VLOOKUP(A43,Dividende_je_Aktie!A$3:AM$103,6,FALSE)/VLOOKUP(A43,Ergebnis_je_Aktie_verwässert!A$3:AK$103,6,FALSE))),""),"")</f>
        <v>0.68085106382978722</v>
      </c>
      <c r="G43" s="5">
        <f>IF(VLOOKUP(A43,Dividende_je_Aktie!A$3:AM$103,7,FALSE)&lt;&gt;"",IF(VLOOKUP(A43,Ergebnis_je_Aktie_verwässert!A$3:AK$103,7,FALSE)&lt;&gt;"",IF(VLOOKUP(A43,Ergebnis_je_Aktie_verwässert!A$3:AK$103,7,FALSE)&lt;=0,2,IF(VLOOKUP(A43,Dividende_je_Aktie!A$3:AM$103,7,FALSE)/VLOOKUP(A43,Ergebnis_je_Aktie_verwässert!A$3:AK$103,7,FALSE)&gt;=2,2,VLOOKUP(A43,Dividende_je_Aktie!A$3:AM$103,7,FALSE)/VLOOKUP(A43,Ergebnis_je_Aktie_verwässert!A$3:AK$103,7,FALSE))),""),"")</f>
        <v>0.65397923875432518</v>
      </c>
      <c r="H43" s="5">
        <f>IF(VLOOKUP(A43,Dividende_je_Aktie!A$3:AM$103,8,FALSE)&lt;&gt;"",IF(VLOOKUP(A43,Ergebnis_je_Aktie_verwässert!A$3:AK$103,8,FALSE)&lt;&gt;"",IF(VLOOKUP(A43,Ergebnis_je_Aktie_verwässert!A$3:AK$103,8,FALSE)&lt;=0,2,IF(VLOOKUP(A43,Dividende_je_Aktie!A$3:AM$103,8,FALSE)/VLOOKUP(A43,Ergebnis_je_Aktie_verwässert!A$3:AK$103,8,FALSE)&gt;=2,2,VLOOKUP(A43,Dividende_je_Aktie!A$3:AM$103,8,FALSE)/VLOOKUP(A43,Ergebnis_je_Aktie_verwässert!A$3:AK$103,8,FALSE))),""),"")</f>
        <v>0.63454545454545463</v>
      </c>
      <c r="I43" s="5">
        <f>IF(VLOOKUP(A43,Dividende_je_Aktie!A$3:AM$103,9,FALSE)&lt;&gt;"",IF(VLOOKUP(A43,Ergebnis_je_Aktie_verwässert!A$3:AK$103,9,FALSE)&lt;&gt;"",IF(VLOOKUP(A43,Ergebnis_je_Aktie_verwässert!A$3:AK$103,9,FALSE)&lt;=0,2,IF(VLOOKUP(A43,Dividende_je_Aktie!A$3:AM$103,9,FALSE)/VLOOKUP(A43,Ergebnis_je_Aktie_verwässert!A$3:AK$103,9,FALSE)&gt;=2,2,VLOOKUP(A43,Dividende_je_Aktie!A$3:AM$103,9,FALSE)/VLOOKUP(A43,Ergebnis_je_Aktie_verwässert!A$3:AK$103,9,FALSE))),""),"")</f>
        <v>0.54151624548736466</v>
      </c>
      <c r="J43" s="5">
        <f>IF(VLOOKUP(A43,Dividende_je_Aktie!A$3:AM$103,10,FALSE)&lt;&gt;"",IF(VLOOKUP(A43,Ergebnis_je_Aktie_verwässert!A$3:AK$103,10,FALSE)&lt;&gt;"",IF(VLOOKUP(A43,Ergebnis_je_Aktie_verwässert!A$3:AK$103,10,FALSE)&lt;=0,2,IF(VLOOKUP(A43,Dividende_je_Aktie!A$3:AM$103,10,FALSE)/VLOOKUP(A43,Ergebnis_je_Aktie_verwässert!A$3:AK$103,10,FALSE)&gt;=2,2,VLOOKUP(A43,Dividende_je_Aktie!A$3:AM$103,10,FALSE)/VLOOKUP(A43,Ergebnis_je_Aktie_verwässert!A$3:AK$103,10,FALSE))),""),"")</f>
        <v>0.41751527494908347</v>
      </c>
      <c r="K43" s="5">
        <f>IF(VLOOKUP(A43,Dividende_je_Aktie!A$3:AM$103,11,FALSE)&lt;&gt;"",IF(VLOOKUP(A43,Ergebnis_je_Aktie_verwässert!A$3:AK$103,11,FALSE)&lt;&gt;"",IF(VLOOKUP(A43,Ergebnis_je_Aktie_verwässert!A$3:AK$103,11,FALSE)&lt;=0,2,IF(VLOOKUP(A43,Dividende_je_Aktie!A$3:AM$103,11,FALSE)/VLOOKUP(A43,Ergebnis_je_Aktie_verwässert!A$3:AK$103,11,FALSE)&gt;=2,2,VLOOKUP(A43,Dividende_je_Aktie!A$3:AM$103,11,FALSE)/VLOOKUP(A43,Ergebnis_je_Aktie_verwässert!A$3:AK$103,11,FALSE))),""),"")</f>
        <v>0.50112359550561791</v>
      </c>
      <c r="L43" s="5">
        <f>IF(VLOOKUP(A43,Dividende_je_Aktie!A$3:AM$103,12,FALSE)&lt;&gt;"",IF(VLOOKUP(A43,Ergebnis_je_Aktie_verwässert!A$3:AK$103,12,FALSE)&lt;&gt;"",IF(VLOOKUP(A43,Ergebnis_je_Aktie_verwässert!A$3:AK$103,12,FALSE)&lt;=0,2,IF(VLOOKUP(A43,Dividende_je_Aktie!A$3:AM$103,12,FALSE)/VLOOKUP(A43,Ergebnis_je_Aktie_verwässert!A$3:AK$103,12,FALSE)&gt;=2,2,VLOOKUP(A43,Dividende_je_Aktie!A$3:AM$103,12,FALSE)/VLOOKUP(A43,Ergebnis_je_Aktie_verwässert!A$3:AK$103,12,FALSE))),""),"")</f>
        <v>0.4269972451790634</v>
      </c>
      <c r="M43" s="5">
        <f>IF(VLOOKUP(A43,Dividende_je_Aktie!A$3:AM$103,13,FALSE)&lt;&gt;"",IF(VLOOKUP(A43,Ergebnis_je_Aktie_verwässert!A$3:AK$103,13,FALSE)&lt;&gt;"",IF(VLOOKUP(A43,Ergebnis_je_Aktie_verwässert!A$3:AK$103,13,FALSE)&lt;=0,2,IF(VLOOKUP(A43,Dividende_je_Aktie!A$3:AM$103,13,FALSE)/VLOOKUP(A43,Ergebnis_je_Aktie_verwässert!A$3:AK$103,13,FALSE)&gt;=2,2,VLOOKUP(A43,Dividende_je_Aktie!A$3:AM$103,13,FALSE)/VLOOKUP(A43,Ergebnis_je_Aktie_verwässert!A$3:AK$103,13,FALSE))),""),"")</f>
        <v>0.42800000000000005</v>
      </c>
      <c r="N43" s="5">
        <f>IF(VLOOKUP(A43,Dividende_je_Aktie!A$3:AM$103,14,FALSE)&lt;&gt;"",IF(VLOOKUP(A43,Ergebnis_je_Aktie_verwässert!A$3:AK$103,14,FALSE)&lt;&gt;"",IF(VLOOKUP(A43,Ergebnis_je_Aktie_verwässert!A$3:AK$103,14,FALSE)&lt;=0,2,IF(VLOOKUP(A43,Dividende_je_Aktie!A$3:AM$103,14,FALSE)/VLOOKUP(A43,Ergebnis_je_Aktie_verwässert!A$3:AK$103,14,FALSE)&gt;=2,2,VLOOKUP(A43,Dividende_je_Aktie!A$3:AM$103,14,FALSE)/VLOOKUP(A43,Ergebnis_je_Aktie_verwässert!A$3:AK$103,14,FALSE))),""),"")</f>
        <v>0.18965517241379312</v>
      </c>
      <c r="O43" s="5">
        <f>IF(VLOOKUP(A43,Dividende_je_Aktie!A$3:AM$103,15,FALSE)&lt;&gt;"",IF(VLOOKUP(A43,Ergebnis_je_Aktie_verwässert!A$3:AK$103,15,FALSE)&lt;&gt;"",IF(VLOOKUP(A43,Ergebnis_je_Aktie_verwässert!A$3:AK$103,15,FALSE)&lt;=0,2,IF(VLOOKUP(A43,Dividende_je_Aktie!A$3:AM$103,15,FALSE)/VLOOKUP(A43,Ergebnis_je_Aktie_verwässert!A$3:AK$103,15,FALSE)&gt;=2,2,VLOOKUP(A43,Dividende_je_Aktie!A$3:AM$103,15,FALSE)/VLOOKUP(A43,Ergebnis_je_Aktie_verwässert!A$3:AK$103,15,FALSE))),""),"")</f>
        <v>0.18134715025906736</v>
      </c>
      <c r="P43" s="5" t="str">
        <f>IF(VLOOKUP(A43,Dividende_je_Aktie!A$3:AM$103,16,FALSE)&lt;&gt;"",IF(VLOOKUP(A43,Ergebnis_je_Aktie_verwässert!A$3:AK$103,16,FALSE)&lt;&gt;"",IF(VLOOKUP(A43,Ergebnis_je_Aktie_verwässert!A$3:AK$103,16,FALSE)&lt;=0,2,IF(VLOOKUP(A43,Dividende_je_Aktie!A$3:AM$103,16,FALSE)/VLOOKUP(A43,Ergebnis_je_Aktie_verwässert!A$3:AK$103,16,FALSE)&gt;=2,2,VLOOKUP(A43,Dividende_je_Aktie!A$3:AM$103,16,FALSE)/VLOOKUP(A43,Ergebnis_je_Aktie_verwässert!A$3:AK$103,16,FALSE))),""),"")</f>
        <v/>
      </c>
      <c r="Q43" s="5" t="str">
        <f>IF(VLOOKUP(A43,Dividende_je_Aktie!A$3:AM$103,17,FALSE)&lt;&gt;"",IF(VLOOKUP(A43,Ergebnis_je_Aktie_verwässert!A$3:AK$103,17,FALSE)&lt;&gt;"",IF(VLOOKUP(A43,Ergebnis_je_Aktie_verwässert!A$3:AK$103,17,FALSE)&lt;=0,2,IF(VLOOKUP(A43,Dividende_je_Aktie!A$3:AM$103,17,FALSE)/VLOOKUP(A43,Ergebnis_je_Aktie_verwässert!A$3:AK$103,17,FALSE)&gt;=2,2,VLOOKUP(A43,Dividende_je_Aktie!A$3:AM$103,17,FALSE)/VLOOKUP(A43,Ergebnis_je_Aktie_verwässert!A$3:AK$103,17,FALSE))),""),"")</f>
        <v/>
      </c>
      <c r="R43" s="5" t="str">
        <f>IF(VLOOKUP(A43,Dividende_je_Aktie!A$3:AM$103,18,FALSE)&lt;&gt;"",IF(VLOOKUP(A43,Ergebnis_je_Aktie_verwässert!A$3:AK$103,18,FALSE)&lt;&gt;"",IF(VLOOKUP(A43,Ergebnis_je_Aktie_verwässert!A$3:AK$103,18,FALSE)&lt;=0,2,IF(VLOOKUP(A43,Dividende_je_Aktie!A$3:AM$103,18,FALSE)/VLOOKUP(A43,Ergebnis_je_Aktie_verwässert!A$3:AK$103,18,FALSE)&gt;=2,2,VLOOKUP(A43,Dividende_je_Aktie!A$3:AM$103,18,FALSE)/VLOOKUP(A43,Ergebnis_je_Aktie_verwässert!A$3:AK$103,18,FALSE))),""),"")</f>
        <v/>
      </c>
      <c r="S43" s="10">
        <f t="shared" si="6"/>
        <v>0.46555304409235559</v>
      </c>
      <c r="T43" s="4">
        <f t="shared" ca="1" si="7"/>
        <v>0</v>
      </c>
      <c r="U43" s="4">
        <f t="shared" ca="1" si="8"/>
        <v>122</v>
      </c>
      <c r="V43" s="4">
        <f t="shared" ca="1" si="9"/>
        <v>238</v>
      </c>
      <c r="W43" s="10">
        <f t="shared" ca="1" si="10"/>
        <v>0.64113134808290528</v>
      </c>
      <c r="X43" s="5">
        <f t="shared" ca="1" si="11"/>
        <v>0.37713920297279535</v>
      </c>
    </row>
    <row r="44" spans="1:24" x14ac:dyDescent="0.25">
      <c r="A44" t="s">
        <v>78</v>
      </c>
      <c r="B44" t="s">
        <v>79</v>
      </c>
      <c r="C44" s="56">
        <v>31</v>
      </c>
      <c r="D44" s="56">
        <v>12</v>
      </c>
      <c r="E44" s="56">
        <v>2015</v>
      </c>
      <c r="F44" s="5">
        <f>IF(VLOOKUP(A44,Dividende_je_Aktie!A$3:AM$103,6,FALSE)&lt;&gt;"",IF(VLOOKUP(A44,Ergebnis_je_Aktie_verwässert!A$3:AK$103,6,FALSE)&lt;&gt;"",IF(VLOOKUP(A44,Ergebnis_je_Aktie_verwässert!A$3:AK$103,6,FALSE)&lt;=0,2,IF(VLOOKUP(A44,Dividende_je_Aktie!A$3:AM$103,6,FALSE)/VLOOKUP(A44,Ergebnis_je_Aktie_verwässert!A$3:AK$103,6,FALSE)&gt;=2,2,VLOOKUP(A44,Dividende_je_Aktie!A$3:AM$103,6,FALSE)/VLOOKUP(A44,Ergebnis_je_Aktie_verwässert!A$3:AK$103,6,FALSE))),""),"")</f>
        <v>0.52171637885923605</v>
      </c>
      <c r="G44" s="5">
        <f>IF(VLOOKUP(A44,Dividende_je_Aktie!A$3:AM$103,7,FALSE)&lt;&gt;"",IF(VLOOKUP(A44,Ergebnis_je_Aktie_verwässert!A$3:AK$103,7,FALSE)&lt;&gt;"",IF(VLOOKUP(A44,Ergebnis_je_Aktie_verwässert!A$3:AK$103,7,FALSE)&lt;=0,2,IF(VLOOKUP(A44,Dividende_je_Aktie!A$3:AM$103,7,FALSE)/VLOOKUP(A44,Ergebnis_je_Aktie_verwässert!A$3:AK$103,7,FALSE)&gt;=2,2,VLOOKUP(A44,Dividende_je_Aktie!A$3:AM$103,7,FALSE)/VLOOKUP(A44,Ergebnis_je_Aktie_verwässert!A$3:AK$103,7,FALSE))),""),"")</f>
        <v>0.51080773606370877</v>
      </c>
      <c r="H44" s="5">
        <f>IF(VLOOKUP(A44,Dividende_je_Aktie!A$3:AM$103,8,FALSE)&lt;&gt;"",IF(VLOOKUP(A44,Ergebnis_je_Aktie_verwässert!A$3:AK$103,8,FALSE)&lt;&gt;"",IF(VLOOKUP(A44,Ergebnis_je_Aktie_verwässert!A$3:AK$103,8,FALSE)&lt;=0,2,IF(VLOOKUP(A44,Dividende_je_Aktie!A$3:AM$103,8,FALSE)/VLOOKUP(A44,Ergebnis_je_Aktie_verwässert!A$3:AK$103,8,FALSE)&gt;=2,2,VLOOKUP(A44,Dividende_je_Aktie!A$3:AM$103,8,FALSE)/VLOOKUP(A44,Ergebnis_je_Aktie_verwässert!A$3:AK$103,8,FALSE))),""),"")</f>
        <v>0.50409577819785756</v>
      </c>
      <c r="I44" s="5">
        <f>IF(VLOOKUP(A44,Dividende_je_Aktie!A$3:AM$103,9,FALSE)&lt;&gt;"",IF(VLOOKUP(A44,Ergebnis_je_Aktie_verwässert!A$3:AK$103,9,FALSE)&lt;&gt;"",IF(VLOOKUP(A44,Ergebnis_je_Aktie_verwässert!A$3:AK$103,9,FALSE)&lt;=0,2,IF(VLOOKUP(A44,Dividende_je_Aktie!A$3:AM$103,9,FALSE)/VLOOKUP(A44,Ergebnis_je_Aktie_verwässert!A$3:AK$103,9,FALSE)&gt;=2,2,VLOOKUP(A44,Dividende_je_Aktie!A$3:AM$103,9,FALSE)/VLOOKUP(A44,Ergebnis_je_Aktie_verwässert!A$3:AK$103,9,FALSE))),""),"")</f>
        <v>0.49657534246575341</v>
      </c>
      <c r="J44" s="5">
        <f>IF(VLOOKUP(A44,Dividende_je_Aktie!A$3:AM$103,10,FALSE)&lt;&gt;"",IF(VLOOKUP(A44,Ergebnis_je_Aktie_verwässert!A$3:AK$103,10,FALSE)&lt;&gt;"",IF(VLOOKUP(A44,Ergebnis_je_Aktie_verwässert!A$3:AK$103,10,FALSE)&lt;=0,2,IF(VLOOKUP(A44,Dividende_je_Aktie!A$3:AM$103,10,FALSE)/VLOOKUP(A44,Ergebnis_je_Aktie_verwässert!A$3:AK$103,10,FALSE)&gt;=2,2,VLOOKUP(A44,Dividende_je_Aktie!A$3:AM$103,10,FALSE)/VLOOKUP(A44,Ergebnis_je_Aktie_verwässert!A$3:AK$103,10,FALSE))),""),"")</f>
        <v>0.49467275494672752</v>
      </c>
      <c r="K44" s="5">
        <f>IF(VLOOKUP(A44,Dividende_je_Aktie!A$3:AM$103,11,FALSE)&lt;&gt;"",IF(VLOOKUP(A44,Ergebnis_je_Aktie_verwässert!A$3:AK$103,11,FALSE)&lt;&gt;"",IF(VLOOKUP(A44,Ergebnis_je_Aktie_verwässert!A$3:AK$103,11,FALSE)&lt;=0,2,IF(VLOOKUP(A44,Dividende_je_Aktie!A$3:AM$103,11,FALSE)/VLOOKUP(A44,Ergebnis_je_Aktie_verwässert!A$3:AK$103,11,FALSE)&gt;=2,2,VLOOKUP(A44,Dividende_je_Aktie!A$3:AM$103,11,FALSE)/VLOOKUP(A44,Ergebnis_je_Aktie_verwässert!A$3:AK$103,11,FALSE))),""),"")</f>
        <v>0.48441449031171019</v>
      </c>
      <c r="L44" s="5">
        <f>IF(VLOOKUP(A44,Dividende_je_Aktie!A$3:AM$103,12,FALSE)&lt;&gt;"",IF(VLOOKUP(A44,Ergebnis_je_Aktie_verwässert!A$3:AK$103,12,FALSE)&lt;&gt;"",IF(VLOOKUP(A44,Ergebnis_je_Aktie_verwässert!A$3:AK$103,12,FALSE)&lt;=0,2,IF(VLOOKUP(A44,Dividende_je_Aktie!A$3:AM$103,12,FALSE)/VLOOKUP(A44,Ergebnis_je_Aktie_verwässert!A$3:AK$103,12,FALSE)&gt;=2,2,VLOOKUP(A44,Dividende_je_Aktie!A$3:AM$103,12,FALSE)/VLOOKUP(A44,Ergebnis_je_Aktie_verwässert!A$3:AK$103,12,FALSE))),""),"")</f>
        <v>0.46382189239332094</v>
      </c>
      <c r="M44" s="5">
        <f>IF(VLOOKUP(A44,Dividende_je_Aktie!A$3:AM$103,13,FALSE)&lt;&gt;"",IF(VLOOKUP(A44,Ergebnis_je_Aktie_verwässert!A$3:AK$103,13,FALSE)&lt;&gt;"",IF(VLOOKUP(A44,Ergebnis_je_Aktie_verwässert!A$3:AK$103,13,FALSE)&lt;=0,2,IF(VLOOKUP(A44,Dividende_je_Aktie!A$3:AM$103,13,FALSE)/VLOOKUP(A44,Ergebnis_je_Aktie_verwässert!A$3:AK$103,13,FALSE)&gt;=2,2,VLOOKUP(A44,Dividende_je_Aktie!A$3:AM$103,13,FALSE)/VLOOKUP(A44,Ergebnis_je_Aktie_verwässert!A$3:AK$103,13,FALSE))),""),"")</f>
        <v>0.42654028436018959</v>
      </c>
      <c r="N44" s="5">
        <f>IF(VLOOKUP(A44,Dividende_je_Aktie!A$3:AM$103,14,FALSE)&lt;&gt;"",IF(VLOOKUP(A44,Ergebnis_je_Aktie_verwässert!A$3:AK$103,14,FALSE)&lt;&gt;"",IF(VLOOKUP(A44,Ergebnis_je_Aktie_verwässert!A$3:AK$103,14,FALSE)&lt;=0,2,IF(VLOOKUP(A44,Dividende_je_Aktie!A$3:AM$103,14,FALSE)/VLOOKUP(A44,Ergebnis_je_Aktie_verwässert!A$3:AK$103,14,FALSE)&gt;=2,2,VLOOKUP(A44,Dividende_je_Aktie!A$3:AM$103,14,FALSE)/VLOOKUP(A44,Ergebnis_je_Aktie_verwässert!A$3:AK$103,14,FALSE))),""),"")</f>
        <v>0.47009049241979084</v>
      </c>
      <c r="O44" s="5">
        <f>IF(VLOOKUP(A44,Dividende_je_Aktie!A$3:AM$103,15,FALSE)&lt;&gt;"",IF(VLOOKUP(A44,Ergebnis_je_Aktie_verwässert!A$3:AK$103,15,FALSE)&lt;&gt;"",IF(VLOOKUP(A44,Ergebnis_je_Aktie_verwässert!A$3:AK$103,15,FALSE)&lt;=0,2,IF(VLOOKUP(A44,Dividende_je_Aktie!A$3:AM$103,15,FALSE)/VLOOKUP(A44,Ergebnis_je_Aktie_verwässert!A$3:AK$103,15,FALSE)&gt;=2,2,VLOOKUP(A44,Dividende_je_Aktie!A$3:AM$103,15,FALSE)/VLOOKUP(A44,Ergebnis_je_Aktie_verwässert!A$3:AK$103,15,FALSE))),""),"")</f>
        <v>0.31578947368421051</v>
      </c>
      <c r="P44" s="5">
        <f>IF(VLOOKUP(A44,Dividende_je_Aktie!A$3:AM$103,16,FALSE)&lt;&gt;"",IF(VLOOKUP(A44,Ergebnis_je_Aktie_verwässert!A$3:AK$103,16,FALSE)&lt;&gt;"",IF(VLOOKUP(A44,Ergebnis_je_Aktie_verwässert!A$3:AK$103,16,FALSE)&lt;=0,2,IF(VLOOKUP(A44,Dividende_je_Aktie!A$3:AM$103,16,FALSE)/VLOOKUP(A44,Ergebnis_je_Aktie_verwässert!A$3:AK$103,16,FALSE)&gt;=2,2,VLOOKUP(A44,Dividende_je_Aktie!A$3:AM$103,16,FALSE)/VLOOKUP(A44,Ergebnis_je_Aktie_verwässert!A$3:AK$103,16,FALSE))),""),"")</f>
        <v>0.30247479376718606</v>
      </c>
      <c r="Q44" s="5">
        <f>IF(VLOOKUP(A44,Dividende_je_Aktie!A$3:AM$103,17,FALSE)&lt;&gt;"",IF(VLOOKUP(A44,Ergebnis_je_Aktie_verwässert!A$3:AK$103,17,FALSE)&lt;&gt;"",IF(VLOOKUP(A44,Ergebnis_je_Aktie_verwässert!A$3:AK$103,17,FALSE)&lt;=0,2,IF(VLOOKUP(A44,Dividende_je_Aktie!A$3:AM$103,17,FALSE)/VLOOKUP(A44,Ergebnis_je_Aktie_verwässert!A$3:AK$103,17,FALSE)&gt;=2,2,VLOOKUP(A44,Dividende_je_Aktie!A$3:AM$103,17,FALSE)/VLOOKUP(A44,Ergebnis_je_Aktie_verwässert!A$3:AK$103,17,FALSE))),""),"")</f>
        <v>0.29852366478506293</v>
      </c>
      <c r="R44" s="5">
        <f>IF(VLOOKUP(A44,Dividende_je_Aktie!A$3:AM$103,18,FALSE)&lt;&gt;"",IF(VLOOKUP(A44,Ergebnis_je_Aktie_verwässert!A$3:AK$103,18,FALSE)&lt;&gt;"",IF(VLOOKUP(A44,Ergebnis_je_Aktie_verwässert!A$3:AK$103,18,FALSE)&lt;=0,2,IF(VLOOKUP(A44,Dividende_je_Aktie!A$3:AM$103,18,FALSE)/VLOOKUP(A44,Ergebnis_je_Aktie_verwässert!A$3:AK$103,18,FALSE)&gt;=2,2,VLOOKUP(A44,Dividende_je_Aktie!A$3:AM$103,18,FALSE)/VLOOKUP(A44,Ergebnis_je_Aktie_verwässert!A$3:AK$103,18,FALSE))),""),"")</f>
        <v>0.29289247591772977</v>
      </c>
      <c r="S44" s="10">
        <f t="shared" si="6"/>
        <v>0.42941658139788341</v>
      </c>
      <c r="T44" s="4">
        <f t="shared" ca="1" si="7"/>
        <v>0</v>
      </c>
      <c r="U44" s="4">
        <f t="shared" ca="1" si="8"/>
        <v>122</v>
      </c>
      <c r="V44" s="4">
        <f t="shared" ca="1" si="9"/>
        <v>238</v>
      </c>
      <c r="W44" s="10">
        <f t="shared" ca="1" si="10"/>
        <v>0.50637038614128493</v>
      </c>
      <c r="X44" s="5">
        <f t="shared" ca="1" si="11"/>
        <v>0.17920548035870709</v>
      </c>
    </row>
    <row r="45" spans="1:24" x14ac:dyDescent="0.25">
      <c r="A45" t="s">
        <v>81</v>
      </c>
      <c r="B45" t="s">
        <v>82</v>
      </c>
      <c r="C45" s="56">
        <v>31</v>
      </c>
      <c r="D45" s="56">
        <v>12</v>
      </c>
      <c r="E45" s="56">
        <v>2015</v>
      </c>
      <c r="F45" s="5">
        <f>IF(VLOOKUP(A45,Dividende_je_Aktie!A$3:AM$103,6,FALSE)&lt;&gt;"",IF(VLOOKUP(A45,Ergebnis_je_Aktie_verwässert!A$3:AK$103,6,FALSE)&lt;&gt;"",IF(VLOOKUP(A45,Ergebnis_je_Aktie_verwässert!A$3:AK$103,6,FALSE)&lt;=0,2,IF(VLOOKUP(A45,Dividende_je_Aktie!A$3:AM$103,6,FALSE)/VLOOKUP(A45,Ergebnis_je_Aktie_verwässert!A$3:AK$103,6,FALSE)&gt;=2,2,VLOOKUP(A45,Dividende_je_Aktie!A$3:AM$103,6,FALSE)/VLOOKUP(A45,Ergebnis_je_Aktie_verwässert!A$3:AK$103,6,FALSE))),""),"")</f>
        <v>0.31294964028776978</v>
      </c>
      <c r="G45" s="5">
        <f>IF(VLOOKUP(A45,Dividende_je_Aktie!A$3:AM$103,7,FALSE)&lt;&gt;"",IF(VLOOKUP(A45,Ergebnis_je_Aktie_verwässert!A$3:AK$103,7,FALSE)&lt;&gt;"",IF(VLOOKUP(A45,Ergebnis_je_Aktie_verwässert!A$3:AK$103,7,FALSE)&lt;=0,2,IF(VLOOKUP(A45,Dividende_je_Aktie!A$3:AM$103,7,FALSE)/VLOOKUP(A45,Ergebnis_je_Aktie_verwässert!A$3:AK$103,7,FALSE)&gt;=2,2,VLOOKUP(A45,Dividende_je_Aktie!A$3:AM$103,7,FALSE)/VLOOKUP(A45,Ergebnis_je_Aktie_verwässert!A$3:AK$103,7,FALSE))),""),"")</f>
        <v>0.31673306772908372</v>
      </c>
      <c r="H45" s="5">
        <f>IF(VLOOKUP(A45,Dividende_je_Aktie!A$3:AM$103,8,FALSE)&lt;&gt;"",IF(VLOOKUP(A45,Ergebnis_je_Aktie_verwässert!A$3:AK$103,8,FALSE)&lt;&gt;"",IF(VLOOKUP(A45,Ergebnis_je_Aktie_verwässert!A$3:AK$103,8,FALSE)&lt;=0,2,IF(VLOOKUP(A45,Dividende_je_Aktie!A$3:AM$103,8,FALSE)/VLOOKUP(A45,Ergebnis_je_Aktie_verwässert!A$3:AK$103,8,FALSE)&gt;=2,2,VLOOKUP(A45,Dividende_je_Aktie!A$3:AM$103,8,FALSE)/VLOOKUP(A45,Ergebnis_je_Aktie_verwässert!A$3:AK$103,8,FALSE))),""),"")</f>
        <v>0.31887201735357917</v>
      </c>
      <c r="I45" s="5">
        <f>IF(VLOOKUP(A45,Dividende_je_Aktie!A$3:AM$103,9,FALSE)&lt;&gt;"",IF(VLOOKUP(A45,Ergebnis_je_Aktie_verwässert!A$3:AK$103,9,FALSE)&lt;&gt;"",IF(VLOOKUP(A45,Ergebnis_je_Aktie_verwässert!A$3:AK$103,9,FALSE)&lt;=0,2,IF(VLOOKUP(A45,Dividende_je_Aktie!A$3:AM$103,9,FALSE)/VLOOKUP(A45,Ergebnis_je_Aktie_verwässert!A$3:AK$103,9,FALSE)&gt;=2,2,VLOOKUP(A45,Dividende_je_Aktie!A$3:AM$103,9,FALSE)/VLOOKUP(A45,Ergebnis_je_Aktie_verwässert!A$3:AK$103,9,FALSE))),""),"")</f>
        <v>0.35106382978723411</v>
      </c>
      <c r="J45" s="5">
        <f>IF(VLOOKUP(A45,Dividende_je_Aktie!A$3:AM$103,10,FALSE)&lt;&gt;"",IF(VLOOKUP(A45,Ergebnis_je_Aktie_verwässert!A$3:AK$103,10,FALSE)&lt;&gt;"",IF(VLOOKUP(A45,Ergebnis_je_Aktie_verwässert!A$3:AK$103,10,FALSE)&lt;=0,2,IF(VLOOKUP(A45,Dividende_je_Aktie!A$3:AM$103,10,FALSE)/VLOOKUP(A45,Ergebnis_je_Aktie_verwässert!A$3:AK$103,10,FALSE)&gt;=2,2,VLOOKUP(A45,Dividende_je_Aktie!A$3:AM$103,10,FALSE)/VLOOKUP(A45,Ergebnis_je_Aktie_verwässert!A$3:AK$103,10,FALSE))),""),"")</f>
        <v>0.33242506811989103</v>
      </c>
      <c r="K45" s="5">
        <f>IF(VLOOKUP(A45,Dividende_je_Aktie!A$3:AM$103,11,FALSE)&lt;&gt;"",IF(VLOOKUP(A45,Ergebnis_je_Aktie_verwässert!A$3:AK$103,11,FALSE)&lt;&gt;"",IF(VLOOKUP(A45,Ergebnis_je_Aktie_verwässert!A$3:AK$103,11,FALSE)&lt;=0,2,IF(VLOOKUP(A45,Dividende_je_Aktie!A$3:AM$103,11,FALSE)/VLOOKUP(A45,Ergebnis_je_Aktie_verwässert!A$3:AK$103,11,FALSE)&gt;=2,2,VLOOKUP(A45,Dividende_je_Aktie!A$3:AM$103,11,FALSE)/VLOOKUP(A45,Ergebnis_je_Aktie_verwässert!A$3:AK$103,11,FALSE))),""),"")</f>
        <v>0.27220630372492832</v>
      </c>
      <c r="L45" s="5">
        <f>IF(VLOOKUP(A45,Dividende_je_Aktie!A$3:AM$103,12,FALSE)&lt;&gt;"",IF(VLOOKUP(A45,Ergebnis_je_Aktie_verwässert!A$3:AK$103,12,FALSE)&lt;&gt;"",IF(VLOOKUP(A45,Ergebnis_je_Aktie_verwässert!A$3:AK$103,12,FALSE)&lt;=0,2,IF(VLOOKUP(A45,Dividende_je_Aktie!A$3:AM$103,12,FALSE)/VLOOKUP(A45,Ergebnis_je_Aktie_verwässert!A$3:AK$103,12,FALSE)&gt;=2,2,VLOOKUP(A45,Dividende_je_Aktie!A$3:AM$103,12,FALSE)/VLOOKUP(A45,Ergebnis_je_Aktie_verwässert!A$3:AK$103,12,FALSE))),""),"")</f>
        <v>0.27681660899653981</v>
      </c>
      <c r="M45" s="5">
        <f>IF(VLOOKUP(A45,Dividende_je_Aktie!A$3:AM$103,13,FALSE)&lt;&gt;"",IF(VLOOKUP(A45,Ergebnis_je_Aktie_verwässert!A$3:AK$103,13,FALSE)&lt;&gt;"",IF(VLOOKUP(A45,Ergebnis_je_Aktie_verwässert!A$3:AK$103,13,FALSE)&lt;=0,2,IF(VLOOKUP(A45,Dividende_je_Aktie!A$3:AM$103,13,FALSE)/VLOOKUP(A45,Ergebnis_je_Aktie_verwässert!A$3:AK$103,13,FALSE)&gt;=2,2,VLOOKUP(A45,Dividende_je_Aktie!A$3:AM$103,13,FALSE)/VLOOKUP(A45,Ergebnis_je_Aktie_verwässert!A$3:AK$103,13,FALSE))),""),"")</f>
        <v>0.27906976744186046</v>
      </c>
      <c r="N45" s="5">
        <f>IF(VLOOKUP(A45,Dividende_je_Aktie!A$3:AM$103,14,FALSE)&lt;&gt;"",IF(VLOOKUP(A45,Ergebnis_je_Aktie_verwässert!A$3:AK$103,14,FALSE)&lt;&gt;"",IF(VLOOKUP(A45,Ergebnis_je_Aktie_verwässert!A$3:AK$103,14,FALSE)&lt;=0,2,IF(VLOOKUP(A45,Dividende_je_Aktie!A$3:AM$103,14,FALSE)/VLOOKUP(A45,Ergebnis_je_Aktie_verwässert!A$3:AK$103,14,FALSE)&gt;=2,2,VLOOKUP(A45,Dividende_je_Aktie!A$3:AM$103,14,FALSE)/VLOOKUP(A45,Ergebnis_je_Aktie_verwässert!A$3:AK$103,14,FALSE))),""),"")</f>
        <v>0.37857142857142861</v>
      </c>
      <c r="O45" s="5">
        <f>IF(VLOOKUP(A45,Dividende_je_Aktie!A$3:AM$103,15,FALSE)&lt;&gt;"",IF(VLOOKUP(A45,Ergebnis_je_Aktie_verwässert!A$3:AK$103,15,FALSE)&lt;&gt;"",IF(VLOOKUP(A45,Ergebnis_je_Aktie_verwässert!A$3:AK$103,15,FALSE)&lt;=0,2,IF(VLOOKUP(A45,Dividende_je_Aktie!A$3:AM$103,15,FALSE)/VLOOKUP(A45,Ergebnis_je_Aktie_verwässert!A$3:AK$103,15,FALSE)&gt;=2,2,VLOOKUP(A45,Dividende_je_Aktie!A$3:AM$103,15,FALSE)/VLOOKUP(A45,Ergebnis_je_Aktie_verwässert!A$3:AK$103,15,FALSE))),""),"")</f>
        <v>0.28804347826086957</v>
      </c>
      <c r="P45" s="5">
        <f>IF(VLOOKUP(A45,Dividende_je_Aktie!A$3:AM$103,16,FALSE)&lt;&gt;"",IF(VLOOKUP(A45,Ergebnis_je_Aktie_verwässert!A$3:AK$103,16,FALSE)&lt;&gt;"",IF(VLOOKUP(A45,Ergebnis_je_Aktie_verwässert!A$3:AK$103,16,FALSE)&lt;=0,2,IF(VLOOKUP(A45,Dividende_je_Aktie!A$3:AM$103,16,FALSE)/VLOOKUP(A45,Ergebnis_je_Aktie_verwässert!A$3:AK$103,16,FALSE)&gt;=2,2,VLOOKUP(A45,Dividende_je_Aktie!A$3:AM$103,16,FALSE)/VLOOKUP(A45,Ergebnis_je_Aktie_verwässert!A$3:AK$103,16,FALSE))),""),"")</f>
        <v>0.24766355140186916</v>
      </c>
      <c r="Q45" s="5">
        <f>IF(VLOOKUP(A45,Dividende_je_Aktie!A$3:AM$103,17,FALSE)&lt;&gt;"",IF(VLOOKUP(A45,Ergebnis_je_Aktie_verwässert!A$3:AK$103,17,FALSE)&lt;&gt;"",IF(VLOOKUP(A45,Ergebnis_je_Aktie_verwässert!A$3:AK$103,17,FALSE)&lt;=0,2,IF(VLOOKUP(A45,Dividende_je_Aktie!A$3:AM$103,17,FALSE)/VLOOKUP(A45,Ergebnis_je_Aktie_verwässert!A$3:AK$103,17,FALSE)&gt;=2,2,VLOOKUP(A45,Dividende_je_Aktie!A$3:AM$103,17,FALSE)/VLOOKUP(A45,Ergebnis_je_Aktie_verwässert!A$3:AK$103,17,FALSE))),""),"")</f>
        <v>0.25125628140703515</v>
      </c>
      <c r="R45" s="5">
        <f>IF(VLOOKUP(A45,Dividende_je_Aktie!A$3:AM$103,18,FALSE)&lt;&gt;"",IF(VLOOKUP(A45,Ergebnis_je_Aktie_verwässert!A$3:AK$103,18,FALSE)&lt;&gt;"",IF(VLOOKUP(A45,Ergebnis_je_Aktie_verwässert!A$3:AK$103,18,FALSE)&lt;=0,2,IF(VLOOKUP(A45,Dividende_je_Aktie!A$3:AM$103,18,FALSE)/VLOOKUP(A45,Ergebnis_je_Aktie_verwässert!A$3:AK$103,18,FALSE)&gt;=2,2,VLOOKUP(A45,Dividende_je_Aktie!A$3:AM$103,18,FALSE)/VLOOKUP(A45,Ergebnis_je_Aktie_verwässert!A$3:AK$103,18,FALSE))),""),"")</f>
        <v>0.25423728813559321</v>
      </c>
      <c r="S45" s="10">
        <f t="shared" si="6"/>
        <v>0.29845448701674476</v>
      </c>
      <c r="T45" s="4">
        <f t="shared" ca="1" si="7"/>
        <v>0</v>
      </c>
      <c r="U45" s="4">
        <f t="shared" ca="1" si="8"/>
        <v>122</v>
      </c>
      <c r="V45" s="4">
        <f t="shared" ca="1" si="9"/>
        <v>238</v>
      </c>
      <c r="W45" s="10">
        <f t="shared" ca="1" si="10"/>
        <v>0.31814715109194458</v>
      </c>
      <c r="X45" s="5">
        <f t="shared" ca="1" si="11"/>
        <v>6.5982134401936232E-2</v>
      </c>
    </row>
    <row r="46" spans="1:24" x14ac:dyDescent="0.25">
      <c r="A46" t="s">
        <v>273</v>
      </c>
      <c r="B46" t="s">
        <v>278</v>
      </c>
      <c r="C46" s="56">
        <v>31</v>
      </c>
      <c r="D46" s="56">
        <v>12</v>
      </c>
      <c r="E46" s="56">
        <v>2015</v>
      </c>
      <c r="F46" s="5">
        <f>IF(VLOOKUP(A46,Dividende_je_Aktie!A$3:AM$103,6,FALSE)&lt;&gt;"",IF(VLOOKUP(A46,Ergebnis_je_Aktie_verwässert!A$3:AK$103,6,FALSE)&lt;&gt;"",IF(VLOOKUP(A46,Ergebnis_je_Aktie_verwässert!A$3:AK$103,6,FALSE)&lt;=0,2,IF(VLOOKUP(A46,Dividende_je_Aktie!A$3:AM$103,6,FALSE)/VLOOKUP(A46,Ergebnis_je_Aktie_verwässert!A$3:AK$103,6,FALSE)&gt;=2,2,VLOOKUP(A46,Dividende_je_Aktie!A$3:AM$103,6,FALSE)/VLOOKUP(A46,Ergebnis_je_Aktie_verwässert!A$3:AK$103,6,FALSE))),""),"")</f>
        <v>0.42479674796747963</v>
      </c>
      <c r="G46" s="5">
        <f>IF(VLOOKUP(A46,Dividende_je_Aktie!A$3:AM$103,7,FALSE)&lt;&gt;"",IF(VLOOKUP(A46,Ergebnis_je_Aktie_verwässert!A$3:AK$103,7,FALSE)&lt;&gt;"",IF(VLOOKUP(A46,Ergebnis_je_Aktie_verwässert!A$3:AK$103,7,FALSE)&lt;=0,2,IF(VLOOKUP(A46,Dividende_je_Aktie!A$3:AM$103,7,FALSE)/VLOOKUP(A46,Ergebnis_je_Aktie_verwässert!A$3:AK$103,7,FALSE)&gt;=2,2,VLOOKUP(A46,Dividende_je_Aktie!A$3:AM$103,7,FALSE)/VLOOKUP(A46,Ergebnis_je_Aktie_verwässert!A$3:AK$103,7,FALSE))),""),"")</f>
        <v>0.42696629213483145</v>
      </c>
      <c r="H46" s="5">
        <f>IF(VLOOKUP(A46,Dividende_je_Aktie!A$3:AM$103,8,FALSE)&lt;&gt;"",IF(VLOOKUP(A46,Ergebnis_je_Aktie_verwässert!A$3:AK$103,8,FALSE)&lt;&gt;"",IF(VLOOKUP(A46,Ergebnis_je_Aktie_verwässert!A$3:AK$103,8,FALSE)&lt;=0,2,IF(VLOOKUP(A46,Dividende_je_Aktie!A$3:AM$103,8,FALSE)/VLOOKUP(A46,Ergebnis_je_Aktie_verwässert!A$3:AK$103,8,FALSE)&gt;=2,2,VLOOKUP(A46,Dividende_je_Aktie!A$3:AM$103,8,FALSE)/VLOOKUP(A46,Ergebnis_je_Aktie_verwässert!A$3:AK$103,8,FALSE))),""),"")</f>
        <v>0.44344473007712082</v>
      </c>
      <c r="I46" s="5">
        <f>IF(VLOOKUP(A46,Dividende_je_Aktie!A$3:AM$103,9,FALSE)&lt;&gt;"",IF(VLOOKUP(A46,Ergebnis_je_Aktie_verwässert!A$3:AK$103,9,FALSE)&lt;&gt;"",IF(VLOOKUP(A46,Ergebnis_je_Aktie_verwässert!A$3:AK$103,9,FALSE)&lt;=0,2,IF(VLOOKUP(A46,Dividende_je_Aktie!A$3:AM$103,9,FALSE)/VLOOKUP(A46,Ergebnis_je_Aktie_verwässert!A$3:AK$103,9,FALSE)&gt;=2,2,VLOOKUP(A46,Dividende_je_Aktie!A$3:AM$103,9,FALSE)/VLOOKUP(A46,Ergebnis_je_Aktie_verwässert!A$3:AK$103,9,FALSE))),""),"")</f>
        <v>0.53030303030303028</v>
      </c>
      <c r="J46" s="5">
        <f>IF(VLOOKUP(A46,Dividende_je_Aktie!A$3:AM$103,10,FALSE)&lt;&gt;"",IF(VLOOKUP(A46,Ergebnis_je_Aktie_verwässert!A$3:AK$103,10,FALSE)&lt;&gt;"",IF(VLOOKUP(A46,Ergebnis_je_Aktie_verwässert!A$3:AK$103,10,FALSE)&lt;=0,2,IF(VLOOKUP(A46,Dividende_je_Aktie!A$3:AM$103,10,FALSE)/VLOOKUP(A46,Ergebnis_je_Aktie_verwässert!A$3:AK$103,10,FALSE)&gt;=2,2,VLOOKUP(A46,Dividende_je_Aktie!A$3:AM$103,10,FALSE)/VLOOKUP(A46,Ergebnis_je_Aktie_verwässert!A$3:AK$103,10,FALSE))),""),"")</f>
        <v>0.42372881355932202</v>
      </c>
      <c r="K46" s="5">
        <f>IF(VLOOKUP(A46,Dividende_je_Aktie!A$3:AM$103,11,FALSE)&lt;&gt;"",IF(VLOOKUP(A46,Ergebnis_je_Aktie_verwässert!A$3:AK$103,11,FALSE)&lt;&gt;"",IF(VLOOKUP(A46,Ergebnis_je_Aktie_verwässert!A$3:AK$103,11,FALSE)&lt;=0,2,IF(VLOOKUP(A46,Dividende_je_Aktie!A$3:AM$103,11,FALSE)/VLOOKUP(A46,Ergebnis_je_Aktie_verwässert!A$3:AK$103,11,FALSE)&gt;=2,2,VLOOKUP(A46,Dividende_je_Aktie!A$3:AM$103,11,FALSE)/VLOOKUP(A46,Ergebnis_je_Aktie_verwässert!A$3:AK$103,11,FALSE))),""),"")</f>
        <v>0.38737446197991393</v>
      </c>
      <c r="L46" s="5">
        <f>IF(VLOOKUP(A46,Dividende_je_Aktie!A$3:AM$103,12,FALSE)&lt;&gt;"",IF(VLOOKUP(A46,Ergebnis_je_Aktie_verwässert!A$3:AK$103,12,FALSE)&lt;&gt;"",IF(VLOOKUP(A46,Ergebnis_je_Aktie_verwässert!A$3:AK$103,12,FALSE)&lt;=0,2,IF(VLOOKUP(A46,Dividende_je_Aktie!A$3:AM$103,12,FALSE)/VLOOKUP(A46,Ergebnis_je_Aktie_verwässert!A$3:AK$103,12,FALSE)&gt;=2,2,VLOOKUP(A46,Dividende_je_Aktie!A$3:AM$103,12,FALSE)/VLOOKUP(A46,Ergebnis_je_Aktie_verwässert!A$3:AK$103,12,FALSE))),""),"")</f>
        <v>0.36656891495601174</v>
      </c>
      <c r="M46" s="5">
        <f>IF(VLOOKUP(A46,Dividende_je_Aktie!A$3:AM$103,13,FALSE)&lt;&gt;"",IF(VLOOKUP(A46,Ergebnis_je_Aktie_verwässert!A$3:AK$103,13,FALSE)&lt;&gt;"",IF(VLOOKUP(A46,Ergebnis_je_Aktie_verwässert!A$3:AK$103,13,FALSE)&lt;=0,2,IF(VLOOKUP(A46,Dividende_je_Aktie!A$3:AM$103,13,FALSE)/VLOOKUP(A46,Ergebnis_je_Aktie_verwässert!A$3:AK$103,13,FALSE)&gt;=2,2,VLOOKUP(A46,Dividende_je_Aktie!A$3:AM$103,13,FALSE)/VLOOKUP(A46,Ergebnis_je_Aktie_verwässert!A$3:AK$103,13,FALSE))),""),"")</f>
        <v>0.37542662116040959</v>
      </c>
      <c r="N46" s="5">
        <f>IF(VLOOKUP(A46,Dividende_je_Aktie!A$3:AM$103,14,FALSE)&lt;&gt;"",IF(VLOOKUP(A46,Ergebnis_je_Aktie_verwässert!A$3:AK$103,14,FALSE)&lt;&gt;"",IF(VLOOKUP(A46,Ergebnis_je_Aktie_verwässert!A$3:AK$103,14,FALSE)&lt;=0,2,IF(VLOOKUP(A46,Dividende_je_Aktie!A$3:AM$103,14,FALSE)/VLOOKUP(A46,Ergebnis_je_Aktie_verwässert!A$3:AK$103,14,FALSE)&gt;=2,2,VLOOKUP(A46,Dividende_je_Aktie!A$3:AM$103,14,FALSE)/VLOOKUP(A46,Ergebnis_je_Aktie_verwässert!A$3:AK$103,14,FALSE))),""),"")</f>
        <v>0.51724137931034486</v>
      </c>
      <c r="O46" s="5">
        <f>IF(VLOOKUP(A46,Dividende_je_Aktie!A$3:AM$103,15,FALSE)&lt;&gt;"",IF(VLOOKUP(A46,Ergebnis_je_Aktie_verwässert!A$3:AK$103,15,FALSE)&lt;&gt;"",IF(VLOOKUP(A46,Ergebnis_je_Aktie_verwässert!A$3:AK$103,15,FALSE)&lt;=0,2,IF(VLOOKUP(A46,Dividende_je_Aktie!A$3:AM$103,15,FALSE)/VLOOKUP(A46,Ergebnis_je_Aktie_verwässert!A$3:AK$103,15,FALSE)&gt;=2,2,VLOOKUP(A46,Dividende_je_Aktie!A$3:AM$103,15,FALSE)/VLOOKUP(A46,Ergebnis_je_Aktie_verwässert!A$3:AK$103,15,FALSE))),""),"")</f>
        <v>0.42452830188679247</v>
      </c>
      <c r="P46" s="5">
        <f>IF(VLOOKUP(A46,Dividende_je_Aktie!A$3:AM$103,16,FALSE)&lt;&gt;"",IF(VLOOKUP(A46,Ergebnis_je_Aktie_verwässert!A$3:AK$103,16,FALSE)&lt;&gt;"",IF(VLOOKUP(A46,Ergebnis_je_Aktie_verwässert!A$3:AK$103,16,FALSE)&lt;=0,2,IF(VLOOKUP(A46,Dividende_je_Aktie!A$3:AM$103,16,FALSE)/VLOOKUP(A46,Ergebnis_je_Aktie_verwässert!A$3:AK$103,16,FALSE)&gt;=2,2,VLOOKUP(A46,Dividende_je_Aktie!A$3:AM$103,16,FALSE)/VLOOKUP(A46,Ergebnis_je_Aktie_verwässert!A$3:AK$103,16,FALSE))),""),"")</f>
        <v>0.54347826086956519</v>
      </c>
      <c r="Q46" s="5">
        <f>IF(VLOOKUP(A46,Dividende_je_Aktie!A$3:AM$103,17,FALSE)&lt;&gt;"",IF(VLOOKUP(A46,Ergebnis_je_Aktie_verwässert!A$3:AK$103,17,FALSE)&lt;&gt;"",IF(VLOOKUP(A46,Ergebnis_je_Aktie_verwässert!A$3:AK$103,17,FALSE)&lt;=0,2,IF(VLOOKUP(A46,Dividende_je_Aktie!A$3:AM$103,17,FALSE)/VLOOKUP(A46,Ergebnis_je_Aktie_verwässert!A$3:AK$103,17,FALSE)&gt;=2,2,VLOOKUP(A46,Dividende_je_Aktie!A$3:AM$103,17,FALSE)/VLOOKUP(A46,Ergebnis_je_Aktie_verwässert!A$3:AK$103,17,FALSE))),""),"")</f>
        <v>0.31217481789802293</v>
      </c>
      <c r="R46" s="5">
        <f>IF(VLOOKUP(A46,Dividende_je_Aktie!A$3:AM$103,18,FALSE)&lt;&gt;"",IF(VLOOKUP(A46,Ergebnis_je_Aktie_verwässert!A$3:AK$103,18,FALSE)&lt;&gt;"",IF(VLOOKUP(A46,Ergebnis_je_Aktie_verwässert!A$3:AK$103,18,FALSE)&lt;=0,2,IF(VLOOKUP(A46,Dividende_je_Aktie!A$3:AM$103,18,FALSE)/VLOOKUP(A46,Ergebnis_je_Aktie_verwässert!A$3:AK$103,18,FALSE)&gt;=2,2,VLOOKUP(A46,Dividende_je_Aktie!A$3:AM$103,18,FALSE)/VLOOKUP(A46,Ergebnis_je_Aktie_verwässert!A$3:AK$103,18,FALSE))),""),"")</f>
        <v>0.35353535353535354</v>
      </c>
      <c r="S46" s="10">
        <f t="shared" si="6"/>
        <v>0.42535136351063058</v>
      </c>
      <c r="T46" s="4">
        <f t="shared" ca="1" si="7"/>
        <v>0</v>
      </c>
      <c r="U46" s="4">
        <f t="shared" ca="1" si="8"/>
        <v>122</v>
      </c>
      <c r="V46" s="4">
        <f t="shared" ca="1" si="9"/>
        <v>238</v>
      </c>
      <c r="W46" s="10">
        <f t="shared" ca="1" si="10"/>
        <v>0.43786037055223381</v>
      </c>
      <c r="X46" s="5">
        <f t="shared" ca="1" si="11"/>
        <v>2.9408644510647175E-2</v>
      </c>
    </row>
    <row r="47" spans="1:24" x14ac:dyDescent="0.25">
      <c r="A47" t="s">
        <v>275</v>
      </c>
      <c r="B47" t="s">
        <v>280</v>
      </c>
      <c r="C47" s="56">
        <v>31</v>
      </c>
      <c r="D47" s="56">
        <v>12</v>
      </c>
      <c r="E47" s="56">
        <v>2015</v>
      </c>
      <c r="F47" s="5">
        <f>IF(VLOOKUP(A47,Dividende_je_Aktie!A$3:AM$103,6,FALSE)&lt;&gt;"",IF(VLOOKUP(A47,Ergebnis_je_Aktie_verwässert!A$3:AK$103,6,FALSE)&lt;&gt;"",IF(VLOOKUP(A47,Ergebnis_je_Aktie_verwässert!A$3:AK$103,6,FALSE)&lt;=0,2,IF(VLOOKUP(A47,Dividende_je_Aktie!A$3:AM$103,6,FALSE)/VLOOKUP(A47,Ergebnis_je_Aktie_verwässert!A$3:AK$103,6,FALSE)&gt;=2,2,VLOOKUP(A47,Dividende_je_Aktie!A$3:AM$103,6,FALSE)/VLOOKUP(A47,Ergebnis_je_Aktie_verwässert!A$3:AK$103,6,FALSE))),""),"")</f>
        <v>0.45930232558139539</v>
      </c>
      <c r="G47" s="5">
        <f>IF(VLOOKUP(A47,Dividende_je_Aktie!A$3:AM$103,7,FALSE)&lt;&gt;"",IF(VLOOKUP(A47,Ergebnis_je_Aktie_verwässert!A$3:AK$103,7,FALSE)&lt;&gt;"",IF(VLOOKUP(A47,Ergebnis_je_Aktie_verwässert!A$3:AK$103,7,FALSE)&lt;=0,2,IF(VLOOKUP(A47,Dividende_je_Aktie!A$3:AM$103,7,FALSE)/VLOOKUP(A47,Ergebnis_je_Aktie_verwässert!A$3:AK$103,7,FALSE)&gt;=2,2,VLOOKUP(A47,Dividende_je_Aktie!A$3:AM$103,7,FALSE)/VLOOKUP(A47,Ergebnis_je_Aktie_verwässert!A$3:AK$103,7,FALSE))),""),"")</f>
        <v>0.45855263157894738</v>
      </c>
      <c r="H47" s="5">
        <f>IF(VLOOKUP(A47,Dividende_je_Aktie!A$3:AM$103,8,FALSE)&lt;&gt;"",IF(VLOOKUP(A47,Ergebnis_je_Aktie_verwässert!A$3:AK$103,8,FALSE)&lt;&gt;"",IF(VLOOKUP(A47,Ergebnis_je_Aktie_verwässert!A$3:AK$103,8,FALSE)&lt;=0,2,IF(VLOOKUP(A47,Dividende_je_Aktie!A$3:AM$103,8,FALSE)/VLOOKUP(A47,Ergebnis_je_Aktie_verwässert!A$3:AK$103,8,FALSE)&gt;=2,2,VLOOKUP(A47,Dividende_je_Aktie!A$3:AM$103,8,FALSE)/VLOOKUP(A47,Ergebnis_je_Aktie_verwässert!A$3:AK$103,8,FALSE))),""),"")</f>
        <v>0.47049180327868856</v>
      </c>
      <c r="I47" s="5">
        <f>IF(VLOOKUP(A47,Dividende_je_Aktie!A$3:AM$103,9,FALSE)&lt;&gt;"",IF(VLOOKUP(A47,Ergebnis_je_Aktie_verwässert!A$3:AK$103,9,FALSE)&lt;&gt;"",IF(VLOOKUP(A47,Ergebnis_je_Aktie_verwässert!A$3:AK$103,9,FALSE)&lt;=0,2,IF(VLOOKUP(A47,Dividende_je_Aktie!A$3:AM$103,9,FALSE)/VLOOKUP(A47,Ergebnis_je_Aktie_verwässert!A$3:AK$103,9,FALSE)&gt;=2,2,VLOOKUP(A47,Dividende_je_Aktie!A$3:AM$103,9,FALSE)/VLOOKUP(A47,Ergebnis_je_Aktie_verwässert!A$3:AK$103,9,FALSE))),""),"")</f>
        <v>0.49652432969215488</v>
      </c>
      <c r="J47" s="5">
        <f>IF(VLOOKUP(A47,Dividende_je_Aktie!A$3:AM$103,10,FALSE)&lt;&gt;"",IF(VLOOKUP(A47,Ergebnis_je_Aktie_verwässert!A$3:AK$103,10,FALSE)&lt;&gt;"",IF(VLOOKUP(A47,Ergebnis_je_Aktie_verwässert!A$3:AK$103,10,FALSE)&lt;=0,2,IF(VLOOKUP(A47,Dividende_je_Aktie!A$3:AM$103,10,FALSE)/VLOOKUP(A47,Ergebnis_je_Aktie_verwässert!A$3:AK$103,10,FALSE)&gt;=2,2,VLOOKUP(A47,Dividende_je_Aktie!A$3:AM$103,10,FALSE)/VLOOKUP(A47,Ergebnis_je_Aktie_verwässert!A$3:AK$103,10,FALSE))),""),"")</f>
        <v>0.48128342245989308</v>
      </c>
      <c r="K47" s="5">
        <f>IF(VLOOKUP(A47,Dividende_je_Aktie!A$3:AM$103,11,FALSE)&lt;&gt;"",IF(VLOOKUP(A47,Ergebnis_je_Aktie_verwässert!A$3:AK$103,11,FALSE)&lt;&gt;"",IF(VLOOKUP(A47,Ergebnis_je_Aktie_verwässert!A$3:AK$103,11,FALSE)&lt;=0,2,IF(VLOOKUP(A47,Dividende_je_Aktie!A$3:AM$103,11,FALSE)/VLOOKUP(A47,Ergebnis_je_Aktie_verwässert!A$3:AK$103,11,FALSE)&gt;=2,2,VLOOKUP(A47,Dividende_je_Aktie!A$3:AM$103,11,FALSE)/VLOOKUP(A47,Ergebnis_je_Aktie_verwässert!A$3:AK$103,11,FALSE))),""),"")</f>
        <v>0.46332046332046334</v>
      </c>
      <c r="L47" s="5">
        <f>IF(VLOOKUP(A47,Dividende_je_Aktie!A$3:AM$103,12,FALSE)&lt;&gt;"",IF(VLOOKUP(A47,Ergebnis_je_Aktie_verwässert!A$3:AK$103,12,FALSE)&lt;&gt;"",IF(VLOOKUP(A47,Ergebnis_je_Aktie_verwässert!A$3:AK$103,12,FALSE)&lt;=0,2,IF(VLOOKUP(A47,Dividende_je_Aktie!A$3:AM$103,12,FALSE)/VLOOKUP(A47,Ergebnis_je_Aktie_verwässert!A$3:AK$103,12,FALSE)&gt;=2,2,VLOOKUP(A47,Dividende_je_Aktie!A$3:AM$103,12,FALSE)/VLOOKUP(A47,Ergebnis_je_Aktie_verwässert!A$3:AK$103,12,FALSE))),""),"")</f>
        <v>0.46666666666666662</v>
      </c>
      <c r="M47" s="5">
        <f>IF(VLOOKUP(A47,Dividende_je_Aktie!A$3:AM$103,13,FALSE)&lt;&gt;"",IF(VLOOKUP(A47,Ergebnis_je_Aktie_verwässert!A$3:AK$103,13,FALSE)&lt;&gt;"",IF(VLOOKUP(A47,Ergebnis_je_Aktie_verwässert!A$3:AK$103,13,FALSE)&lt;=0,2,IF(VLOOKUP(A47,Dividende_je_Aktie!A$3:AM$103,13,FALSE)/VLOOKUP(A47,Ergebnis_je_Aktie_verwässert!A$3:AK$103,13,FALSE)&gt;=2,2,VLOOKUP(A47,Dividende_je_Aktie!A$3:AM$103,13,FALSE)/VLOOKUP(A47,Ergebnis_je_Aktie_verwässert!A$3:AK$103,13,FALSE))),""),"")</f>
        <v>0.4065040650406504</v>
      </c>
      <c r="N47" s="5">
        <f>IF(VLOOKUP(A47,Dividende_je_Aktie!A$3:AM$103,14,FALSE)&lt;&gt;"",IF(VLOOKUP(A47,Ergebnis_je_Aktie_verwässert!A$3:AK$103,14,FALSE)&lt;&gt;"",IF(VLOOKUP(A47,Ergebnis_je_Aktie_verwässert!A$3:AK$103,14,FALSE)&lt;=0,2,IF(VLOOKUP(A47,Dividende_je_Aktie!A$3:AM$103,14,FALSE)/VLOOKUP(A47,Ergebnis_je_Aktie_verwässert!A$3:AK$103,14,FALSE)&gt;=2,2,VLOOKUP(A47,Dividende_je_Aktie!A$3:AM$103,14,FALSE)/VLOOKUP(A47,Ergebnis_je_Aktie_verwässert!A$3:AK$103,14,FALSE))),""),"")</f>
        <v>0.42134831460674155</v>
      </c>
      <c r="O47" s="5">
        <f>IF(VLOOKUP(A47,Dividende_je_Aktie!A$3:AM$103,15,FALSE)&lt;&gt;"",IF(VLOOKUP(A47,Ergebnis_je_Aktie_verwässert!A$3:AK$103,15,FALSE)&lt;&gt;"",IF(VLOOKUP(A47,Ergebnis_je_Aktie_verwässert!A$3:AK$103,15,FALSE)&lt;=0,2,IF(VLOOKUP(A47,Dividende_je_Aktie!A$3:AM$103,15,FALSE)/VLOOKUP(A47,Ergebnis_je_Aktie_verwässert!A$3:AK$103,15,FALSE)&gt;=2,2,VLOOKUP(A47,Dividende_je_Aktie!A$3:AM$103,15,FALSE)/VLOOKUP(A47,Ergebnis_je_Aktie_verwässert!A$3:AK$103,15,FALSE))),""),"")</f>
        <v>0.38585209003215432</v>
      </c>
      <c r="P47" s="5">
        <f>IF(VLOOKUP(A47,Dividende_je_Aktie!A$3:AM$103,16,FALSE)&lt;&gt;"",IF(VLOOKUP(A47,Ergebnis_je_Aktie_verwässert!A$3:AK$103,16,FALSE)&lt;&gt;"",IF(VLOOKUP(A47,Ergebnis_je_Aktie_verwässert!A$3:AK$103,16,FALSE)&lt;=0,2,IF(VLOOKUP(A47,Dividende_je_Aktie!A$3:AM$103,16,FALSE)/VLOOKUP(A47,Ergebnis_je_Aktie_verwässert!A$3:AK$103,16,FALSE)&gt;=2,2,VLOOKUP(A47,Dividende_je_Aktie!A$3:AM$103,16,FALSE)/VLOOKUP(A47,Ergebnis_je_Aktie_verwässert!A$3:AK$103,16,FALSE))),""),"")</f>
        <v>0.33582089552238803</v>
      </c>
      <c r="Q47" s="5">
        <f>IF(VLOOKUP(A47,Dividende_je_Aktie!A$3:AM$103,17,FALSE)&lt;&gt;"",IF(VLOOKUP(A47,Ergebnis_je_Aktie_verwässert!A$3:AK$103,17,FALSE)&lt;&gt;"",IF(VLOOKUP(A47,Ergebnis_je_Aktie_verwässert!A$3:AK$103,17,FALSE)&lt;=0,2,IF(VLOOKUP(A47,Dividende_je_Aktie!A$3:AM$103,17,FALSE)/VLOOKUP(A47,Ergebnis_je_Aktie_verwässert!A$3:AK$103,17,FALSE)&gt;=2,2,VLOOKUP(A47,Dividende_je_Aktie!A$3:AM$103,17,FALSE)/VLOOKUP(A47,Ergebnis_je_Aktie_verwässert!A$3:AK$103,17,FALSE))),""),"")</f>
        <v>0.35</v>
      </c>
      <c r="R47" s="5">
        <f>IF(VLOOKUP(A47,Dividende_je_Aktie!A$3:AM$103,18,FALSE)&lt;&gt;"",IF(VLOOKUP(A47,Ergebnis_je_Aktie_verwässert!A$3:AK$103,18,FALSE)&lt;&gt;"",IF(VLOOKUP(A47,Ergebnis_je_Aktie_verwässert!A$3:AK$103,18,FALSE)&lt;=0,2,IF(VLOOKUP(A47,Dividende_je_Aktie!A$3:AM$103,18,FALSE)/VLOOKUP(A47,Ergebnis_je_Aktie_verwässert!A$3:AK$103,18,FALSE)&gt;=2,2,VLOOKUP(A47,Dividende_je_Aktie!A$3:AM$103,18,FALSE)/VLOOKUP(A47,Ergebnis_je_Aktie_verwässert!A$3:AK$103,18,FALSE))),""),"")</f>
        <v>0.33707865168539325</v>
      </c>
      <c r="S47" s="10">
        <f t="shared" si="6"/>
        <v>0.42559581995888746</v>
      </c>
      <c r="T47" s="4">
        <f t="shared" ca="1" si="7"/>
        <v>0</v>
      </c>
      <c r="U47" s="4">
        <f t="shared" ca="1" si="8"/>
        <v>122</v>
      </c>
      <c r="V47" s="4">
        <f t="shared" ca="1" si="9"/>
        <v>238</v>
      </c>
      <c r="W47" s="10">
        <f t="shared" ca="1" si="10"/>
        <v>0.46644575064710958</v>
      </c>
      <c r="X47" s="5">
        <f t="shared" ca="1" si="11"/>
        <v>9.5982922699213047E-2</v>
      </c>
    </row>
    <row r="48" spans="1:24" x14ac:dyDescent="0.25">
      <c r="A48" t="s">
        <v>83</v>
      </c>
      <c r="B48" t="s">
        <v>84</v>
      </c>
      <c r="C48" s="56">
        <v>31</v>
      </c>
      <c r="D48" s="56">
        <v>12</v>
      </c>
      <c r="E48" s="56">
        <v>2015</v>
      </c>
      <c r="F48" s="5">
        <f>IF(VLOOKUP(A48,Dividende_je_Aktie!A$3:AM$103,6,FALSE)&lt;&gt;"",IF(VLOOKUP(A48,Ergebnis_je_Aktie_verwässert!A$3:AK$103,6,FALSE)&lt;&gt;"",IF(VLOOKUP(A48,Ergebnis_je_Aktie_verwässert!A$3:AK$103,6,FALSE)&lt;=0,2,IF(VLOOKUP(A48,Dividende_je_Aktie!A$3:AM$103,6,FALSE)/VLOOKUP(A48,Ergebnis_je_Aktie_verwässert!A$3:AK$103,6,FALSE)&gt;=2,2,VLOOKUP(A48,Dividende_je_Aktie!A$3:AM$103,6,FALSE)/VLOOKUP(A48,Ergebnis_je_Aktie_verwässert!A$3:AK$103,6,FALSE))),""),"")</f>
        <v>0.50969529085872578</v>
      </c>
      <c r="G48" s="5">
        <f>IF(VLOOKUP(A48,Dividende_je_Aktie!A$3:AM$103,7,FALSE)&lt;&gt;"",IF(VLOOKUP(A48,Ergebnis_je_Aktie_verwässert!A$3:AK$103,7,FALSE)&lt;&gt;"",IF(VLOOKUP(A48,Ergebnis_je_Aktie_verwässert!A$3:AK$103,7,FALSE)&lt;=0,2,IF(VLOOKUP(A48,Dividende_je_Aktie!A$3:AM$103,7,FALSE)/VLOOKUP(A48,Ergebnis_je_Aktie_verwässert!A$3:AK$103,7,FALSE)&gt;=2,2,VLOOKUP(A48,Dividende_je_Aktie!A$3:AM$103,7,FALSE)/VLOOKUP(A48,Ergebnis_je_Aktie_verwässert!A$3:AK$103,7,FALSE))),""),"")</f>
        <v>0.50372578241430699</v>
      </c>
      <c r="H48" s="5">
        <f>IF(VLOOKUP(A48,Dividende_je_Aktie!A$3:AM$103,8,FALSE)&lt;&gt;"",IF(VLOOKUP(A48,Ergebnis_je_Aktie_verwässert!A$3:AK$103,8,FALSE)&lt;&gt;"",IF(VLOOKUP(A48,Ergebnis_je_Aktie_verwässert!A$3:AK$103,8,FALSE)&lt;=0,2,IF(VLOOKUP(A48,Dividende_je_Aktie!A$3:AM$103,8,FALSE)/VLOOKUP(A48,Ergebnis_je_Aktie_verwässert!A$3:AK$103,8,FALSE)&gt;=2,2,VLOOKUP(A48,Dividende_je_Aktie!A$3:AM$103,8,FALSE)/VLOOKUP(A48,Ergebnis_je_Aktie_verwässert!A$3:AK$103,8,FALSE))),""),"")</f>
        <v>0.49919484702093397</v>
      </c>
      <c r="I48" s="5">
        <f>IF(VLOOKUP(A48,Dividende_je_Aktie!A$3:AM$103,9,FALSE)&lt;&gt;"",IF(VLOOKUP(A48,Ergebnis_je_Aktie_verwässert!A$3:AK$103,9,FALSE)&lt;&gt;"",IF(VLOOKUP(A48,Ergebnis_je_Aktie_verwässert!A$3:AK$103,9,FALSE)&lt;=0,2,IF(VLOOKUP(A48,Dividende_je_Aktie!A$3:AM$103,9,FALSE)/VLOOKUP(A48,Ergebnis_je_Aktie_verwässert!A$3:AK$103,9,FALSE)&gt;=2,2,VLOOKUP(A48,Dividende_je_Aktie!A$3:AM$103,9,FALSE)/VLOOKUP(A48,Ergebnis_je_Aktie_verwässert!A$3:AK$103,9,FALSE))),""),"")</f>
        <v>0.5056179775280899</v>
      </c>
      <c r="J48" s="5">
        <f>IF(VLOOKUP(A48,Dividende_je_Aktie!A$3:AM$103,10,FALSE)&lt;&gt;"",IF(VLOOKUP(A48,Ergebnis_je_Aktie_verwässert!A$3:AK$103,10,FALSE)&lt;&gt;"",IF(VLOOKUP(A48,Ergebnis_je_Aktie_verwässert!A$3:AK$103,10,FALSE)&lt;=0,2,IF(VLOOKUP(A48,Dividende_je_Aktie!A$3:AM$103,10,FALSE)/VLOOKUP(A48,Ergebnis_je_Aktie_verwässert!A$3:AK$103,10,FALSE)&gt;=2,2,VLOOKUP(A48,Dividende_je_Aktie!A$3:AM$103,10,FALSE)/VLOOKUP(A48,Ergebnis_je_Aktie_verwässert!A$3:AK$103,10,FALSE))),""),"")</f>
        <v>0.48732943469785578</v>
      </c>
      <c r="K48" s="5">
        <f>IF(VLOOKUP(A48,Dividende_je_Aktie!A$3:AM$103,11,FALSE)&lt;&gt;"",IF(VLOOKUP(A48,Ergebnis_je_Aktie_verwässert!A$3:AK$103,11,FALSE)&lt;&gt;"",IF(VLOOKUP(A48,Ergebnis_je_Aktie_verwässert!A$3:AK$103,11,FALSE)&lt;=0,2,IF(VLOOKUP(A48,Dividende_je_Aktie!A$3:AM$103,11,FALSE)/VLOOKUP(A48,Ergebnis_je_Aktie_verwässert!A$3:AK$103,11,FALSE)&gt;=2,2,VLOOKUP(A48,Dividende_je_Aktie!A$3:AM$103,11,FALSE)/VLOOKUP(A48,Ergebnis_je_Aktie_verwässert!A$3:AK$103,11,FALSE))),""),"")</f>
        <v>0.46843177189409363</v>
      </c>
      <c r="L48" s="5">
        <f>IF(VLOOKUP(A48,Dividende_je_Aktie!A$3:AM$103,12,FALSE)&lt;&gt;"",IF(VLOOKUP(A48,Ergebnis_je_Aktie_verwässert!A$3:AK$103,12,FALSE)&lt;&gt;"",IF(VLOOKUP(A48,Ergebnis_je_Aktie_verwässert!A$3:AK$103,12,FALSE)&lt;=0,2,IF(VLOOKUP(A48,Dividende_je_Aktie!A$3:AM$103,12,FALSE)/VLOOKUP(A48,Ergebnis_je_Aktie_verwässert!A$3:AK$103,12,FALSE)&gt;=2,2,VLOOKUP(A48,Dividende_je_Aktie!A$3:AM$103,12,FALSE)/VLOOKUP(A48,Ergebnis_je_Aktie_verwässert!A$3:AK$103,12,FALSE))),""),"")</f>
        <v>0.46296296296296291</v>
      </c>
      <c r="M48" s="5">
        <f>IF(VLOOKUP(A48,Dividende_je_Aktie!A$3:AM$103,13,FALSE)&lt;&gt;"",IF(VLOOKUP(A48,Ergebnis_je_Aktie_verwässert!A$3:AK$103,13,FALSE)&lt;&gt;"",IF(VLOOKUP(A48,Ergebnis_je_Aktie_verwässert!A$3:AK$103,13,FALSE)&lt;=0,2,IF(VLOOKUP(A48,Dividende_je_Aktie!A$3:AM$103,13,FALSE)/VLOOKUP(A48,Ergebnis_je_Aktie_verwässert!A$3:AK$103,13,FALSE)&gt;=2,2,VLOOKUP(A48,Dividende_je_Aktie!A$3:AM$103,13,FALSE)/VLOOKUP(A48,Ergebnis_je_Aktie_verwässert!A$3:AK$103,13,FALSE))),""),"")</f>
        <v>0.44887780548628431</v>
      </c>
      <c r="N48" s="5">
        <f>IF(VLOOKUP(A48,Dividende_je_Aktie!A$3:AM$103,14,FALSE)&lt;&gt;"",IF(VLOOKUP(A48,Ergebnis_je_Aktie_verwässert!A$3:AK$103,14,FALSE)&lt;&gt;"",IF(VLOOKUP(A48,Ergebnis_je_Aktie_verwässert!A$3:AK$103,14,FALSE)&lt;=0,2,IF(VLOOKUP(A48,Dividende_je_Aktie!A$3:AM$103,14,FALSE)/VLOOKUP(A48,Ergebnis_je_Aktie_verwässert!A$3:AK$103,14,FALSE)&gt;=2,2,VLOOKUP(A48,Dividende_je_Aktie!A$3:AM$103,14,FALSE)/VLOOKUP(A48,Ergebnis_je_Aktie_verwässert!A$3:AK$103,14,FALSE))),""),"")</f>
        <v>0.43859649122807021</v>
      </c>
      <c r="O48" s="5">
        <f>IF(VLOOKUP(A48,Dividende_je_Aktie!A$3:AM$103,15,FALSE)&lt;&gt;"",IF(VLOOKUP(A48,Ergebnis_je_Aktie_verwässert!A$3:AK$103,15,FALSE)&lt;&gt;"",IF(VLOOKUP(A48,Ergebnis_je_Aktie_verwässert!A$3:AK$103,15,FALSE)&lt;=0,2,IF(VLOOKUP(A48,Dividende_je_Aktie!A$3:AM$103,15,FALSE)/VLOOKUP(A48,Ergebnis_je_Aktie_verwässert!A$3:AK$103,15,FALSE)&gt;=2,2,VLOOKUP(A48,Dividende_je_Aktie!A$3:AM$103,15,FALSE)/VLOOKUP(A48,Ergebnis_je_Aktie_verwässert!A$3:AK$103,15,FALSE))),""),"")</f>
        <v>0.41260744985673348</v>
      </c>
      <c r="P48" s="5">
        <f>IF(VLOOKUP(A48,Dividende_je_Aktie!A$3:AM$103,16,FALSE)&lt;&gt;"",IF(VLOOKUP(A48,Ergebnis_je_Aktie_verwässert!A$3:AK$103,16,FALSE)&lt;&gt;"",IF(VLOOKUP(A48,Ergebnis_je_Aktie_verwässert!A$3:AK$103,16,FALSE)&lt;=0,2,IF(VLOOKUP(A48,Dividende_je_Aktie!A$3:AM$103,16,FALSE)/VLOOKUP(A48,Ergebnis_je_Aktie_verwässert!A$3:AK$103,16,FALSE)&gt;=2,2,VLOOKUP(A48,Dividende_je_Aktie!A$3:AM$103,16,FALSE)/VLOOKUP(A48,Ergebnis_je_Aktie_verwässert!A$3:AK$103,16,FALSE))),""),"")</f>
        <v>0.4107142857142857</v>
      </c>
      <c r="Q48" s="5">
        <f>IF(VLOOKUP(A48,Dividende_je_Aktie!A$3:AM$103,17,FALSE)&lt;&gt;"",IF(VLOOKUP(A48,Ergebnis_je_Aktie_verwässert!A$3:AK$103,17,FALSE)&lt;&gt;"",IF(VLOOKUP(A48,Ergebnis_je_Aktie_verwässert!A$3:AK$103,17,FALSE)&lt;=0,2,IF(VLOOKUP(A48,Dividende_je_Aktie!A$3:AM$103,17,FALSE)/VLOOKUP(A48,Ergebnis_je_Aktie_verwässert!A$3:AK$103,17,FALSE)&gt;=2,2,VLOOKUP(A48,Dividende_je_Aktie!A$3:AM$103,17,FALSE)/VLOOKUP(A48,Ergebnis_je_Aktie_verwässert!A$3:AK$103,17,FALSE))),""),"")</f>
        <v>0.39597315436241609</v>
      </c>
      <c r="R48" s="5">
        <f>IF(VLOOKUP(A48,Dividende_je_Aktie!A$3:AM$103,18,FALSE)&lt;&gt;"",IF(VLOOKUP(A48,Ergebnis_je_Aktie_verwässert!A$3:AK$103,18,FALSE)&lt;&gt;"",IF(VLOOKUP(A48,Ergebnis_je_Aktie_verwässert!A$3:AK$103,18,FALSE)&lt;=0,2,IF(VLOOKUP(A48,Dividende_je_Aktie!A$3:AM$103,18,FALSE)/VLOOKUP(A48,Ergebnis_je_Aktie_verwässert!A$3:AK$103,18,FALSE)&gt;=2,2,VLOOKUP(A48,Dividende_je_Aktie!A$3:AM$103,18,FALSE)/VLOOKUP(A48,Ergebnis_je_Aktie_verwässert!A$3:AK$103,18,FALSE))),""),"")</f>
        <v>0.38461538461538458</v>
      </c>
      <c r="S48" s="10">
        <f t="shared" si="6"/>
        <v>0.45602635681847264</v>
      </c>
      <c r="T48" s="4">
        <f t="shared" ca="1" si="7"/>
        <v>0</v>
      </c>
      <c r="U48" s="4">
        <f t="shared" ca="1" si="8"/>
        <v>122</v>
      </c>
      <c r="V48" s="4">
        <f t="shared" ca="1" si="9"/>
        <v>238</v>
      </c>
      <c r="W48" s="10">
        <f t="shared" ca="1" si="10"/>
        <v>0.50073033068202144</v>
      </c>
      <c r="X48" s="5">
        <f t="shared" ca="1" si="11"/>
        <v>9.8029364301291499E-2</v>
      </c>
    </row>
    <row r="49" spans="1:24" x14ac:dyDescent="0.25">
      <c r="A49" t="s">
        <v>85</v>
      </c>
      <c r="B49" t="s">
        <v>86</v>
      </c>
      <c r="C49" s="56">
        <v>31</v>
      </c>
      <c r="D49" s="56">
        <v>12</v>
      </c>
      <c r="E49" s="56">
        <v>2015</v>
      </c>
      <c r="F49" s="5">
        <f>IF(VLOOKUP(A49,Dividende_je_Aktie!A$3:AM$103,6,FALSE)&lt;&gt;"",IF(VLOOKUP(A49,Ergebnis_je_Aktie_verwässert!A$3:AK$103,6,FALSE)&lt;&gt;"",IF(VLOOKUP(A49,Ergebnis_je_Aktie_verwässert!A$3:AK$103,6,FALSE)&lt;=0,2,IF(VLOOKUP(A49,Dividende_je_Aktie!A$3:AM$103,6,FALSE)/VLOOKUP(A49,Ergebnis_je_Aktie_verwässert!A$3:AK$103,6,FALSE)&gt;=2,2,VLOOKUP(A49,Dividende_je_Aktie!A$3:AM$103,6,FALSE)/VLOOKUP(A49,Ergebnis_je_Aktie_verwässert!A$3:AK$103,6,FALSE))),""),"")</f>
        <v>0.62406015037593976</v>
      </c>
      <c r="G49" s="5">
        <f>IF(VLOOKUP(A49,Dividende_je_Aktie!A$3:AM$103,7,FALSE)&lt;&gt;"",IF(VLOOKUP(A49,Ergebnis_je_Aktie_verwässert!A$3:AK$103,7,FALSE)&lt;&gt;"",IF(VLOOKUP(A49,Ergebnis_je_Aktie_verwässert!A$3:AK$103,7,FALSE)&lt;=0,2,IF(VLOOKUP(A49,Dividende_je_Aktie!A$3:AM$103,7,FALSE)/VLOOKUP(A49,Ergebnis_je_Aktie_verwässert!A$3:AK$103,7,FALSE)&gt;=2,2,VLOOKUP(A49,Dividende_je_Aktie!A$3:AM$103,7,FALSE)/VLOOKUP(A49,Ergebnis_je_Aktie_verwässert!A$3:AK$103,7,FALSE))),""),"")</f>
        <v>0.65560165975103735</v>
      </c>
      <c r="H49" s="5">
        <f>IF(VLOOKUP(A49,Dividende_je_Aktie!A$3:AM$103,8,FALSE)&lt;&gt;"",IF(VLOOKUP(A49,Ergebnis_je_Aktie_verwässert!A$3:AK$103,8,FALSE)&lt;&gt;"",IF(VLOOKUP(A49,Ergebnis_je_Aktie_verwässert!A$3:AK$103,8,FALSE)&lt;=0,2,IF(VLOOKUP(A49,Dividende_je_Aktie!A$3:AM$103,8,FALSE)/VLOOKUP(A49,Ergebnis_je_Aktie_verwässert!A$3:AK$103,8,FALSE)&gt;=2,2,VLOOKUP(A49,Dividende_je_Aktie!A$3:AM$103,8,FALSE)/VLOOKUP(A49,Ergebnis_je_Aktie_verwässert!A$3:AK$103,8,FALSE))),""),"")</f>
        <v>0.67184035476718407</v>
      </c>
      <c r="I49" s="5">
        <f>IF(VLOOKUP(A49,Dividende_je_Aktie!A$3:AM$103,9,FALSE)&lt;&gt;"",IF(VLOOKUP(A49,Ergebnis_je_Aktie_verwässert!A$3:AK$103,9,FALSE)&lt;&gt;"",IF(VLOOKUP(A49,Ergebnis_je_Aktie_verwässert!A$3:AK$103,9,FALSE)&lt;=0,2,IF(VLOOKUP(A49,Dividende_je_Aktie!A$3:AM$103,9,FALSE)/VLOOKUP(A49,Ergebnis_je_Aktie_verwässert!A$3:AK$103,9,FALSE)&gt;=2,2,VLOOKUP(A49,Dividende_je_Aktie!A$3:AM$103,9,FALSE)/VLOOKUP(A49,Ergebnis_je_Aktie_verwässert!A$3:AK$103,9,FALSE))),""),"")</f>
        <v>0.84848484848484851</v>
      </c>
      <c r="J49" s="5">
        <f>IF(VLOOKUP(A49,Dividende_je_Aktie!A$3:AM$103,10,FALSE)&lt;&gt;"",IF(VLOOKUP(A49,Ergebnis_je_Aktie_verwässert!A$3:AK$103,10,FALSE)&lt;&gt;"",IF(VLOOKUP(A49,Ergebnis_je_Aktie_verwässert!A$3:AK$103,10,FALSE)&lt;=0,2,IF(VLOOKUP(A49,Dividende_je_Aktie!A$3:AM$103,10,FALSE)/VLOOKUP(A49,Ergebnis_je_Aktie_verwässert!A$3:AK$103,10,FALSE)&gt;=2,2,VLOOKUP(A49,Dividende_je_Aktie!A$3:AM$103,10,FALSE)/VLOOKUP(A49,Ergebnis_je_Aktie_verwässert!A$3:AK$103,10,FALSE))),""),"")</f>
        <v>0.99640287769784175</v>
      </c>
      <c r="K49" s="5">
        <f>IF(VLOOKUP(A49,Dividende_je_Aktie!A$3:AM$103,11,FALSE)&lt;&gt;"",IF(VLOOKUP(A49,Ergebnis_je_Aktie_verwässert!A$3:AK$103,11,FALSE)&lt;&gt;"",IF(VLOOKUP(A49,Ergebnis_je_Aktie_verwässert!A$3:AK$103,11,FALSE)&lt;=0,2,IF(VLOOKUP(A49,Dividende_je_Aktie!A$3:AM$103,11,FALSE)/VLOOKUP(A49,Ergebnis_je_Aktie_verwässert!A$3:AK$103,11,FALSE)&gt;=2,2,VLOOKUP(A49,Dividende_je_Aktie!A$3:AM$103,11,FALSE)/VLOOKUP(A49,Ergebnis_je_Aktie_verwässert!A$3:AK$103,11,FALSE))),""),"")</f>
        <v>0.70855614973262027</v>
      </c>
      <c r="L49" s="5">
        <f>IF(VLOOKUP(A49,Dividende_je_Aktie!A$3:AM$103,12,FALSE)&lt;&gt;"",IF(VLOOKUP(A49,Ergebnis_je_Aktie_verwässert!A$3:AK$103,12,FALSE)&lt;&gt;"",IF(VLOOKUP(A49,Ergebnis_je_Aktie_verwässert!A$3:AK$103,12,FALSE)&lt;=0,2,IF(VLOOKUP(A49,Dividende_je_Aktie!A$3:AM$103,12,FALSE)/VLOOKUP(A49,Ergebnis_je_Aktie_verwässert!A$3:AK$103,12,FALSE)&gt;=2,2,VLOOKUP(A49,Dividende_je_Aktie!A$3:AM$103,12,FALSE)/VLOOKUP(A49,Ergebnis_je_Aktie_verwässert!A$3:AK$103,12,FALSE))),""),"")</f>
        <v>0.58275058275058278</v>
      </c>
      <c r="M49" s="5">
        <f>IF(VLOOKUP(A49,Dividende_je_Aktie!A$3:AM$103,13,FALSE)&lt;&gt;"",IF(VLOOKUP(A49,Ergebnis_je_Aktie_verwässert!A$3:AK$103,13,FALSE)&lt;&gt;"",IF(VLOOKUP(A49,Ergebnis_je_Aktie_verwässert!A$3:AK$103,13,FALSE)&lt;=0,2,IF(VLOOKUP(A49,Dividende_je_Aktie!A$3:AM$103,13,FALSE)/VLOOKUP(A49,Ergebnis_je_Aktie_verwässert!A$3:AK$103,13,FALSE)&gt;=2,2,VLOOKUP(A49,Dividende_je_Aktie!A$3:AM$103,13,FALSE)/VLOOKUP(A49,Ergebnis_je_Aktie_verwässert!A$3:AK$103,13,FALSE))),""),"")</f>
        <v>0.57416267942583732</v>
      </c>
      <c r="N49" s="5">
        <f>IF(VLOOKUP(A49,Dividende_je_Aktie!A$3:AM$103,14,FALSE)&lt;&gt;"",IF(VLOOKUP(A49,Ergebnis_je_Aktie_verwässert!A$3:AK$103,14,FALSE)&lt;&gt;"",IF(VLOOKUP(A49,Ergebnis_je_Aktie_verwässert!A$3:AK$103,14,FALSE)&lt;=0,2,IF(VLOOKUP(A49,Dividende_je_Aktie!A$3:AM$103,14,FALSE)/VLOOKUP(A49,Ergebnis_je_Aktie_verwässert!A$3:AK$103,14,FALSE)&gt;=2,2,VLOOKUP(A49,Dividende_je_Aktie!A$3:AM$103,14,FALSE)/VLOOKUP(A49,Ergebnis_je_Aktie_verwässert!A$3:AK$103,14,FALSE))),""),"")</f>
        <v>0.54590570719602982</v>
      </c>
      <c r="O49" s="5">
        <f>IF(VLOOKUP(A49,Dividende_je_Aktie!A$3:AM$103,15,FALSE)&lt;&gt;"",IF(VLOOKUP(A49,Ergebnis_je_Aktie_verwässert!A$3:AK$103,15,FALSE)&lt;&gt;"",IF(VLOOKUP(A49,Ergebnis_je_Aktie_verwässert!A$3:AK$103,15,FALSE)&lt;=0,2,IF(VLOOKUP(A49,Dividende_je_Aktie!A$3:AM$103,15,FALSE)/VLOOKUP(A49,Ergebnis_je_Aktie_verwässert!A$3:AK$103,15,FALSE)&gt;=2,2,VLOOKUP(A49,Dividende_je_Aktie!A$3:AM$103,15,FALSE)/VLOOKUP(A49,Ergebnis_je_Aktie_verwässert!A$3:AK$103,15,FALSE))),""),"")</f>
        <v>0.70408163265306123</v>
      </c>
      <c r="P49" s="5">
        <f>IF(VLOOKUP(A49,Dividende_je_Aktie!A$3:AM$103,16,FALSE)&lt;&gt;"",IF(VLOOKUP(A49,Ergebnis_je_Aktie_verwässert!A$3:AK$103,16,FALSE)&lt;&gt;"",IF(VLOOKUP(A49,Ergebnis_je_Aktie_verwässert!A$3:AK$103,16,FALSE)&lt;=0,2,IF(VLOOKUP(A49,Dividende_je_Aktie!A$3:AM$103,16,FALSE)/VLOOKUP(A49,Ergebnis_je_Aktie_verwässert!A$3:AK$103,16,FALSE)&gt;=2,2,VLOOKUP(A49,Dividende_je_Aktie!A$3:AM$103,16,FALSE)/VLOOKUP(A49,Ergebnis_je_Aktie_verwässert!A$3:AK$103,16,FALSE))),""),"")</f>
        <v>0.44987146529562982</v>
      </c>
      <c r="Q49" s="5">
        <f>IF(VLOOKUP(A49,Dividende_je_Aktie!A$3:AM$103,17,FALSE)&lt;&gt;"",IF(VLOOKUP(A49,Ergebnis_je_Aktie_verwässert!A$3:AK$103,17,FALSE)&lt;&gt;"",IF(VLOOKUP(A49,Ergebnis_je_Aktie_verwässert!A$3:AK$103,17,FALSE)&lt;=0,2,IF(VLOOKUP(A49,Dividende_je_Aktie!A$3:AM$103,17,FALSE)/VLOOKUP(A49,Ergebnis_je_Aktie_verwässert!A$3:AK$103,17,FALSE)&gt;=2,2,VLOOKUP(A49,Dividende_je_Aktie!A$3:AM$103,17,FALSE)/VLOOKUP(A49,Ergebnis_je_Aktie_verwässert!A$3:AK$103,17,FALSE))),""),"")</f>
        <v>0.51525423728813557</v>
      </c>
      <c r="R49" s="5">
        <f>IF(VLOOKUP(A49,Dividende_je_Aktie!A$3:AM$103,18,FALSE)&lt;&gt;"",IF(VLOOKUP(A49,Ergebnis_je_Aktie_verwässert!A$3:AK$103,18,FALSE)&lt;&gt;"",IF(VLOOKUP(A49,Ergebnis_je_Aktie_verwässert!A$3:AK$103,18,FALSE)&lt;=0,2,IF(VLOOKUP(A49,Dividende_je_Aktie!A$3:AM$103,18,FALSE)/VLOOKUP(A49,Ergebnis_je_Aktie_verwässert!A$3:AK$103,18,FALSE)&gt;=2,2,VLOOKUP(A49,Dividende_je_Aktie!A$3:AM$103,18,FALSE)/VLOOKUP(A49,Ergebnis_je_Aktie_verwässert!A$3:AK$103,18,FALSE))),""),"")</f>
        <v>0.7142857142857143</v>
      </c>
      <c r="S49" s="10">
        <f t="shared" si="6"/>
        <v>0.66086600459265088</v>
      </c>
      <c r="T49" s="4">
        <f t="shared" ca="1" si="7"/>
        <v>0</v>
      </c>
      <c r="U49" s="4">
        <f t="shared" ca="1" si="8"/>
        <v>122</v>
      </c>
      <c r="V49" s="4">
        <f t="shared" ca="1" si="9"/>
        <v>238</v>
      </c>
      <c r="W49" s="10">
        <f t="shared" ca="1" si="10"/>
        <v>0.66633724145615658</v>
      </c>
      <c r="X49" s="5">
        <f t="shared" ca="1" si="11"/>
        <v>8.2788898588876947E-3</v>
      </c>
    </row>
    <row r="50" spans="1:24" x14ac:dyDescent="0.25">
      <c r="A50" t="s">
        <v>87</v>
      </c>
      <c r="B50" t="s">
        <v>88</v>
      </c>
      <c r="C50" s="56">
        <v>30</v>
      </c>
      <c r="D50" s="56">
        <v>6</v>
      </c>
      <c r="E50" s="56">
        <v>2015</v>
      </c>
      <c r="F50" s="5">
        <f>IF(VLOOKUP(A50,Dividende_je_Aktie!A$3:AM$103,6,FALSE)&lt;&gt;"",IF(VLOOKUP(A50,Ergebnis_je_Aktie_verwässert!A$3:AK$103,6,FALSE)&lt;&gt;"",IF(VLOOKUP(A50,Ergebnis_je_Aktie_verwässert!A$3:AK$103,6,FALSE)&lt;=0,2,IF(VLOOKUP(A50,Dividende_je_Aktie!A$3:AM$103,6,FALSE)/VLOOKUP(A50,Ergebnis_je_Aktie_verwässert!A$3:AK$103,6,FALSE)&gt;=2,2,VLOOKUP(A50,Dividende_je_Aktie!A$3:AM$103,6,FALSE)/VLOOKUP(A50,Ergebnis_je_Aktie_verwässert!A$3:AK$103,6,FALSE))),""),"")</f>
        <v>0.58942307692307694</v>
      </c>
      <c r="G50" s="5">
        <f>IF(VLOOKUP(A50,Dividende_je_Aktie!A$3:AM$103,7,FALSE)&lt;&gt;"",IF(VLOOKUP(A50,Ergebnis_je_Aktie_verwässert!A$3:AK$103,7,FALSE)&lt;&gt;"",IF(VLOOKUP(A50,Ergebnis_je_Aktie_verwässert!A$3:AK$103,7,FALSE)&lt;=0,2,IF(VLOOKUP(A50,Dividende_je_Aktie!A$3:AM$103,7,FALSE)/VLOOKUP(A50,Ergebnis_je_Aktie_verwässert!A$3:AK$103,7,FALSE)&gt;=2,2,VLOOKUP(A50,Dividende_je_Aktie!A$3:AM$103,7,FALSE)/VLOOKUP(A50,Ergebnis_je_Aktie_verwässert!A$3:AK$103,7,FALSE))),""),"")</f>
        <v>0.59545923632610942</v>
      </c>
      <c r="H50" s="5">
        <f>IF(VLOOKUP(A50,Dividende_je_Aktie!A$3:AM$103,8,FALSE)&lt;&gt;"",IF(VLOOKUP(A50,Ergebnis_je_Aktie_verwässert!A$3:AK$103,8,FALSE)&lt;&gt;"",IF(VLOOKUP(A50,Ergebnis_je_Aktie_verwässert!A$3:AK$103,8,FALSE)&lt;=0,2,IF(VLOOKUP(A50,Dividende_je_Aktie!A$3:AM$103,8,FALSE)/VLOOKUP(A50,Ergebnis_je_Aktie_verwässert!A$3:AK$103,8,FALSE)&gt;=2,2,VLOOKUP(A50,Dividende_je_Aktie!A$3:AM$103,8,FALSE)/VLOOKUP(A50,Ergebnis_je_Aktie_verwässert!A$3:AK$103,8,FALSE))),""),"")</f>
        <v>0.61345496009122014</v>
      </c>
      <c r="I50" s="5">
        <f>IF(VLOOKUP(A50,Dividende_je_Aktie!A$3:AM$103,9,FALSE)&lt;&gt;"",IF(VLOOKUP(A50,Ergebnis_je_Aktie_verwässert!A$3:AK$103,9,FALSE)&lt;&gt;"",IF(VLOOKUP(A50,Ergebnis_je_Aktie_verwässert!A$3:AK$103,9,FALSE)&lt;=0,2,IF(VLOOKUP(A50,Dividende_je_Aktie!A$3:AM$103,9,FALSE)/VLOOKUP(A50,Ergebnis_je_Aktie_verwässert!A$3:AK$103,9,FALSE)&gt;=2,2,VLOOKUP(A50,Dividende_je_Aktie!A$3:AM$103,9,FALSE)/VLOOKUP(A50,Ergebnis_je_Aktie_verwässert!A$3:AK$103,9,FALSE))),""),"")</f>
        <v>0.58230683090705493</v>
      </c>
      <c r="J50" s="5">
        <f>IF(VLOOKUP(A50,Dividende_je_Aktie!A$3:AM$103,10,FALSE)&lt;&gt;"",IF(VLOOKUP(A50,Ergebnis_je_Aktie_verwässert!A$3:AK$103,10,FALSE)&lt;&gt;"",IF(VLOOKUP(A50,Ergebnis_je_Aktie_verwässert!A$3:AK$103,10,FALSE)&lt;=0,2,IF(VLOOKUP(A50,Dividende_je_Aktie!A$3:AM$103,10,FALSE)/VLOOKUP(A50,Ergebnis_je_Aktie_verwässert!A$3:AK$103,10,FALSE)&gt;=2,2,VLOOKUP(A50,Dividende_je_Aktie!A$3:AM$103,10,FALSE)/VLOOKUP(A50,Ergebnis_je_Aktie_verwässert!A$3:AK$103,10,FALSE))),""),"")</f>
        <v>0.47474747474747475</v>
      </c>
      <c r="K50" s="5">
        <f>IF(VLOOKUP(A50,Dividende_je_Aktie!A$3:AM$103,11,FALSE)&lt;&gt;"",IF(VLOOKUP(A50,Ergebnis_je_Aktie_verwässert!A$3:AK$103,11,FALSE)&lt;&gt;"",IF(VLOOKUP(A50,Ergebnis_je_Aktie_verwässert!A$3:AK$103,11,FALSE)&lt;=0,2,IF(VLOOKUP(A50,Dividende_je_Aktie!A$3:AM$103,11,FALSE)/VLOOKUP(A50,Ergebnis_je_Aktie_verwässert!A$3:AK$103,11,FALSE)&gt;=2,2,VLOOKUP(A50,Dividende_je_Aktie!A$3:AM$103,11,FALSE)/VLOOKUP(A50,Ergebnis_je_Aktie_verwässert!A$3:AK$103,11,FALSE))),""),"")</f>
        <v>0.5714285714285714</v>
      </c>
      <c r="L50" s="5">
        <f>IF(VLOOKUP(A50,Dividende_je_Aktie!A$3:AM$103,12,FALSE)&lt;&gt;"",IF(VLOOKUP(A50,Ergebnis_je_Aktie_verwässert!A$3:AK$103,12,FALSE)&lt;&gt;"",IF(VLOOKUP(A50,Ergebnis_je_Aktie_verwässert!A$3:AK$103,12,FALSE)&lt;=0,2,IF(VLOOKUP(A50,Dividende_je_Aktie!A$3:AM$103,12,FALSE)/VLOOKUP(A50,Ergebnis_je_Aktie_verwässert!A$3:AK$103,12,FALSE)&gt;=2,2,VLOOKUP(A50,Dividende_je_Aktie!A$3:AM$103,12,FALSE)/VLOOKUP(A50,Ergebnis_je_Aktie_verwässert!A$3:AK$103,12,FALSE))),""),"")</f>
        <v>0.52631578947368418</v>
      </c>
      <c r="M50" s="5">
        <f>IF(VLOOKUP(A50,Dividende_je_Aktie!A$3:AM$103,13,FALSE)&lt;&gt;"",IF(VLOOKUP(A50,Ergebnis_je_Aktie_verwässert!A$3:AK$103,13,FALSE)&lt;&gt;"",IF(VLOOKUP(A50,Ergebnis_je_Aktie_verwässert!A$3:AK$103,13,FALSE)&lt;=0,2,IF(VLOOKUP(A50,Dividende_je_Aktie!A$3:AM$103,13,FALSE)/VLOOKUP(A50,Ergebnis_je_Aktie_verwässert!A$3:AK$103,13,FALSE)&gt;=2,2,VLOOKUP(A50,Dividende_je_Aktie!A$3:AM$103,13,FALSE)/VLOOKUP(A50,Ergebnis_je_Aktie_verwässert!A$3:AK$103,13,FALSE))),""),"")</f>
        <v>0.57575757575757569</v>
      </c>
      <c r="N50" s="5">
        <f>IF(VLOOKUP(A50,Dividende_je_Aktie!A$3:AM$103,14,FALSE)&lt;&gt;"",IF(VLOOKUP(A50,Ergebnis_je_Aktie_verwässert!A$3:AK$103,14,FALSE)&lt;&gt;"",IF(VLOOKUP(A50,Ergebnis_je_Aktie_verwässert!A$3:AK$103,14,FALSE)&lt;=0,2,IF(VLOOKUP(A50,Dividende_je_Aktie!A$3:AM$103,14,FALSE)/VLOOKUP(A50,Ergebnis_je_Aktie_verwässert!A$3:AK$103,14,FALSE)&gt;=2,2,VLOOKUP(A50,Dividende_je_Aktie!A$3:AM$103,14,FALSE)/VLOOKUP(A50,Ergebnis_je_Aktie_verwässert!A$3:AK$103,14,FALSE))),""),"")</f>
        <v>0.55384615384615377</v>
      </c>
      <c r="O50" s="5">
        <f>IF(VLOOKUP(A50,Dividende_je_Aktie!A$3:AM$103,15,FALSE)&lt;&gt;"",IF(VLOOKUP(A50,Ergebnis_je_Aktie_verwässert!A$3:AK$103,15,FALSE)&lt;&gt;"",IF(VLOOKUP(A50,Ergebnis_je_Aktie_verwässert!A$3:AK$103,15,FALSE)&lt;=0,2,IF(VLOOKUP(A50,Dividende_je_Aktie!A$3:AM$103,15,FALSE)/VLOOKUP(A50,Ergebnis_je_Aktie_verwässert!A$3:AK$103,15,FALSE)&gt;=2,2,VLOOKUP(A50,Dividende_je_Aktie!A$3:AM$103,15,FALSE)/VLOOKUP(A50,Ergebnis_je_Aktie_verwässert!A$3:AK$103,15,FALSE))),""),"")</f>
        <v>0.57627118644067798</v>
      </c>
      <c r="P50" s="5">
        <f>IF(VLOOKUP(A50,Dividende_je_Aktie!A$3:AM$103,16,FALSE)&lt;&gt;"",IF(VLOOKUP(A50,Ergebnis_je_Aktie_verwässert!A$3:AK$103,16,FALSE)&lt;&gt;"",IF(VLOOKUP(A50,Ergebnis_je_Aktie_verwässert!A$3:AK$103,16,FALSE)&lt;=0,2,IF(VLOOKUP(A50,Dividende_je_Aktie!A$3:AM$103,16,FALSE)/VLOOKUP(A50,Ergebnis_je_Aktie_verwässert!A$3:AK$103,16,FALSE)&gt;=2,2,VLOOKUP(A50,Dividende_je_Aktie!A$3:AM$103,16,FALSE)/VLOOKUP(A50,Ergebnis_je_Aktie_verwässert!A$3:AK$103,16,FALSE))),""),"")</f>
        <v>0.6</v>
      </c>
      <c r="Q50" s="5">
        <f>IF(VLOOKUP(A50,Dividende_je_Aktie!A$3:AM$103,17,FALSE)&lt;&gt;"",IF(VLOOKUP(A50,Ergebnis_je_Aktie_verwässert!A$3:AK$103,17,FALSE)&lt;&gt;"",IF(VLOOKUP(A50,Ergebnis_je_Aktie_verwässert!A$3:AK$103,17,FALSE)&lt;=0,2,IF(VLOOKUP(A50,Dividende_je_Aktie!A$3:AM$103,17,FALSE)/VLOOKUP(A50,Ergebnis_je_Aktie_verwässert!A$3:AK$103,17,FALSE)&gt;=2,2,VLOOKUP(A50,Dividende_je_Aktie!A$3:AM$103,17,FALSE)/VLOOKUP(A50,Ergebnis_je_Aktie_verwässert!A$3:AK$103,17,FALSE))),""),"")</f>
        <v>0.46268656716417905</v>
      </c>
      <c r="R50" s="5">
        <f>IF(VLOOKUP(A50,Dividende_je_Aktie!A$3:AM$103,18,FALSE)&lt;&gt;"",IF(VLOOKUP(A50,Ergebnis_je_Aktie_verwässert!A$3:AK$103,18,FALSE)&lt;&gt;"",IF(VLOOKUP(A50,Ergebnis_je_Aktie_verwässert!A$3:AK$103,18,FALSE)&lt;=0,2,IF(VLOOKUP(A50,Dividende_je_Aktie!A$3:AM$103,18,FALSE)/VLOOKUP(A50,Ergebnis_je_Aktie_verwässert!A$3:AK$103,18,FALSE)&gt;=2,2,VLOOKUP(A50,Dividende_je_Aktie!A$3:AM$103,18,FALSE)/VLOOKUP(A50,Ergebnis_je_Aktie_verwässert!A$3:AK$103,18,FALSE))),""),"")</f>
        <v>0.65217391304347816</v>
      </c>
      <c r="S50" s="10">
        <f t="shared" si="6"/>
        <v>0.5672208720114813</v>
      </c>
      <c r="T50" s="4">
        <f t="shared" ca="1" si="7"/>
        <v>0</v>
      </c>
      <c r="U50" s="4">
        <f t="shared" ca="1" si="8"/>
        <v>303</v>
      </c>
      <c r="V50" s="4">
        <f t="shared" ca="1" si="9"/>
        <v>57</v>
      </c>
      <c r="W50" s="10">
        <f t="shared" ca="1" si="10"/>
        <v>0.59830855925558524</v>
      </c>
      <c r="X50" s="5">
        <f t="shared" ca="1" si="11"/>
        <v>5.4807022763214919E-2</v>
      </c>
    </row>
    <row r="51" spans="1:24" x14ac:dyDescent="0.25">
      <c r="A51" t="s">
        <v>89</v>
      </c>
      <c r="B51" t="s">
        <v>90</v>
      </c>
      <c r="C51" s="56">
        <v>31</v>
      </c>
      <c r="D51" s="56">
        <v>3</v>
      </c>
      <c r="E51" s="56">
        <v>2015</v>
      </c>
      <c r="F51" s="5">
        <f>IF(VLOOKUP(A51,Dividende_je_Aktie!A$3:AM$103,6,FALSE)&lt;&gt;"",IF(VLOOKUP(A51,Ergebnis_je_Aktie_verwässert!A$3:AK$103,6,FALSE)&lt;&gt;"",IF(VLOOKUP(A51,Ergebnis_je_Aktie_verwässert!A$3:AK$103,6,FALSE)&lt;=0,2,IF(VLOOKUP(A51,Dividende_je_Aktie!A$3:AM$103,6,FALSE)/VLOOKUP(A51,Ergebnis_je_Aktie_verwässert!A$3:AK$103,6,FALSE)&gt;=2,2,VLOOKUP(A51,Dividende_je_Aktie!A$3:AM$103,6,FALSE)/VLOOKUP(A51,Ergebnis_je_Aktie_verwässert!A$3:AK$103,6,FALSE))),""),"")</f>
        <v>0.51020408163265307</v>
      </c>
      <c r="G51" s="5">
        <f>IF(VLOOKUP(A51,Dividende_je_Aktie!A$3:AM$103,7,FALSE)&lt;&gt;"",IF(VLOOKUP(A51,Ergebnis_je_Aktie_verwässert!A$3:AK$103,7,FALSE)&lt;&gt;"",IF(VLOOKUP(A51,Ergebnis_je_Aktie_verwässert!A$3:AK$103,7,FALSE)&lt;=0,2,IF(VLOOKUP(A51,Dividende_je_Aktie!A$3:AM$103,7,FALSE)/VLOOKUP(A51,Ergebnis_je_Aktie_verwässert!A$3:AK$103,7,FALSE)&gt;=2,2,VLOOKUP(A51,Dividende_je_Aktie!A$3:AM$103,7,FALSE)/VLOOKUP(A51,Ergebnis_je_Aktie_verwässert!A$3:AK$103,7,FALSE))),""),"")</f>
        <v>0.51555555555555554</v>
      </c>
      <c r="H51" s="5">
        <f>IF(VLOOKUP(A51,Dividende_je_Aktie!A$3:AM$103,8,FALSE)&lt;&gt;"",IF(VLOOKUP(A51,Ergebnis_je_Aktie_verwässert!A$3:AK$103,8,FALSE)&lt;&gt;"",IF(VLOOKUP(A51,Ergebnis_je_Aktie_verwässert!A$3:AK$103,8,FALSE)&lt;=0,2,IF(VLOOKUP(A51,Dividende_je_Aktie!A$3:AM$103,8,FALSE)/VLOOKUP(A51,Ergebnis_je_Aktie_verwässert!A$3:AK$103,8,FALSE)&gt;=2,2,VLOOKUP(A51,Dividende_je_Aktie!A$3:AM$103,8,FALSE)/VLOOKUP(A51,Ergebnis_je_Aktie_verwässert!A$3:AK$103,8,FALSE))),""),"")</f>
        <v>0.47619047619047622</v>
      </c>
      <c r="I51" s="5">
        <f>IF(VLOOKUP(A51,Dividende_je_Aktie!A$3:AM$103,9,FALSE)&lt;&gt;"",IF(VLOOKUP(A51,Ergebnis_je_Aktie_verwässert!A$3:AK$103,9,FALSE)&lt;&gt;"",IF(VLOOKUP(A51,Ergebnis_je_Aktie_verwässert!A$3:AK$103,9,FALSE)&lt;=0,2,IF(VLOOKUP(A51,Dividende_je_Aktie!A$3:AM$103,9,FALSE)/VLOOKUP(A51,Ergebnis_je_Aktie_verwässert!A$3:AK$103,9,FALSE)&gt;=2,2,VLOOKUP(A51,Dividende_je_Aktie!A$3:AM$103,9,FALSE)/VLOOKUP(A51,Ergebnis_je_Aktie_verwässert!A$3:AK$103,9,FALSE))),""),"")</f>
        <v>0.50239234449760772</v>
      </c>
      <c r="J51" s="5">
        <f>IF(VLOOKUP(A51,Dividende_je_Aktie!A$3:AM$103,10,FALSE)&lt;&gt;"",IF(VLOOKUP(A51,Ergebnis_je_Aktie_verwässert!A$3:AK$103,10,FALSE)&lt;&gt;"",IF(VLOOKUP(A51,Ergebnis_je_Aktie_verwässert!A$3:AK$103,10,FALSE)&lt;=0,2,IF(VLOOKUP(A51,Dividende_je_Aktie!A$3:AM$103,10,FALSE)/VLOOKUP(A51,Ergebnis_je_Aktie_verwässert!A$3:AK$103,10,FALSE)&gt;=2,2,VLOOKUP(A51,Dividende_je_Aktie!A$3:AM$103,10,FALSE)/VLOOKUP(A51,Ergebnis_je_Aktie_verwässert!A$3:AK$103,10,FALSE))),""),"")</f>
        <v>0.49509803921568629</v>
      </c>
      <c r="K51" s="5">
        <f>IF(VLOOKUP(A51,Dividende_je_Aktie!A$3:AM$103,11,FALSE)&lt;&gt;"",IF(VLOOKUP(A51,Ergebnis_je_Aktie_verwässert!A$3:AK$103,11,FALSE)&lt;&gt;"",IF(VLOOKUP(A51,Ergebnis_je_Aktie_verwässert!A$3:AK$103,11,FALSE)&lt;=0,2,IF(VLOOKUP(A51,Dividende_je_Aktie!A$3:AM$103,11,FALSE)/VLOOKUP(A51,Ergebnis_je_Aktie_verwässert!A$3:AK$103,11,FALSE)&gt;=2,2,VLOOKUP(A51,Dividende_je_Aktie!A$3:AM$103,11,FALSE)/VLOOKUP(A51,Ergebnis_je_Aktie_verwässert!A$3:AK$103,11,FALSE))),""),"")</f>
        <v>0.34469696969696967</v>
      </c>
      <c r="L51" s="5">
        <f>IF(VLOOKUP(A51,Dividende_je_Aktie!A$3:AM$103,12,FALSE)&lt;&gt;"",IF(VLOOKUP(A51,Ergebnis_je_Aktie_verwässert!A$3:AK$103,12,FALSE)&lt;&gt;"",IF(VLOOKUP(A51,Ergebnis_je_Aktie_verwässert!A$3:AK$103,12,FALSE)&lt;=0,2,IF(VLOOKUP(A51,Dividende_je_Aktie!A$3:AM$103,12,FALSE)/VLOOKUP(A51,Ergebnis_je_Aktie_verwässert!A$3:AK$103,12,FALSE)&gt;=2,2,VLOOKUP(A51,Dividende_je_Aktie!A$3:AM$103,12,FALSE)/VLOOKUP(A51,Ergebnis_je_Aktie_verwässert!A$3:AK$103,12,FALSE))),""),"")</f>
        <v>0.53289473684210531</v>
      </c>
      <c r="M51" s="5">
        <f>IF(VLOOKUP(A51,Dividende_je_Aktie!A$3:AM$103,13,FALSE)&lt;&gt;"",IF(VLOOKUP(A51,Ergebnis_je_Aktie_verwässert!A$3:AK$103,13,FALSE)&lt;&gt;"",IF(VLOOKUP(A51,Ergebnis_je_Aktie_verwässert!A$3:AK$103,13,FALSE)&lt;=0,2,IF(VLOOKUP(A51,Dividende_je_Aktie!A$3:AM$103,13,FALSE)/VLOOKUP(A51,Ergebnis_je_Aktie_verwässert!A$3:AK$103,13,FALSE)&gt;=2,2,VLOOKUP(A51,Dividende_je_Aktie!A$3:AM$103,13,FALSE)/VLOOKUP(A51,Ergebnis_je_Aktie_verwässert!A$3:AK$103,13,FALSE))),""),"")</f>
        <v>0.55737704918032793</v>
      </c>
      <c r="N51" s="5">
        <f>IF(VLOOKUP(A51,Dividende_je_Aktie!A$3:AM$103,14,FALSE)&lt;&gt;"",IF(VLOOKUP(A51,Ergebnis_je_Aktie_verwässert!A$3:AK$103,14,FALSE)&lt;&gt;"",IF(VLOOKUP(A51,Ergebnis_je_Aktie_verwässert!A$3:AK$103,14,FALSE)&lt;=0,2,IF(VLOOKUP(A51,Dividende_je_Aktie!A$3:AM$103,14,FALSE)/VLOOKUP(A51,Ergebnis_je_Aktie_verwässert!A$3:AK$103,14,FALSE)&gt;=2,2,VLOOKUP(A51,Dividende_je_Aktie!A$3:AM$103,14,FALSE)/VLOOKUP(A51,Ergebnis_je_Aktie_verwässert!A$3:AK$103,14,FALSE))),""),"")</f>
        <v>0.46399999999999997</v>
      </c>
      <c r="O51" s="5">
        <f>IF(VLOOKUP(A51,Dividende_je_Aktie!A$3:AM$103,15,FALSE)&lt;&gt;"",IF(VLOOKUP(A51,Ergebnis_je_Aktie_verwässert!A$3:AK$103,15,FALSE)&lt;&gt;"",IF(VLOOKUP(A51,Ergebnis_je_Aktie_verwässert!A$3:AK$103,15,FALSE)&lt;=0,2,IF(VLOOKUP(A51,Dividende_je_Aktie!A$3:AM$103,15,FALSE)/VLOOKUP(A51,Ergebnis_je_Aktie_verwässert!A$3:AK$103,15,FALSE)&gt;=2,2,VLOOKUP(A51,Dividende_je_Aktie!A$3:AM$103,15,FALSE)/VLOOKUP(A51,Ergebnis_je_Aktie_verwässert!A$3:AK$103,15,FALSE))),""),"")</f>
        <v>0.43283582089552231</v>
      </c>
      <c r="P51" s="5">
        <f>IF(VLOOKUP(A51,Dividende_je_Aktie!A$3:AM$103,16,FALSE)&lt;&gt;"",IF(VLOOKUP(A51,Ergebnis_je_Aktie_verwässert!A$3:AK$103,16,FALSE)&lt;&gt;"",IF(VLOOKUP(A51,Ergebnis_je_Aktie_verwässert!A$3:AK$103,16,FALSE)&lt;=0,2,IF(VLOOKUP(A51,Dividende_je_Aktie!A$3:AM$103,16,FALSE)/VLOOKUP(A51,Ergebnis_je_Aktie_verwässert!A$3:AK$103,16,FALSE)&gt;=2,2,VLOOKUP(A51,Dividende_je_Aktie!A$3:AM$103,16,FALSE)/VLOOKUP(A51,Ergebnis_je_Aktie_verwässert!A$3:AK$103,16,FALSE))),""),"")</f>
        <v>0.45454545454545453</v>
      </c>
      <c r="Q51" s="5" t="str">
        <f>IF(VLOOKUP(A51,Dividende_je_Aktie!A$3:AM$103,17,FALSE)&lt;&gt;"",IF(VLOOKUP(A51,Ergebnis_je_Aktie_verwässert!A$3:AK$103,17,FALSE)&lt;&gt;"",IF(VLOOKUP(A51,Ergebnis_je_Aktie_verwässert!A$3:AK$103,17,FALSE)&lt;=0,2,IF(VLOOKUP(A51,Dividende_je_Aktie!A$3:AM$103,17,FALSE)/VLOOKUP(A51,Ergebnis_je_Aktie_verwässert!A$3:AK$103,17,FALSE)&gt;=2,2,VLOOKUP(A51,Dividende_je_Aktie!A$3:AM$103,17,FALSE)/VLOOKUP(A51,Ergebnis_je_Aktie_verwässert!A$3:AK$103,17,FALSE))),""),"")</f>
        <v/>
      </c>
      <c r="R51" s="5" t="str">
        <f>IF(VLOOKUP(A51,Dividende_je_Aktie!A$3:AM$103,18,FALSE)&lt;&gt;"",IF(VLOOKUP(A51,Ergebnis_je_Aktie_verwässert!A$3:AK$103,18,FALSE)&lt;&gt;"",IF(VLOOKUP(A51,Ergebnis_je_Aktie_verwässert!A$3:AK$103,18,FALSE)&lt;=0,2,IF(VLOOKUP(A51,Dividende_je_Aktie!A$3:AM$103,18,FALSE)/VLOOKUP(A51,Ergebnis_je_Aktie_verwässert!A$3:AK$103,18,FALSE)&gt;=2,2,VLOOKUP(A51,Dividende_je_Aktie!A$3:AM$103,18,FALSE)/VLOOKUP(A51,Ergebnis_je_Aktie_verwässert!A$3:AK$103,18,FALSE))),""),"")</f>
        <v/>
      </c>
      <c r="S51" s="10">
        <f t="shared" si="6"/>
        <v>0.48052641165930526</v>
      </c>
      <c r="T51" s="4">
        <f t="shared" ca="1" si="7"/>
        <v>32</v>
      </c>
      <c r="U51" s="4">
        <f t="shared" ca="1" si="8"/>
        <v>328</v>
      </c>
      <c r="V51" s="4">
        <f t="shared" ca="1" si="9"/>
        <v>0</v>
      </c>
      <c r="W51" s="10">
        <f t="shared" ca="1" si="10"/>
        <v>0.51507986898463087</v>
      </c>
      <c r="X51" s="5">
        <f t="shared" ca="1" si="11"/>
        <v>7.1907509112785428E-2</v>
      </c>
    </row>
    <row r="52" spans="1:24" x14ac:dyDescent="0.25">
      <c r="A52" t="s">
        <v>91</v>
      </c>
      <c r="B52" t="s">
        <v>92</v>
      </c>
      <c r="C52" s="56">
        <v>31</v>
      </c>
      <c r="D52" s="56">
        <v>12</v>
      </c>
      <c r="E52" s="56">
        <v>2015</v>
      </c>
      <c r="F52" s="5">
        <f>IF(VLOOKUP(A52,Dividende_je_Aktie!A$3:AM$103,6,FALSE)&lt;&gt;"",IF(VLOOKUP(A52,Ergebnis_je_Aktie_verwässert!A$3:AK$103,6,FALSE)&lt;&gt;"",IF(VLOOKUP(A52,Ergebnis_je_Aktie_verwässert!A$3:AK$103,6,FALSE)&lt;=0,2,IF(VLOOKUP(A52,Dividende_je_Aktie!A$3:AM$103,6,FALSE)/VLOOKUP(A52,Ergebnis_je_Aktie_verwässert!A$3:AK$103,6,FALSE)&gt;=2,2,VLOOKUP(A52,Dividende_je_Aktie!A$3:AM$103,6,FALSE)/VLOOKUP(A52,Ergebnis_je_Aktie_verwässert!A$3:AK$103,6,FALSE))),""),"")</f>
        <v>0.5253623188405796</v>
      </c>
      <c r="G52" s="5">
        <f>IF(VLOOKUP(A52,Dividende_je_Aktie!A$3:AM$103,7,FALSE)&lt;&gt;"",IF(VLOOKUP(A52,Ergebnis_je_Aktie_verwässert!A$3:AK$103,7,FALSE)&lt;&gt;"",IF(VLOOKUP(A52,Ergebnis_je_Aktie_verwässert!A$3:AK$103,7,FALSE)&lt;=0,2,IF(VLOOKUP(A52,Dividende_je_Aktie!A$3:AM$103,7,FALSE)/VLOOKUP(A52,Ergebnis_je_Aktie_verwässert!A$3:AK$103,7,FALSE)&gt;=2,2,VLOOKUP(A52,Dividende_je_Aktie!A$3:AM$103,7,FALSE)/VLOOKUP(A52,Ergebnis_je_Aktie_verwässert!A$3:AK$103,7,FALSE))),""),"")</f>
        <v>0.5275590551181103</v>
      </c>
      <c r="H52" s="5">
        <f>IF(VLOOKUP(A52,Dividende_je_Aktie!A$3:AM$103,8,FALSE)&lt;&gt;"",IF(VLOOKUP(A52,Ergebnis_je_Aktie_verwässert!A$3:AK$103,8,FALSE)&lt;&gt;"",IF(VLOOKUP(A52,Ergebnis_je_Aktie_verwässert!A$3:AK$103,8,FALSE)&lt;=0,2,IF(VLOOKUP(A52,Dividende_je_Aktie!A$3:AM$103,8,FALSE)/VLOOKUP(A52,Ergebnis_je_Aktie_verwässert!A$3:AK$103,8,FALSE)&gt;=2,2,VLOOKUP(A52,Dividende_je_Aktie!A$3:AM$103,8,FALSE)/VLOOKUP(A52,Ergebnis_je_Aktie_verwässert!A$3:AK$103,8,FALSE))),""),"")</f>
        <v>0.53389830508474578</v>
      </c>
      <c r="I52" s="5">
        <f>IF(VLOOKUP(A52,Dividende_je_Aktie!A$3:AM$103,9,FALSE)&lt;&gt;"",IF(VLOOKUP(A52,Ergebnis_je_Aktie_verwässert!A$3:AK$103,9,FALSE)&lt;&gt;"",IF(VLOOKUP(A52,Ergebnis_je_Aktie_verwässert!A$3:AK$103,9,FALSE)&lt;=0,2,IF(VLOOKUP(A52,Dividende_je_Aktie!A$3:AM$103,9,FALSE)/VLOOKUP(A52,Ergebnis_je_Aktie_verwässert!A$3:AK$103,9,FALSE)&gt;=2,2,VLOOKUP(A52,Dividende_je_Aktie!A$3:AM$103,9,FALSE)/VLOOKUP(A52,Ergebnis_je_Aktie_verwässert!A$3:AK$103,9,FALSE))),""),"")</f>
        <v>0.60303687635574832</v>
      </c>
      <c r="J52" s="5">
        <f>IF(VLOOKUP(A52,Dividende_je_Aktie!A$3:AM$103,10,FALSE)&lt;&gt;"",IF(VLOOKUP(A52,Ergebnis_je_Aktie_verwässert!A$3:AK$103,10,FALSE)&lt;&gt;"",IF(VLOOKUP(A52,Ergebnis_je_Aktie_verwässert!A$3:AK$103,10,FALSE)&lt;=0,2,IF(VLOOKUP(A52,Dividende_je_Aktie!A$3:AM$103,10,FALSE)/VLOOKUP(A52,Ergebnis_je_Aktie_verwässert!A$3:AK$103,10,FALSE)&gt;=2,2,VLOOKUP(A52,Dividende_je_Aktie!A$3:AM$103,10,FALSE)/VLOOKUP(A52,Ergebnis_je_Aktie_verwässert!A$3:AK$103,10,FALSE))),""),"")</f>
        <v>0.6168392615938767</v>
      </c>
      <c r="K52" s="5">
        <f>IF(VLOOKUP(A52,Dividende_je_Aktie!A$3:AM$103,11,FALSE)&lt;&gt;"",IF(VLOOKUP(A52,Ergebnis_je_Aktie_verwässert!A$3:AK$103,11,FALSE)&lt;&gt;"",IF(VLOOKUP(A52,Ergebnis_je_Aktie_verwässert!A$3:AK$103,11,FALSE)&lt;=0,2,IF(VLOOKUP(A52,Dividende_je_Aktie!A$3:AM$103,11,FALSE)/VLOOKUP(A52,Ergebnis_je_Aktie_verwässert!A$3:AK$103,11,FALSE)&gt;=2,2,VLOOKUP(A52,Dividende_je_Aktie!A$3:AM$103,11,FALSE)/VLOOKUP(A52,Ergebnis_je_Aktie_verwässert!A$3:AK$103,11,FALSE))),""),"")</f>
        <v>0.53600000000000003</v>
      </c>
      <c r="L52" s="5">
        <f>IF(VLOOKUP(A52,Dividende_je_Aktie!A$3:AM$103,12,FALSE)&lt;&gt;"",IF(VLOOKUP(A52,Ergebnis_je_Aktie_verwässert!A$3:AK$103,12,FALSE)&lt;&gt;"",IF(VLOOKUP(A52,Ergebnis_je_Aktie_verwässert!A$3:AK$103,12,FALSE)&lt;=0,2,IF(VLOOKUP(A52,Dividende_je_Aktie!A$3:AM$103,12,FALSE)/VLOOKUP(A52,Ergebnis_je_Aktie_verwässert!A$3:AK$103,12,FALSE)&gt;=2,2,VLOOKUP(A52,Dividende_je_Aktie!A$3:AM$103,12,FALSE)/VLOOKUP(A52,Ergebnis_je_Aktie_verwässert!A$3:AK$103,12,FALSE))),""),"")</f>
        <v>0.52742616033755274</v>
      </c>
      <c r="M52" s="5">
        <f>IF(VLOOKUP(A52,Dividende_je_Aktie!A$3:AM$103,13,FALSE)&lt;&gt;"",IF(VLOOKUP(A52,Ergebnis_je_Aktie_verwässert!A$3:AK$103,13,FALSE)&lt;&gt;"",IF(VLOOKUP(A52,Ergebnis_je_Aktie_verwässert!A$3:AK$103,13,FALSE)&lt;=0,2,IF(VLOOKUP(A52,Dividende_je_Aktie!A$3:AM$103,13,FALSE)/VLOOKUP(A52,Ergebnis_je_Aktie_verwässert!A$3:AK$103,13,FALSE)&gt;=2,2,VLOOKUP(A52,Dividende_je_Aktie!A$3:AM$103,13,FALSE)/VLOOKUP(A52,Ergebnis_je_Aktie_verwässert!A$3:AK$103,13,FALSE))),""),"")</f>
        <v>0.53738317757009335</v>
      </c>
      <c r="N52" s="5">
        <f>IF(VLOOKUP(A52,Dividende_je_Aktie!A$3:AM$103,14,FALSE)&lt;&gt;"",IF(VLOOKUP(A52,Ergebnis_je_Aktie_verwässert!A$3:AK$103,14,FALSE)&lt;&gt;"",IF(VLOOKUP(A52,Ergebnis_je_Aktie_verwässert!A$3:AK$103,14,FALSE)&lt;=0,2,IF(VLOOKUP(A52,Dividende_je_Aktie!A$3:AM$103,14,FALSE)/VLOOKUP(A52,Ergebnis_je_Aktie_verwässert!A$3:AK$103,14,FALSE)&gt;=2,2,VLOOKUP(A52,Dividende_je_Aktie!A$3:AM$103,14,FALSE)/VLOOKUP(A52,Ergebnis_je_Aktie_verwässert!A$3:AK$103,14,FALSE))),""),"")</f>
        <v>0.51282051282051289</v>
      </c>
      <c r="O52" s="5">
        <f>IF(VLOOKUP(A52,Dividende_je_Aktie!A$3:AM$103,15,FALSE)&lt;&gt;"",IF(VLOOKUP(A52,Ergebnis_je_Aktie_verwässert!A$3:AK$103,15,FALSE)&lt;&gt;"",IF(VLOOKUP(A52,Ergebnis_je_Aktie_verwässert!A$3:AK$103,15,FALSE)&lt;=0,2,IF(VLOOKUP(A52,Dividende_je_Aktie!A$3:AM$103,15,FALSE)/VLOOKUP(A52,Ergebnis_je_Aktie_verwässert!A$3:AK$103,15,FALSE)&gt;=2,2,VLOOKUP(A52,Dividende_je_Aktie!A$3:AM$103,15,FALSE)/VLOOKUP(A52,Ergebnis_je_Aktie_verwässert!A$3:AK$103,15,FALSE))),""),"")</f>
        <v>0.39999999999999997</v>
      </c>
      <c r="P52" s="5">
        <f>IF(VLOOKUP(A52,Dividende_je_Aktie!A$3:AM$103,16,FALSE)&lt;&gt;"",IF(VLOOKUP(A52,Ergebnis_je_Aktie_verwässert!A$3:AK$103,16,FALSE)&lt;&gt;"",IF(VLOOKUP(A52,Ergebnis_je_Aktie_verwässert!A$3:AK$103,16,FALSE)&lt;=0,2,IF(VLOOKUP(A52,Dividende_je_Aktie!A$3:AM$103,16,FALSE)/VLOOKUP(A52,Ergebnis_je_Aktie_verwässert!A$3:AK$103,16,FALSE)&gt;=2,2,VLOOKUP(A52,Dividende_je_Aktie!A$3:AM$103,16,FALSE)/VLOOKUP(A52,Ergebnis_je_Aktie_verwässert!A$3:AK$103,16,FALSE))),""),"")</f>
        <v>0.390625</v>
      </c>
      <c r="Q52" s="5">
        <f>IF(VLOOKUP(A52,Dividende_je_Aktie!A$3:AM$103,17,FALSE)&lt;&gt;"",IF(VLOOKUP(A52,Ergebnis_je_Aktie_verwässert!A$3:AK$103,17,FALSE)&lt;&gt;"",IF(VLOOKUP(A52,Ergebnis_je_Aktie_verwässert!A$3:AK$103,17,FALSE)&lt;=0,2,IF(VLOOKUP(A52,Dividende_je_Aktie!A$3:AM$103,17,FALSE)/VLOOKUP(A52,Ergebnis_je_Aktie_verwässert!A$3:AK$103,17,FALSE)&gt;=2,2,VLOOKUP(A52,Dividende_je_Aktie!A$3:AM$103,17,FALSE)/VLOOKUP(A52,Ergebnis_je_Aktie_verwässert!A$3:AK$103,17,FALSE))),""),"")</f>
        <v>0.45652173913043476</v>
      </c>
      <c r="R52" s="5">
        <f>IF(VLOOKUP(A52,Dividende_je_Aktie!A$3:AM$103,18,FALSE)&lt;&gt;"",IF(VLOOKUP(A52,Ergebnis_je_Aktie_verwässert!A$3:AK$103,18,FALSE)&lt;&gt;"",IF(VLOOKUP(A52,Ergebnis_je_Aktie_verwässert!A$3:AK$103,18,FALSE)&lt;=0,2,IF(VLOOKUP(A52,Dividende_je_Aktie!A$3:AM$103,18,FALSE)/VLOOKUP(A52,Ergebnis_je_Aktie_verwässert!A$3:AK$103,18,FALSE)&gt;=2,2,VLOOKUP(A52,Dividende_je_Aktie!A$3:AM$103,18,FALSE)/VLOOKUP(A52,Ergebnis_je_Aktie_verwässert!A$3:AK$103,18,FALSE))),""),"")</f>
        <v>0.39999999999999997</v>
      </c>
      <c r="S52" s="10">
        <f t="shared" si="6"/>
        <v>0.50519018514243497</v>
      </c>
      <c r="T52" s="4">
        <f t="shared" ca="1" si="7"/>
        <v>0</v>
      </c>
      <c r="U52" s="4">
        <f t="shared" ca="1" si="8"/>
        <v>122</v>
      </c>
      <c r="V52" s="4">
        <f t="shared" ca="1" si="9"/>
        <v>238</v>
      </c>
      <c r="W52" s="10">
        <f t="shared" ca="1" si="10"/>
        <v>0.53175000370716374</v>
      </c>
      <c r="X52" s="5">
        <f t="shared" ca="1" si="11"/>
        <v>5.2573900574177657E-2</v>
      </c>
    </row>
    <row r="53" spans="1:24" x14ac:dyDescent="0.25">
      <c r="A53" t="s">
        <v>288</v>
      </c>
      <c r="B53" t="s">
        <v>289</v>
      </c>
      <c r="C53" s="56">
        <v>31</v>
      </c>
      <c r="D53" s="56">
        <v>8</v>
      </c>
      <c r="E53" s="56">
        <v>2015</v>
      </c>
      <c r="F53" s="5">
        <f>IF(VLOOKUP(A53,Dividende_je_Aktie!A$3:AM$103,6,FALSE)&lt;&gt;"",IF(VLOOKUP(A53,Ergebnis_je_Aktie_verwässert!A$3:AK$103,6,FALSE)&lt;&gt;"",IF(VLOOKUP(A53,Ergebnis_je_Aktie_verwässert!A$3:AK$103,6,FALSE)&lt;=0,2,IF(VLOOKUP(A53,Dividende_je_Aktie!A$3:AM$103,6,FALSE)/VLOOKUP(A53,Ergebnis_je_Aktie_verwässert!A$3:AK$103,6,FALSE)&gt;=2,2,VLOOKUP(A53,Dividende_je_Aktie!A$3:AM$103,6,FALSE)/VLOOKUP(A53,Ergebnis_je_Aktie_verwässert!A$3:AK$103,6,FALSE))),""),"")</f>
        <v>0.41083916083916089</v>
      </c>
      <c r="G53" s="5">
        <f>IF(VLOOKUP(A53,Dividende_je_Aktie!A$3:AM$103,7,FALSE)&lt;&gt;"",IF(VLOOKUP(A53,Ergebnis_je_Aktie_verwässert!A$3:AK$103,7,FALSE)&lt;&gt;"",IF(VLOOKUP(A53,Ergebnis_je_Aktie_verwässert!A$3:AK$103,7,FALSE)&lt;=0,2,IF(VLOOKUP(A53,Dividende_je_Aktie!A$3:AM$103,7,FALSE)/VLOOKUP(A53,Ergebnis_je_Aktie_verwässert!A$3:AK$103,7,FALSE)&gt;=2,2,VLOOKUP(A53,Dividende_je_Aktie!A$3:AM$103,7,FALSE)/VLOOKUP(A53,Ergebnis_je_Aktie_verwässert!A$3:AK$103,7,FALSE))),""),"")</f>
        <v>0.42441860465116277</v>
      </c>
      <c r="H53" s="5">
        <f>IF(VLOOKUP(A53,Dividende_je_Aktie!A$3:AM$103,8,FALSE)&lt;&gt;"",IF(VLOOKUP(A53,Ergebnis_je_Aktie_verwässert!A$3:AK$103,8,FALSE)&lt;&gt;"",IF(VLOOKUP(A53,Ergebnis_je_Aktie_verwässert!A$3:AK$103,8,FALSE)&lt;=0,2,IF(VLOOKUP(A53,Dividende_je_Aktie!A$3:AM$103,8,FALSE)/VLOOKUP(A53,Ergebnis_je_Aktie_verwässert!A$3:AK$103,8,FALSE)&gt;=2,2,VLOOKUP(A53,Dividende_je_Aktie!A$3:AM$103,8,FALSE)/VLOOKUP(A53,Ergebnis_je_Aktie_verwässert!A$3:AK$103,8,FALSE))),""),"")</f>
        <v>0.42796610169491528</v>
      </c>
      <c r="I53" s="5">
        <f>IF(VLOOKUP(A53,Dividende_je_Aktie!A$3:AM$103,9,FALSE)&lt;&gt;"",IF(VLOOKUP(A53,Ergebnis_je_Aktie_verwässert!A$3:AK$103,9,FALSE)&lt;&gt;"",IF(VLOOKUP(A53,Ergebnis_je_Aktie_verwässert!A$3:AK$103,9,FALSE)&lt;=0,2,IF(VLOOKUP(A53,Dividende_je_Aktie!A$3:AM$103,9,FALSE)/VLOOKUP(A53,Ergebnis_je_Aktie_verwässert!A$3:AK$103,9,FALSE)&gt;=2,2,VLOOKUP(A53,Dividende_je_Aktie!A$3:AM$103,9,FALSE)/VLOOKUP(A53,Ergebnis_je_Aktie_verwässert!A$3:AK$103,9,FALSE))),""),"")</f>
        <v>0.41150442477876115</v>
      </c>
      <c r="J53" s="5">
        <f>IF(VLOOKUP(A53,Dividende_je_Aktie!A$3:AM$103,10,FALSE)&lt;&gt;"",IF(VLOOKUP(A53,Ergebnis_je_Aktie_verwässert!A$3:AK$103,10,FALSE)&lt;&gt;"",IF(VLOOKUP(A53,Ergebnis_je_Aktie_verwässert!A$3:AK$103,10,FALSE)&lt;=0,2,IF(VLOOKUP(A53,Dividende_je_Aktie!A$3:AM$103,10,FALSE)/VLOOKUP(A53,Ergebnis_je_Aktie_verwässert!A$3:AK$103,10,FALSE)&gt;=2,2,VLOOKUP(A53,Dividende_je_Aktie!A$3:AM$103,10,FALSE)/VLOOKUP(A53,Ergebnis_je_Aktie_verwässert!A$3:AK$103,10,FALSE))),""),"")</f>
        <v>0.38479809976247031</v>
      </c>
      <c r="K53" s="5">
        <f>IF(VLOOKUP(A53,Dividende_je_Aktie!A$3:AM$103,11,FALSE)&lt;&gt;"",IF(VLOOKUP(A53,Ergebnis_je_Aktie_verwässert!A$3:AK$103,11,FALSE)&lt;&gt;"",IF(VLOOKUP(A53,Ergebnis_je_Aktie_verwässert!A$3:AK$103,11,FALSE)&lt;=0,2,IF(VLOOKUP(A53,Dividende_je_Aktie!A$3:AM$103,11,FALSE)/VLOOKUP(A53,Ergebnis_je_Aktie_verwässert!A$3:AK$103,11,FALSE)&gt;=2,2,VLOOKUP(A53,Dividende_je_Aktie!A$3:AM$103,11,FALSE)/VLOOKUP(A53,Ergebnis_je_Aktie_verwässert!A$3:AK$103,11,FALSE))),""),"")</f>
        <v>0.35156250000000006</v>
      </c>
      <c r="L53" s="5">
        <f>IF(VLOOKUP(A53,Dividende_je_Aktie!A$3:AM$103,12,FALSE)&lt;&gt;"",IF(VLOOKUP(A53,Ergebnis_je_Aktie_verwässert!A$3:AK$103,12,FALSE)&lt;&gt;"",IF(VLOOKUP(A53,Ergebnis_je_Aktie_verwässert!A$3:AK$103,12,FALSE)&lt;=0,2,IF(VLOOKUP(A53,Dividende_je_Aktie!A$3:AM$103,12,FALSE)/VLOOKUP(A53,Ergebnis_je_Aktie_verwässert!A$3:AK$103,12,FALSE)&gt;=2,2,VLOOKUP(A53,Dividende_je_Aktie!A$3:AM$103,12,FALSE)/VLOOKUP(A53,Ergebnis_je_Aktie_verwässert!A$3:AK$103,12,FALSE))),""),"")</f>
        <v>0.26470588235294118</v>
      </c>
      <c r="M53" s="5">
        <f>IF(VLOOKUP(A53,Dividende_je_Aktie!A$3:AM$103,13,FALSE)&lt;&gt;"",IF(VLOOKUP(A53,Ergebnis_je_Aktie_verwässert!A$3:AK$103,13,FALSE)&lt;&gt;"",IF(VLOOKUP(A53,Ergebnis_je_Aktie_verwässert!A$3:AK$103,13,FALSE)&lt;=0,2,IF(VLOOKUP(A53,Dividende_je_Aktie!A$3:AM$103,13,FALSE)/VLOOKUP(A53,Ergebnis_je_Aktie_verwässert!A$3:AK$103,13,FALSE)&gt;=2,2,VLOOKUP(A53,Dividende_je_Aktie!A$3:AM$103,13,FALSE)/VLOOKUP(A53,Ergebnis_je_Aktie_verwässert!A$3:AK$103,13,FALSE))),""),"")</f>
        <v>0.42481203007518792</v>
      </c>
      <c r="N53" s="5">
        <f>IF(VLOOKUP(A53,Dividende_je_Aktie!A$3:AM$103,14,FALSE)&lt;&gt;"",IF(VLOOKUP(A53,Ergebnis_je_Aktie_verwässert!A$3:AK$103,14,FALSE)&lt;&gt;"",IF(VLOOKUP(A53,Ergebnis_je_Aktie_verwässert!A$3:AK$103,14,FALSE)&lt;=0,2,IF(VLOOKUP(A53,Dividende_je_Aktie!A$3:AM$103,14,FALSE)/VLOOKUP(A53,Ergebnis_je_Aktie_verwässert!A$3:AK$103,14,FALSE)&gt;=2,2,VLOOKUP(A53,Dividende_je_Aktie!A$3:AM$103,14,FALSE)/VLOOKUP(A53,Ergebnis_je_Aktie_verwässert!A$3:AK$103,14,FALSE))),""),"")</f>
        <v>0.20491803278688525</v>
      </c>
      <c r="O53" s="5">
        <f>IF(VLOOKUP(A53,Dividende_je_Aktie!A$3:AM$103,15,FALSE)&lt;&gt;"",IF(VLOOKUP(A53,Ergebnis_je_Aktie_verwässert!A$3:AK$103,15,FALSE)&lt;&gt;"",IF(VLOOKUP(A53,Ergebnis_je_Aktie_verwässert!A$3:AK$103,15,FALSE)&lt;=0,2,IF(VLOOKUP(A53,Dividende_je_Aktie!A$3:AM$103,15,FALSE)/VLOOKUP(A53,Ergebnis_je_Aktie_verwässert!A$3:AK$103,15,FALSE)&gt;=2,2,VLOOKUP(A53,Dividende_je_Aktie!A$3:AM$103,15,FALSE)/VLOOKUP(A53,Ergebnis_je_Aktie_verwässert!A$3:AK$103,15,FALSE))),""),"")</f>
        <v>0.15849056603773584</v>
      </c>
      <c r="P53" s="5">
        <f>IF(VLOOKUP(A53,Dividende_je_Aktie!A$3:AM$103,16,FALSE)&lt;&gt;"",IF(VLOOKUP(A53,Ergebnis_je_Aktie_verwässert!A$3:AK$103,16,FALSE)&lt;&gt;"",IF(VLOOKUP(A53,Ergebnis_je_Aktie_verwässert!A$3:AK$103,16,FALSE)&lt;=0,2,IF(VLOOKUP(A53,Dividende_je_Aktie!A$3:AM$103,16,FALSE)/VLOOKUP(A53,Ergebnis_je_Aktie_verwässert!A$3:AK$103,16,FALSE)&gt;=2,2,VLOOKUP(A53,Dividende_je_Aktie!A$3:AM$103,16,FALSE)/VLOOKUP(A53,Ergebnis_je_Aktie_verwässert!A$3:AK$103,16,FALSE))),""),"")</f>
        <v>0.17766497461928932</v>
      </c>
      <c r="Q53" s="5">
        <f>IF(VLOOKUP(A53,Dividende_je_Aktie!A$3:AM$103,17,FALSE)&lt;&gt;"",IF(VLOOKUP(A53,Ergebnis_je_Aktie_verwässert!A$3:AK$103,17,FALSE)&lt;&gt;"",IF(VLOOKUP(A53,Ergebnis_je_Aktie_verwässert!A$3:AK$103,17,FALSE)&lt;=0,2,IF(VLOOKUP(A53,Dividende_je_Aktie!A$3:AM$103,17,FALSE)/VLOOKUP(A53,Ergebnis_je_Aktie_verwässert!A$3:AK$103,17,FALSE)&gt;=2,2,VLOOKUP(A53,Dividende_je_Aktie!A$3:AM$103,17,FALSE)/VLOOKUP(A53,Ergebnis_je_Aktie_verwässert!A$3:AK$103,17,FALSE))),""),"")</f>
        <v>0.18867924528301885</v>
      </c>
      <c r="R53" s="5">
        <f>IF(VLOOKUP(A53,Dividende_je_Aktie!A$3:AM$103,18,FALSE)&lt;&gt;"",IF(VLOOKUP(A53,Ergebnis_je_Aktie_verwässert!A$3:AK$103,18,FALSE)&lt;&gt;"",IF(VLOOKUP(A53,Ergebnis_je_Aktie_verwässert!A$3:AK$103,18,FALSE)&lt;=0,2,IF(VLOOKUP(A53,Dividende_je_Aktie!A$3:AM$103,18,FALSE)/VLOOKUP(A53,Ergebnis_je_Aktie_verwässert!A$3:AK$103,18,FALSE)&gt;=2,2,VLOOKUP(A53,Dividende_je_Aktie!A$3:AM$103,18,FALSE)/VLOOKUP(A53,Ergebnis_je_Aktie_verwässert!A$3:AK$103,18,FALSE))),""),"")</f>
        <v>0</v>
      </c>
      <c r="S53" s="10">
        <f t="shared" si="6"/>
        <v>0.29464304791396373</v>
      </c>
      <c r="T53" s="4">
        <f t="shared" ca="1" si="7"/>
        <v>0</v>
      </c>
      <c r="U53" s="4">
        <f t="shared" ca="1" si="8"/>
        <v>242</v>
      </c>
      <c r="V53" s="4">
        <f t="shared" ca="1" si="9"/>
        <v>118</v>
      </c>
      <c r="W53" s="10">
        <f t="shared" ca="1" si="10"/>
        <v>0.42558139534883721</v>
      </c>
      <c r="X53" s="5">
        <f t="shared" ca="1" si="11"/>
        <v>0.44439652780508743</v>
      </c>
    </row>
    <row r="54" spans="1:24" x14ac:dyDescent="0.25">
      <c r="A54" t="s">
        <v>257</v>
      </c>
      <c r="B54" t="s">
        <v>258</v>
      </c>
      <c r="C54" s="56">
        <v>30</v>
      </c>
      <c r="D54" s="56">
        <v>4</v>
      </c>
      <c r="E54" s="56">
        <v>2015</v>
      </c>
      <c r="F54" s="5">
        <f>IF(VLOOKUP(A54,Dividende_je_Aktie!A$3:AM$103,6,FALSE)&lt;&gt;"",IF(VLOOKUP(A54,Ergebnis_je_Aktie_verwässert!A$3:AK$103,6,FALSE)&lt;&gt;"",IF(VLOOKUP(A54,Ergebnis_je_Aktie_verwässert!A$3:AK$103,6,FALSE)&lt;=0,2,IF(VLOOKUP(A54,Dividende_je_Aktie!A$3:AM$103,6,FALSE)/VLOOKUP(A54,Ergebnis_je_Aktie_verwässert!A$3:AK$103,6,FALSE)&gt;=2,2,VLOOKUP(A54,Dividende_je_Aktie!A$3:AM$103,6,FALSE)/VLOOKUP(A54,Ergebnis_je_Aktie_verwässert!A$3:AK$103,6,FALSE))),""),"")</f>
        <v>0.42021276595744683</v>
      </c>
      <c r="G54" s="5">
        <f>IF(VLOOKUP(A54,Dividende_je_Aktie!A$3:AM$103,7,FALSE)&lt;&gt;"",IF(VLOOKUP(A54,Ergebnis_je_Aktie_verwässert!A$3:AK$103,7,FALSE)&lt;&gt;"",IF(VLOOKUP(A54,Ergebnis_je_Aktie_verwässert!A$3:AK$103,7,FALSE)&lt;=0,2,IF(VLOOKUP(A54,Dividende_je_Aktie!A$3:AM$103,7,FALSE)/VLOOKUP(A54,Ergebnis_je_Aktie_verwässert!A$3:AK$103,7,FALSE)&gt;=2,2,VLOOKUP(A54,Dividende_je_Aktie!A$3:AM$103,7,FALSE)/VLOOKUP(A54,Ergebnis_je_Aktie_verwässert!A$3:AK$103,7,FALSE))),""),"")</f>
        <v>0.43108504398826974</v>
      </c>
      <c r="H54" s="5">
        <f>IF(VLOOKUP(A54,Dividende_je_Aktie!A$3:AM$103,8,FALSE)&lt;&gt;"",IF(VLOOKUP(A54,Ergebnis_je_Aktie_verwässert!A$3:AK$103,8,FALSE)&lt;&gt;"",IF(VLOOKUP(A54,Ergebnis_je_Aktie_verwässert!A$3:AK$103,8,FALSE)&lt;=0,2,IF(VLOOKUP(A54,Dividende_je_Aktie!A$3:AM$103,8,FALSE)/VLOOKUP(A54,Ergebnis_je_Aktie_verwässert!A$3:AK$103,8,FALSE)&gt;=2,2,VLOOKUP(A54,Dividende_je_Aktie!A$3:AM$103,8,FALSE)/VLOOKUP(A54,Ergebnis_je_Aktie_verwässert!A$3:AK$103,8,FALSE))),""),"")</f>
        <v>0.24797843665768196</v>
      </c>
      <c r="I54" s="5">
        <f>IF(VLOOKUP(A54,Dividende_je_Aktie!A$3:AM$103,9,FALSE)&lt;&gt;"",IF(VLOOKUP(A54,Ergebnis_je_Aktie_verwässert!A$3:AK$103,9,FALSE)&lt;&gt;"",IF(VLOOKUP(A54,Ergebnis_je_Aktie_verwässert!A$3:AK$103,9,FALSE)&lt;=0,2,IF(VLOOKUP(A54,Dividende_je_Aktie!A$3:AM$103,9,FALSE)/VLOOKUP(A54,Ergebnis_je_Aktie_verwässert!A$3:AK$103,9,FALSE)&gt;=2,2,VLOOKUP(A54,Dividende_je_Aktie!A$3:AM$103,9,FALSE)/VLOOKUP(A54,Ergebnis_je_Aktie_verwässert!A$3:AK$103,9,FALSE))),""),"")</f>
        <v>0.29629629629629634</v>
      </c>
      <c r="J54" s="5">
        <f>IF(VLOOKUP(A54,Dividende_je_Aktie!A$3:AM$103,10,FALSE)&lt;&gt;"",IF(VLOOKUP(A54,Ergebnis_je_Aktie_verwässert!A$3:AK$103,10,FALSE)&lt;&gt;"",IF(VLOOKUP(A54,Ergebnis_je_Aktie_verwässert!A$3:AK$103,10,FALSE)&lt;=0,2,IF(VLOOKUP(A54,Dividende_je_Aktie!A$3:AM$103,10,FALSE)/VLOOKUP(A54,Ergebnis_je_Aktie_verwässert!A$3:AK$103,10,FALSE)&gt;=2,2,VLOOKUP(A54,Dividende_je_Aktie!A$3:AM$103,10,FALSE)/VLOOKUP(A54,Ergebnis_je_Aktie_verwässert!A$3:AK$103,10,FALSE))),""),"")</f>
        <v>0.3086053412462908</v>
      </c>
      <c r="K54" s="5">
        <f>IF(VLOOKUP(A54,Dividende_je_Aktie!A$3:AM$103,11,FALSE)&lt;&gt;"",IF(VLOOKUP(A54,Ergebnis_je_Aktie_verwässert!A$3:AK$103,11,FALSE)&lt;&gt;"",IF(VLOOKUP(A54,Ergebnis_je_Aktie_verwässert!A$3:AK$103,11,FALSE)&lt;=0,2,IF(VLOOKUP(A54,Dividende_je_Aktie!A$3:AM$103,11,FALSE)/VLOOKUP(A54,Ergebnis_je_Aktie_verwässert!A$3:AK$103,11,FALSE)&gt;=2,2,VLOOKUP(A54,Dividende_je_Aktie!A$3:AM$103,11,FALSE)/VLOOKUP(A54,Ergebnis_je_Aktie_verwässert!A$3:AK$103,11,FALSE))),""),"")</f>
        <v>0.28445747800586507</v>
      </c>
      <c r="L54" s="5">
        <f>IF(VLOOKUP(A54,Dividende_je_Aktie!A$3:AM$103,12,FALSE)&lt;&gt;"",IF(VLOOKUP(A54,Ergebnis_je_Aktie_verwässert!A$3:AK$103,12,FALSE)&lt;&gt;"",IF(VLOOKUP(A54,Ergebnis_je_Aktie_verwässert!A$3:AK$103,12,FALSE)&lt;=0,2,IF(VLOOKUP(A54,Dividende_je_Aktie!A$3:AM$103,12,FALSE)/VLOOKUP(A54,Ergebnis_je_Aktie_verwässert!A$3:AK$103,12,FALSE)&gt;=2,2,VLOOKUP(A54,Dividende_je_Aktie!A$3:AM$103,12,FALSE)/VLOOKUP(A54,Ergebnis_je_Aktie_verwässert!A$3:AK$103,12,FALSE))),""),"")</f>
        <v>0.31468531468531469</v>
      </c>
      <c r="M54" s="5">
        <f>IF(VLOOKUP(A54,Dividende_je_Aktie!A$3:AM$103,13,FALSE)&lt;&gt;"",IF(VLOOKUP(A54,Ergebnis_je_Aktie_verwässert!A$3:AK$103,13,FALSE)&lt;&gt;"",IF(VLOOKUP(A54,Ergebnis_je_Aktie_verwässert!A$3:AK$103,13,FALSE)&lt;=0,2,IF(VLOOKUP(A54,Dividende_je_Aktie!A$3:AM$103,13,FALSE)/VLOOKUP(A54,Ergebnis_je_Aktie_verwässert!A$3:AK$103,13,FALSE)&gt;=2,2,VLOOKUP(A54,Dividende_je_Aktie!A$3:AM$103,13,FALSE)/VLOOKUP(A54,Ergebnis_je_Aktie_verwässert!A$3:AK$103,13,FALSE))),""),"")</f>
        <v>0.29390681003584229</v>
      </c>
      <c r="N54" s="5">
        <f>IF(VLOOKUP(A54,Dividende_je_Aktie!A$3:AM$103,14,FALSE)&lt;&gt;"",IF(VLOOKUP(A54,Ergebnis_je_Aktie_verwässert!A$3:AK$103,14,FALSE)&lt;&gt;"",IF(VLOOKUP(A54,Ergebnis_je_Aktie_verwässert!A$3:AK$103,14,FALSE)&lt;=0,2,IF(VLOOKUP(A54,Dividende_je_Aktie!A$3:AM$103,14,FALSE)/VLOOKUP(A54,Ergebnis_je_Aktie_verwässert!A$3:AK$103,14,FALSE)&gt;=2,2,VLOOKUP(A54,Dividende_je_Aktie!A$3:AM$103,14,FALSE)/VLOOKUP(A54,Ergebnis_je_Aktie_verwässert!A$3:AK$103,14,FALSE))),""),"")</f>
        <v>0.30364372469635625</v>
      </c>
      <c r="O54" s="5">
        <f>IF(VLOOKUP(A54,Dividende_je_Aktie!A$3:AM$103,15,FALSE)&lt;&gt;"",IF(VLOOKUP(A54,Ergebnis_je_Aktie_verwässert!A$3:AK$103,15,FALSE)&lt;&gt;"",IF(VLOOKUP(A54,Ergebnis_je_Aktie_verwässert!A$3:AK$103,15,FALSE)&lt;=0,2,IF(VLOOKUP(A54,Dividende_je_Aktie!A$3:AM$103,15,FALSE)/VLOOKUP(A54,Ergebnis_je_Aktie_verwässert!A$3:AK$103,15,FALSE)&gt;=2,2,VLOOKUP(A54,Dividende_je_Aktie!A$3:AM$103,15,FALSE)/VLOOKUP(A54,Ergebnis_je_Aktie_verwässert!A$3:AK$103,15,FALSE))),""),"")</f>
        <v>0.22831050228310504</v>
      </c>
      <c r="P54" s="5">
        <f>IF(VLOOKUP(A54,Dividende_je_Aktie!A$3:AM$103,16,FALSE)&lt;&gt;"",IF(VLOOKUP(A54,Ergebnis_je_Aktie_verwässert!A$3:AK$103,16,FALSE)&lt;&gt;"",IF(VLOOKUP(A54,Ergebnis_je_Aktie_verwässert!A$3:AK$103,16,FALSE)&lt;=0,2,IF(VLOOKUP(A54,Dividende_je_Aktie!A$3:AM$103,16,FALSE)/VLOOKUP(A54,Ergebnis_je_Aktie_verwässert!A$3:AK$103,16,FALSE)&gt;=2,2,VLOOKUP(A54,Dividende_je_Aktie!A$3:AM$103,16,FALSE)/VLOOKUP(A54,Ergebnis_je_Aktie_verwässert!A$3:AK$103,16,FALSE))),""),"")</f>
        <v>0.18257261410788381</v>
      </c>
      <c r="Q54" s="5">
        <f>IF(VLOOKUP(A54,Dividende_je_Aktie!A$3:AM$103,17,FALSE)&lt;&gt;"",IF(VLOOKUP(A54,Ergebnis_je_Aktie_verwässert!A$3:AK$103,17,FALSE)&lt;&gt;"",IF(VLOOKUP(A54,Ergebnis_je_Aktie_verwässert!A$3:AK$103,17,FALSE)&lt;=0,2,IF(VLOOKUP(A54,Dividende_je_Aktie!A$3:AM$103,17,FALSE)/VLOOKUP(A54,Ergebnis_je_Aktie_verwässert!A$3:AK$103,17,FALSE)&gt;=2,2,VLOOKUP(A54,Dividende_je_Aktie!A$3:AM$103,17,FALSE)/VLOOKUP(A54,Ergebnis_je_Aktie_verwässert!A$3:AK$103,17,FALSE))),""),"")</f>
        <v>0.18660287081339716</v>
      </c>
      <c r="R54" s="5">
        <f>IF(VLOOKUP(A54,Dividende_je_Aktie!A$3:AM$103,18,FALSE)&lt;&gt;"",IF(VLOOKUP(A54,Ergebnis_je_Aktie_verwässert!A$3:AK$103,18,FALSE)&lt;&gt;"",IF(VLOOKUP(A54,Ergebnis_je_Aktie_verwässert!A$3:AK$103,18,FALSE)&lt;=0,2,IF(VLOOKUP(A54,Dividende_je_Aktie!A$3:AM$103,18,FALSE)/VLOOKUP(A54,Ergebnis_je_Aktie_verwässert!A$3:AK$103,18,FALSE)&gt;=2,2,VLOOKUP(A54,Dividende_je_Aktie!A$3:AM$103,18,FALSE)/VLOOKUP(A54,Ergebnis_je_Aktie_verwässert!A$3:AK$103,18,FALSE))),""),"")</f>
        <v>0.17894736842105266</v>
      </c>
      <c r="S54" s="10">
        <f t="shared" si="6"/>
        <v>0.28286958209190788</v>
      </c>
      <c r="T54" s="4">
        <f t="shared" ca="1" si="7"/>
        <v>3</v>
      </c>
      <c r="U54" s="4">
        <f t="shared" ca="1" si="8"/>
        <v>357</v>
      </c>
      <c r="V54" s="4">
        <f t="shared" ca="1" si="9"/>
        <v>0</v>
      </c>
      <c r="W54" s="10">
        <f t="shared" ca="1" si="10"/>
        <v>0.43099444167134621</v>
      </c>
      <c r="X54" s="5">
        <f t="shared" ca="1" si="11"/>
        <v>0.52365071735182434</v>
      </c>
    </row>
    <row r="55" spans="1:24" x14ac:dyDescent="0.25">
      <c r="A55" t="s">
        <v>93</v>
      </c>
      <c r="B55" t="s">
        <v>94</v>
      </c>
      <c r="C55" s="56">
        <v>31</v>
      </c>
      <c r="D55" s="56">
        <v>12</v>
      </c>
      <c r="E55" s="56">
        <v>2015</v>
      </c>
      <c r="F55" s="5">
        <f>IF(VLOOKUP(A55,Dividende_je_Aktie!A$3:AM$103,6,FALSE)&lt;&gt;"",IF(VLOOKUP(A55,Ergebnis_je_Aktie_verwässert!A$3:AK$103,6,FALSE)&lt;&gt;"",IF(VLOOKUP(A55,Ergebnis_je_Aktie_verwässert!A$3:AK$103,6,FALSE)&lt;=0,2,IF(VLOOKUP(A55,Dividende_je_Aktie!A$3:AM$103,6,FALSE)/VLOOKUP(A55,Ergebnis_je_Aktie_verwässert!A$3:AK$103,6,FALSE)&gt;=2,2,VLOOKUP(A55,Dividende_je_Aktie!A$3:AM$103,6,FALSE)/VLOOKUP(A55,Ergebnis_je_Aktie_verwässert!A$3:AK$103,6,FALSE))),""),"")</f>
        <v>0.78504672897196259</v>
      </c>
      <c r="G55" s="5">
        <f>IF(VLOOKUP(A55,Dividende_je_Aktie!A$3:AM$103,7,FALSE)&lt;&gt;"",IF(VLOOKUP(A55,Ergebnis_je_Aktie_verwässert!A$3:AK$103,7,FALSE)&lt;&gt;"",IF(VLOOKUP(A55,Ergebnis_je_Aktie_verwässert!A$3:AK$103,7,FALSE)&lt;=0,2,IF(VLOOKUP(A55,Dividende_je_Aktie!A$3:AM$103,7,FALSE)/VLOOKUP(A55,Ergebnis_je_Aktie_verwässert!A$3:AK$103,7,FALSE)&gt;=2,2,VLOOKUP(A55,Dividende_je_Aktie!A$3:AM$103,7,FALSE)/VLOOKUP(A55,Ergebnis_je_Aktie_verwässert!A$3:AK$103,7,FALSE))),""),"")</f>
        <v>0.77814569536423839</v>
      </c>
      <c r="H55" s="5">
        <f>IF(VLOOKUP(A55,Dividende_je_Aktie!A$3:AM$103,8,FALSE)&lt;&gt;"",IF(VLOOKUP(A55,Ergebnis_je_Aktie_verwässert!A$3:AK$103,8,FALSE)&lt;&gt;"",IF(VLOOKUP(A55,Ergebnis_je_Aktie_verwässert!A$3:AK$103,8,FALSE)&lt;=0,2,IF(VLOOKUP(A55,Dividende_je_Aktie!A$3:AM$103,8,FALSE)/VLOOKUP(A55,Ergebnis_je_Aktie_verwässert!A$3:AK$103,8,FALSE)&gt;=2,2,VLOOKUP(A55,Dividende_je_Aktie!A$3:AM$103,8,FALSE)/VLOOKUP(A55,Ergebnis_je_Aktie_verwässert!A$3:AK$103,8,FALSE))),""),"")</f>
        <v>0.78339350180505407</v>
      </c>
      <c r="I55" s="5">
        <f>IF(VLOOKUP(A55,Dividende_je_Aktie!A$3:AM$103,9,FALSE)&lt;&gt;"",IF(VLOOKUP(A55,Ergebnis_je_Aktie_verwässert!A$3:AK$103,9,FALSE)&lt;&gt;"",IF(VLOOKUP(A55,Ergebnis_je_Aktie_verwässert!A$3:AK$103,9,FALSE)&lt;=0,2,IF(VLOOKUP(A55,Dividende_je_Aktie!A$3:AM$103,9,FALSE)/VLOOKUP(A55,Ergebnis_je_Aktie_verwässert!A$3:AK$103,9,FALSE)&gt;=2,2,VLOOKUP(A55,Dividende_je_Aktie!A$3:AM$103,9,FALSE)/VLOOKUP(A55,Ergebnis_je_Aktie_verwässert!A$3:AK$103,9,FALSE))),""),"")</f>
        <v>0.6640625</v>
      </c>
      <c r="J55" s="5">
        <f>IF(VLOOKUP(A55,Dividende_je_Aktie!A$3:AM$103,10,FALSE)&lt;&gt;"",IF(VLOOKUP(A55,Ergebnis_je_Aktie_verwässert!A$3:AK$103,10,FALSE)&lt;&gt;"",IF(VLOOKUP(A55,Ergebnis_je_Aktie_verwässert!A$3:AK$103,10,FALSE)&lt;=0,2,IF(VLOOKUP(A55,Dividende_je_Aktie!A$3:AM$103,10,FALSE)/VLOOKUP(A55,Ergebnis_je_Aktie_verwässert!A$3:AK$103,10,FALSE)&gt;=2,2,VLOOKUP(A55,Dividende_je_Aktie!A$3:AM$103,10,FALSE)/VLOOKUP(A55,Ergebnis_je_Aktie_verwässert!A$3:AK$103,10,FALSE))),""),"")</f>
        <v>0.81415929203539839</v>
      </c>
      <c r="K55" s="5">
        <f>IF(VLOOKUP(A55,Dividende_je_Aktie!A$3:AM$103,11,FALSE)&lt;&gt;"",IF(VLOOKUP(A55,Ergebnis_je_Aktie_verwässert!A$3:AK$103,11,FALSE)&lt;&gt;"",IF(VLOOKUP(A55,Ergebnis_je_Aktie_verwässert!A$3:AK$103,11,FALSE)&lt;=0,2,IF(VLOOKUP(A55,Dividende_je_Aktie!A$3:AM$103,11,FALSE)/VLOOKUP(A55,Ergebnis_je_Aktie_verwässert!A$3:AK$103,11,FALSE)&gt;=2,2,VLOOKUP(A55,Dividende_je_Aktie!A$3:AM$103,11,FALSE)/VLOOKUP(A55,Ergebnis_je_Aktie_verwässert!A$3:AK$103,11,FALSE))),""),"")</f>
        <v>0.82524271844660191</v>
      </c>
      <c r="L55" s="5">
        <f>IF(VLOOKUP(A55,Dividende_je_Aktie!A$3:AM$103,12,FALSE)&lt;&gt;"",IF(VLOOKUP(A55,Ergebnis_je_Aktie_verwässert!A$3:AK$103,12,FALSE)&lt;&gt;"",IF(VLOOKUP(A55,Ergebnis_je_Aktie_verwässert!A$3:AK$103,12,FALSE)&lt;=0,2,IF(VLOOKUP(A55,Dividende_je_Aktie!A$3:AM$103,12,FALSE)/VLOOKUP(A55,Ergebnis_je_Aktie_verwässert!A$3:AK$103,12,FALSE)&gt;=2,2,VLOOKUP(A55,Dividende_je_Aktie!A$3:AM$103,12,FALSE)/VLOOKUP(A55,Ergebnis_je_Aktie_verwässert!A$3:AK$103,12,FALSE))),""),"")</f>
        <v>0.96341463414634154</v>
      </c>
      <c r="M55" s="5">
        <f>IF(VLOOKUP(A55,Dividende_je_Aktie!A$3:AM$103,13,FALSE)&lt;&gt;"",IF(VLOOKUP(A55,Ergebnis_je_Aktie_verwässert!A$3:AK$103,13,FALSE)&lt;&gt;"",IF(VLOOKUP(A55,Ergebnis_je_Aktie_verwässert!A$3:AK$103,13,FALSE)&lt;=0,2,IF(VLOOKUP(A55,Dividende_je_Aktie!A$3:AM$103,13,FALSE)/VLOOKUP(A55,Ergebnis_je_Aktie_verwässert!A$3:AK$103,13,FALSE)&gt;=2,2,VLOOKUP(A55,Dividende_je_Aktie!A$3:AM$103,13,FALSE)/VLOOKUP(A55,Ergebnis_je_Aktie_verwässert!A$3:AK$103,13,FALSE))),""),"")</f>
        <v>0.78074866310160418</v>
      </c>
      <c r="N55" s="5">
        <f>IF(VLOOKUP(A55,Dividende_je_Aktie!A$3:AM$103,14,FALSE)&lt;&gt;"",IF(VLOOKUP(A55,Ergebnis_je_Aktie_verwässert!A$3:AK$103,14,FALSE)&lt;&gt;"",IF(VLOOKUP(A55,Ergebnis_je_Aktie_verwässert!A$3:AK$103,14,FALSE)&lt;=0,2,IF(VLOOKUP(A55,Dividende_je_Aktie!A$3:AM$103,14,FALSE)/VLOOKUP(A55,Ergebnis_je_Aktie_verwässert!A$3:AK$103,14,FALSE)&gt;=2,2,VLOOKUP(A55,Dividende_je_Aktie!A$3:AM$103,14,FALSE)/VLOOKUP(A55,Ergebnis_je_Aktie_verwässert!A$3:AK$103,14,FALSE))),""),"")</f>
        <v>0.85714285714285721</v>
      </c>
      <c r="O55" s="5">
        <f>IF(VLOOKUP(A55,Dividende_je_Aktie!A$3:AM$103,15,FALSE)&lt;&gt;"",IF(VLOOKUP(A55,Ergebnis_je_Aktie_verwässert!A$3:AK$103,15,FALSE)&lt;&gt;"",IF(VLOOKUP(A55,Ergebnis_je_Aktie_verwässert!A$3:AK$103,15,FALSE)&lt;=0,2,IF(VLOOKUP(A55,Dividende_je_Aktie!A$3:AM$103,15,FALSE)/VLOOKUP(A55,Ergebnis_je_Aktie_verwässert!A$3:AK$103,15,FALSE)&gt;=2,2,VLOOKUP(A55,Dividende_je_Aktie!A$3:AM$103,15,FALSE)/VLOOKUP(A55,Ergebnis_je_Aktie_verwässert!A$3:AK$103,15,FALSE))),""),"")</f>
        <v>0.70270270270270274</v>
      </c>
      <c r="P55" s="5">
        <f>IF(VLOOKUP(A55,Dividende_je_Aktie!A$3:AM$103,16,FALSE)&lt;&gt;"",IF(VLOOKUP(A55,Ergebnis_je_Aktie_verwässert!A$3:AK$103,16,FALSE)&lt;&gt;"",IF(VLOOKUP(A55,Ergebnis_je_Aktie_verwässert!A$3:AK$103,16,FALSE)&lt;=0,2,IF(VLOOKUP(A55,Dividende_je_Aktie!A$3:AM$103,16,FALSE)/VLOOKUP(A55,Ergebnis_je_Aktie_verwässert!A$3:AK$103,16,FALSE)&gt;=2,2,VLOOKUP(A55,Dividende_je_Aktie!A$3:AM$103,16,FALSE)/VLOOKUP(A55,Ergebnis_je_Aktie_verwässert!A$3:AK$103,16,FALSE))),""),"")</f>
        <v>0.63648648648648642</v>
      </c>
      <c r="Q55" s="5">
        <f>IF(VLOOKUP(A55,Dividende_je_Aktie!A$3:AM$103,17,FALSE)&lt;&gt;"",IF(VLOOKUP(A55,Ergebnis_je_Aktie_verwässert!A$3:AK$103,17,FALSE)&lt;&gt;"",IF(VLOOKUP(A55,Ergebnis_je_Aktie_verwässert!A$3:AK$103,17,FALSE)&lt;=0,2,IF(VLOOKUP(A55,Dividende_je_Aktie!A$3:AM$103,17,FALSE)/VLOOKUP(A55,Ergebnis_je_Aktie_verwässert!A$3:AK$103,17,FALSE)&gt;=2,2,VLOOKUP(A55,Dividende_je_Aktie!A$3:AM$103,17,FALSE)/VLOOKUP(A55,Ergebnis_je_Aktie_verwässert!A$3:AK$103,17,FALSE))),""),"")</f>
        <v>0.55298013245033106</v>
      </c>
      <c r="R55" s="5">
        <f>IF(VLOOKUP(A55,Dividende_je_Aktie!A$3:AM$103,18,FALSE)&lt;&gt;"",IF(VLOOKUP(A55,Ergebnis_je_Aktie_verwässert!A$3:AK$103,18,FALSE)&lt;&gt;"",IF(VLOOKUP(A55,Ergebnis_je_Aktie_verwässert!A$3:AK$103,18,FALSE)&lt;=0,2,IF(VLOOKUP(A55,Dividende_je_Aktie!A$3:AM$103,18,FALSE)/VLOOKUP(A55,Ergebnis_je_Aktie_verwässert!A$3:AK$103,18,FALSE)&gt;=2,2,VLOOKUP(A55,Dividende_je_Aktie!A$3:AM$103,18,FALSE)/VLOOKUP(A55,Ergebnis_je_Aktie_verwässert!A$3:AK$103,18,FALSE))),""),"")</f>
        <v>0.58114754098360655</v>
      </c>
      <c r="S55" s="10">
        <f t="shared" si="6"/>
        <v>0.74805180412593741</v>
      </c>
      <c r="T55" s="4">
        <f t="shared" ca="1" si="7"/>
        <v>0</v>
      </c>
      <c r="U55" s="4">
        <f t="shared" ca="1" si="8"/>
        <v>122</v>
      </c>
      <c r="V55" s="4">
        <f t="shared" ca="1" si="9"/>
        <v>238</v>
      </c>
      <c r="W55" s="10">
        <f t="shared" ca="1" si="10"/>
        <v>0.78161507851122214</v>
      </c>
      <c r="X55" s="5">
        <f t="shared" ca="1" si="11"/>
        <v>4.48675802934555E-2</v>
      </c>
    </row>
    <row r="56" spans="1:24" x14ac:dyDescent="0.25">
      <c r="A56" t="s">
        <v>274</v>
      </c>
      <c r="B56" t="s">
        <v>279</v>
      </c>
      <c r="C56" s="56">
        <v>31</v>
      </c>
      <c r="D56" s="56">
        <v>12</v>
      </c>
      <c r="E56" s="56">
        <v>2015</v>
      </c>
      <c r="F56" s="5">
        <f>IF(VLOOKUP(A56,Dividende_je_Aktie!A$3:AM$103,6,FALSE)&lt;&gt;"",IF(VLOOKUP(A56,Ergebnis_je_Aktie_verwässert!A$3:AK$103,6,FALSE)&lt;&gt;"",IF(VLOOKUP(A56,Ergebnis_je_Aktie_verwässert!A$3:AK$103,6,FALSE)&lt;=0,2,IF(VLOOKUP(A56,Dividende_je_Aktie!A$3:AM$103,6,FALSE)/VLOOKUP(A56,Ergebnis_je_Aktie_verwässert!A$3:AK$103,6,FALSE)&gt;=2,2,VLOOKUP(A56,Dividende_je_Aktie!A$3:AM$103,6,FALSE)/VLOOKUP(A56,Ergebnis_je_Aktie_verwässert!A$3:AK$103,6,FALSE))),""),"")</f>
        <v>0.30627871362940273</v>
      </c>
      <c r="G56" s="5">
        <f>IF(VLOOKUP(A56,Dividende_je_Aktie!A$3:AM$103,7,FALSE)&lt;&gt;"",IF(VLOOKUP(A56,Ergebnis_je_Aktie_verwässert!A$3:AK$103,7,FALSE)&lt;&gt;"",IF(VLOOKUP(A56,Ergebnis_je_Aktie_verwässert!A$3:AK$103,7,FALSE)&lt;=0,2,IF(VLOOKUP(A56,Dividende_je_Aktie!A$3:AM$103,7,FALSE)/VLOOKUP(A56,Ergebnis_je_Aktie_verwässert!A$3:AK$103,7,FALSE)&gt;=2,2,VLOOKUP(A56,Dividende_je_Aktie!A$3:AM$103,7,FALSE)/VLOOKUP(A56,Ergebnis_je_Aktie_verwässert!A$3:AK$103,7,FALSE))),""),"")</f>
        <v>0.28191489361702132</v>
      </c>
      <c r="H56" s="5">
        <f>IF(VLOOKUP(A56,Dividende_je_Aktie!A$3:AM$103,8,FALSE)&lt;&gt;"",IF(VLOOKUP(A56,Ergebnis_je_Aktie_verwässert!A$3:AK$103,8,FALSE)&lt;&gt;"",IF(VLOOKUP(A56,Ergebnis_je_Aktie_verwässert!A$3:AK$103,8,FALSE)&lt;=0,2,IF(VLOOKUP(A56,Dividende_je_Aktie!A$3:AM$103,8,FALSE)/VLOOKUP(A56,Ergebnis_je_Aktie_verwässert!A$3:AK$103,8,FALSE)&gt;=2,2,VLOOKUP(A56,Dividende_je_Aktie!A$3:AM$103,8,FALSE)/VLOOKUP(A56,Ergebnis_je_Aktie_verwässert!A$3:AK$103,8,FALSE))),""),"")</f>
        <v>0.26993865030674852</v>
      </c>
      <c r="I56" s="5">
        <f>IF(VLOOKUP(A56,Dividende_je_Aktie!A$3:AM$103,9,FALSE)&lt;&gt;"",IF(VLOOKUP(A56,Ergebnis_je_Aktie_verwässert!A$3:AK$103,9,FALSE)&lt;&gt;"",IF(VLOOKUP(A56,Ergebnis_je_Aktie_verwässert!A$3:AK$103,9,FALSE)&lt;=0,2,IF(VLOOKUP(A56,Dividende_je_Aktie!A$3:AM$103,9,FALSE)/VLOOKUP(A56,Ergebnis_je_Aktie_verwässert!A$3:AK$103,9,FALSE)&gt;=2,2,VLOOKUP(A56,Dividende_je_Aktie!A$3:AM$103,9,FALSE)/VLOOKUP(A56,Ergebnis_je_Aktie_verwässert!A$3:AK$103,9,FALSE))),""),"")</f>
        <v>0.27777777777777779</v>
      </c>
      <c r="J56" s="5">
        <f>IF(VLOOKUP(A56,Dividende_je_Aktie!A$3:AM$103,10,FALSE)&lt;&gt;"",IF(VLOOKUP(A56,Ergebnis_je_Aktie_verwässert!A$3:AK$103,10,FALSE)&lt;&gt;"",IF(VLOOKUP(A56,Ergebnis_je_Aktie_verwässert!A$3:AK$103,10,FALSE)&lt;=0,2,IF(VLOOKUP(A56,Dividende_je_Aktie!A$3:AM$103,10,FALSE)/VLOOKUP(A56,Ergebnis_je_Aktie_verwässert!A$3:AK$103,10,FALSE)&gt;=2,2,VLOOKUP(A56,Dividende_je_Aktie!A$3:AM$103,10,FALSE)/VLOOKUP(A56,Ergebnis_je_Aktie_verwässert!A$3:AK$103,10,FALSE))),""),"")</f>
        <v>0.24064171122994651</v>
      </c>
      <c r="K56" s="5">
        <f>IF(VLOOKUP(A56,Dividende_je_Aktie!A$3:AM$103,11,FALSE)&lt;&gt;"",IF(VLOOKUP(A56,Ergebnis_je_Aktie_verwässert!A$3:AK$103,11,FALSE)&lt;&gt;"",IF(VLOOKUP(A56,Ergebnis_je_Aktie_verwässert!A$3:AK$103,11,FALSE)&lt;=0,2,IF(VLOOKUP(A56,Dividende_je_Aktie!A$3:AM$103,11,FALSE)/VLOOKUP(A56,Ergebnis_je_Aktie_verwässert!A$3:AK$103,11,FALSE)&gt;=2,2,VLOOKUP(A56,Dividende_je_Aktie!A$3:AM$103,11,FALSE)/VLOOKUP(A56,Ergebnis_je_Aktie_verwässert!A$3:AK$103,11,FALSE))),""),"")</f>
        <v>0.21523178807947022</v>
      </c>
      <c r="L56" s="5">
        <f>IF(VLOOKUP(A56,Dividende_je_Aktie!A$3:AM$103,12,FALSE)&lt;&gt;"",IF(VLOOKUP(A56,Ergebnis_je_Aktie_verwässert!A$3:AK$103,12,FALSE)&lt;&gt;"",IF(VLOOKUP(A56,Ergebnis_je_Aktie_verwässert!A$3:AK$103,12,FALSE)&lt;=0,2,IF(VLOOKUP(A56,Dividende_je_Aktie!A$3:AM$103,12,FALSE)/VLOOKUP(A56,Ergebnis_je_Aktie_verwässert!A$3:AK$103,12,FALSE)&gt;=2,2,VLOOKUP(A56,Dividende_je_Aktie!A$3:AM$103,12,FALSE)/VLOOKUP(A56,Ergebnis_je_Aktie_verwässert!A$3:AK$103,12,FALSE))),""),"")</f>
        <v>0.19455252918287938</v>
      </c>
      <c r="M56" s="5">
        <f>IF(VLOOKUP(A56,Dividende_je_Aktie!A$3:AM$103,13,FALSE)&lt;&gt;"",IF(VLOOKUP(A56,Ergebnis_je_Aktie_verwässert!A$3:AK$103,13,FALSE)&lt;&gt;"",IF(VLOOKUP(A56,Ergebnis_je_Aktie_verwässert!A$3:AK$103,13,FALSE)&lt;=0,2,IF(VLOOKUP(A56,Dividende_je_Aktie!A$3:AM$103,13,FALSE)/VLOOKUP(A56,Ergebnis_je_Aktie_verwässert!A$3:AK$103,13,FALSE)&gt;=2,2,VLOOKUP(A56,Dividende_je_Aktie!A$3:AM$103,13,FALSE)/VLOOKUP(A56,Ergebnis_je_Aktie_verwässert!A$3:AK$103,13,FALSE))),""),"")</f>
        <v>0.14056224899598391</v>
      </c>
      <c r="N56" s="5">
        <f>IF(VLOOKUP(A56,Dividende_je_Aktie!A$3:AM$103,14,FALSE)&lt;&gt;"",IF(VLOOKUP(A56,Ergebnis_je_Aktie_verwässert!A$3:AK$103,14,FALSE)&lt;&gt;"",IF(VLOOKUP(A56,Ergebnis_je_Aktie_verwässert!A$3:AK$103,14,FALSE)&lt;=0,2,IF(VLOOKUP(A56,Dividende_je_Aktie!A$3:AM$103,14,FALSE)/VLOOKUP(A56,Ergebnis_je_Aktie_verwässert!A$3:AK$103,14,FALSE)&gt;=2,2,VLOOKUP(A56,Dividende_je_Aktie!A$3:AM$103,14,FALSE)/VLOOKUP(A56,Ergebnis_je_Aktie_verwässert!A$3:AK$103,14,FALSE))),""),"")</f>
        <v>0.1215686274509804</v>
      </c>
      <c r="O56" s="5">
        <f>IF(VLOOKUP(A56,Dividende_je_Aktie!A$3:AM$103,15,FALSE)&lt;&gt;"",IF(VLOOKUP(A56,Ergebnis_je_Aktie_verwässert!A$3:AK$103,15,FALSE)&lt;&gt;"",IF(VLOOKUP(A56,Ergebnis_je_Aktie_verwässert!A$3:AK$103,15,FALSE)&lt;=0,2,IF(VLOOKUP(A56,Dividende_je_Aktie!A$3:AM$103,15,FALSE)/VLOOKUP(A56,Ergebnis_je_Aktie_verwässert!A$3:AK$103,15,FALSE)&gt;=2,2,VLOOKUP(A56,Dividende_je_Aktie!A$3:AM$103,15,FALSE)/VLOOKUP(A56,Ergebnis_je_Aktie_verwässert!A$3:AK$103,15,FALSE))),""),"")</f>
        <v>0.11926605504587155</v>
      </c>
      <c r="P56" s="5">
        <f>IF(VLOOKUP(A56,Dividende_je_Aktie!A$3:AM$103,16,FALSE)&lt;&gt;"",IF(VLOOKUP(A56,Ergebnis_je_Aktie_verwässert!A$3:AK$103,16,FALSE)&lt;&gt;"",IF(VLOOKUP(A56,Ergebnis_je_Aktie_verwässert!A$3:AK$103,16,FALSE)&lt;=0,2,IF(VLOOKUP(A56,Dividende_je_Aktie!A$3:AM$103,16,FALSE)/VLOOKUP(A56,Ergebnis_je_Aktie_verwässert!A$3:AK$103,16,FALSE)&gt;=2,2,VLOOKUP(A56,Dividende_je_Aktie!A$3:AM$103,16,FALSE)/VLOOKUP(A56,Ergebnis_je_Aktie_verwässert!A$3:AK$103,16,FALSE))),""),"")</f>
        <v>0.11979166666666667</v>
      </c>
      <c r="Q56" s="5">
        <f>IF(VLOOKUP(A56,Dividende_je_Aktie!A$3:AM$103,17,FALSE)&lt;&gt;"",IF(VLOOKUP(A56,Ergebnis_je_Aktie_verwässert!A$3:AK$103,17,FALSE)&lt;&gt;"",IF(VLOOKUP(A56,Ergebnis_je_Aktie_verwässert!A$3:AK$103,17,FALSE)&lt;=0,2,IF(VLOOKUP(A56,Dividende_je_Aktie!A$3:AM$103,17,FALSE)/VLOOKUP(A56,Ergebnis_je_Aktie_verwässert!A$3:AK$103,17,FALSE)&gt;=2,2,VLOOKUP(A56,Dividende_je_Aktie!A$3:AM$103,17,FALSE)/VLOOKUP(A56,Ergebnis_je_Aktie_verwässert!A$3:AK$103,17,FALSE))),""),"")</f>
        <v>9.9999999999999992E-2</v>
      </c>
      <c r="R56" s="5">
        <f>IF(VLOOKUP(A56,Dividende_je_Aktie!A$3:AM$103,18,FALSE)&lt;&gt;"",IF(VLOOKUP(A56,Ergebnis_je_Aktie_verwässert!A$3:AK$103,18,FALSE)&lt;&gt;"",IF(VLOOKUP(A56,Ergebnis_je_Aktie_verwässert!A$3:AK$103,18,FALSE)&lt;=0,2,IF(VLOOKUP(A56,Dividende_je_Aktie!A$3:AM$103,18,FALSE)/VLOOKUP(A56,Ergebnis_je_Aktie_verwässert!A$3:AK$103,18,FALSE)&gt;=2,2,VLOOKUP(A56,Dividende_je_Aktie!A$3:AM$103,18,FALSE)/VLOOKUP(A56,Ergebnis_je_Aktie_verwässert!A$3:AK$103,18,FALSE))),""),"")</f>
        <v>9.6551724137931047E-2</v>
      </c>
      <c r="S56" s="10">
        <f t="shared" si="6"/>
        <v>0.19108279893235999</v>
      </c>
      <c r="T56" s="4">
        <f t="shared" ca="1" si="7"/>
        <v>0</v>
      </c>
      <c r="U56" s="4">
        <f t="shared" ca="1" si="8"/>
        <v>122</v>
      </c>
      <c r="V56" s="4">
        <f t="shared" ca="1" si="9"/>
        <v>238</v>
      </c>
      <c r="W56" s="10">
        <f t="shared" ca="1" si="10"/>
        <v>0.27399726609522984</v>
      </c>
      <c r="X56" s="5">
        <f t="shared" ca="1" si="11"/>
        <v>0.4339190530290491</v>
      </c>
    </row>
    <row r="57" spans="1:24" x14ac:dyDescent="0.25">
      <c r="A57" t="s">
        <v>291</v>
      </c>
      <c r="B57" t="s">
        <v>292</v>
      </c>
      <c r="C57" s="56">
        <v>31</v>
      </c>
      <c r="D57" s="56">
        <v>7</v>
      </c>
      <c r="E57" s="56">
        <v>2015</v>
      </c>
      <c r="F57" s="5">
        <f>IF(VLOOKUP(A57,Dividende_je_Aktie!A$3:AM$103,6,FALSE)&lt;&gt;"",IF(VLOOKUP(A57,Ergebnis_je_Aktie_verwässert!A$3:AK$103,6,FALSE)&lt;&gt;"",IF(VLOOKUP(A57,Ergebnis_je_Aktie_verwässert!A$3:AK$103,6,FALSE)&lt;=0,2,IF(VLOOKUP(A57,Dividende_je_Aktie!A$3:AM$103,6,FALSE)/VLOOKUP(A57,Ergebnis_je_Aktie_verwässert!A$3:AK$103,6,FALSE)&gt;=2,2,VLOOKUP(A57,Dividende_je_Aktie!A$3:AM$103,6,FALSE)/VLOOKUP(A57,Ergebnis_je_Aktie_verwässert!A$3:AK$103,6,FALSE))),""),"")</f>
        <v>0.44976076555023925</v>
      </c>
      <c r="G57" s="5">
        <f>IF(VLOOKUP(A57,Dividende_je_Aktie!A$3:AM$103,7,FALSE)&lt;&gt;"",IF(VLOOKUP(A57,Ergebnis_je_Aktie_verwässert!A$3:AK$103,7,FALSE)&lt;&gt;"",IF(VLOOKUP(A57,Ergebnis_je_Aktie_verwässert!A$3:AK$103,7,FALSE)&lt;=0,2,IF(VLOOKUP(A57,Dividende_je_Aktie!A$3:AM$103,7,FALSE)/VLOOKUP(A57,Ergebnis_je_Aktie_verwässert!A$3:AK$103,7,FALSE)&gt;=2,2,VLOOKUP(A57,Dividende_je_Aktie!A$3:AM$103,7,FALSE)/VLOOKUP(A57,Ergebnis_je_Aktie_verwässert!A$3:AK$103,7,FALSE))),""),"")</f>
        <v>0.4375</v>
      </c>
      <c r="H57" s="5">
        <f>IF(VLOOKUP(A57,Dividende_je_Aktie!A$3:AM$103,8,FALSE)&lt;&gt;"",IF(VLOOKUP(A57,Ergebnis_je_Aktie_verwässert!A$3:AK$103,8,FALSE)&lt;&gt;"",IF(VLOOKUP(A57,Ergebnis_je_Aktie_verwässert!A$3:AK$103,8,FALSE)&lt;=0,2,IF(VLOOKUP(A57,Dividende_je_Aktie!A$3:AM$103,8,FALSE)/VLOOKUP(A57,Ergebnis_je_Aktie_verwässert!A$3:AK$103,8,FALSE)&gt;=2,2,VLOOKUP(A57,Dividende_je_Aktie!A$3:AM$103,8,FALSE)/VLOOKUP(A57,Ergebnis_je_Aktie_verwässert!A$3:AK$103,8,FALSE))),""),"")</f>
        <v>0.45142857142857146</v>
      </c>
      <c r="I57" s="5">
        <f>IF(VLOOKUP(A57,Dividende_je_Aktie!A$3:AM$103,9,FALSE)&lt;&gt;"",IF(VLOOKUP(A57,Ergebnis_je_Aktie_verwässert!A$3:AK$103,9,FALSE)&lt;&gt;"",IF(VLOOKUP(A57,Ergebnis_je_Aktie_verwässert!A$3:AK$103,9,FALSE)&lt;=0,2,IF(VLOOKUP(A57,Dividende_je_Aktie!A$3:AM$103,9,FALSE)/VLOOKUP(A57,Ergebnis_je_Aktie_verwässert!A$3:AK$103,9,FALSE)&gt;=2,2,VLOOKUP(A57,Dividende_je_Aktie!A$3:AM$103,9,FALSE)/VLOOKUP(A57,Ergebnis_je_Aktie_verwässert!A$3:AK$103,9,FALSE))),""),"")</f>
        <v>0.48322147651006708</v>
      </c>
      <c r="J57" s="5">
        <f>IF(VLOOKUP(A57,Dividende_je_Aktie!A$3:AM$103,10,FALSE)&lt;&gt;"",IF(VLOOKUP(A57,Ergebnis_je_Aktie_verwässert!A$3:AK$103,10,FALSE)&lt;&gt;"",IF(VLOOKUP(A57,Ergebnis_je_Aktie_verwässert!A$3:AK$103,10,FALSE)&lt;=0,2,IF(VLOOKUP(A57,Dividende_je_Aktie!A$3:AM$103,10,FALSE)/VLOOKUP(A57,Ergebnis_je_Aktie_verwässert!A$3:AK$103,10,FALSE)&gt;=2,2,VLOOKUP(A57,Dividende_je_Aktie!A$3:AM$103,10,FALSE)/VLOOKUP(A57,Ergebnis_je_Aktie_verwässert!A$3:AK$103,10,FALSE))),""),"")</f>
        <v>0.33333333333333331</v>
      </c>
      <c r="K57" s="5">
        <f>IF(VLOOKUP(A57,Dividende_je_Aktie!A$3:AM$103,11,FALSE)&lt;&gt;"",IF(VLOOKUP(A57,Ergebnis_je_Aktie_verwässert!A$3:AK$103,11,FALSE)&lt;&gt;"",IF(VLOOKUP(A57,Ergebnis_je_Aktie_verwässert!A$3:AK$103,11,FALSE)&lt;=0,2,IF(VLOOKUP(A57,Dividende_je_Aktie!A$3:AM$103,11,FALSE)/VLOOKUP(A57,Ergebnis_je_Aktie_verwässert!A$3:AK$103,11,FALSE)&gt;=2,2,VLOOKUP(A57,Dividende_je_Aktie!A$3:AM$103,11,FALSE)/VLOOKUP(A57,Ergebnis_je_Aktie_verwässert!A$3:AK$103,11,FALSE))),""),"")</f>
        <v>0.18791946308724833</v>
      </c>
      <c r="L57" s="5">
        <f>IF(VLOOKUP(A57,Dividende_je_Aktie!A$3:AM$103,12,FALSE)&lt;&gt;"",IF(VLOOKUP(A57,Ergebnis_je_Aktie_verwässert!A$3:AK$103,12,FALSE)&lt;&gt;"",IF(VLOOKUP(A57,Ergebnis_je_Aktie_verwässert!A$3:AK$103,12,FALSE)&lt;=0,2,IF(VLOOKUP(A57,Dividende_je_Aktie!A$3:AM$103,12,FALSE)/VLOOKUP(A57,Ergebnis_je_Aktie_verwässert!A$3:AK$103,12,FALSE)&gt;=2,2,VLOOKUP(A57,Dividende_je_Aktie!A$3:AM$103,12,FALSE)/VLOOKUP(A57,Ergebnis_je_Aktie_verwässert!A$3:AK$103,12,FALSE))),""),"")</f>
        <v>9.3023255813953487E-2</v>
      </c>
      <c r="M57" s="5">
        <f>IF(VLOOKUP(A57,Dividende_je_Aktie!A$3:AM$103,13,FALSE)&lt;&gt;"",IF(VLOOKUP(A57,Ergebnis_je_Aktie_verwässert!A$3:AK$103,13,FALSE)&lt;&gt;"",IF(VLOOKUP(A57,Ergebnis_je_Aktie_verwässert!A$3:AK$103,13,FALSE)&lt;=0,2,IF(VLOOKUP(A57,Dividende_je_Aktie!A$3:AM$103,13,FALSE)/VLOOKUP(A57,Ergebnis_je_Aktie_verwässert!A$3:AK$103,13,FALSE)&gt;=2,2,VLOOKUP(A57,Dividende_je_Aktie!A$3:AM$103,13,FALSE)/VLOOKUP(A57,Ergebnis_je_Aktie_verwässert!A$3:AK$103,13,FALSE))),""),"")</f>
        <v>0</v>
      </c>
      <c r="N57" s="5">
        <f>IF(VLOOKUP(A57,Dividende_je_Aktie!A$3:AM$103,14,FALSE)&lt;&gt;"",IF(VLOOKUP(A57,Ergebnis_je_Aktie_verwässert!A$3:AK$103,14,FALSE)&lt;&gt;"",IF(VLOOKUP(A57,Ergebnis_je_Aktie_verwässert!A$3:AK$103,14,FALSE)&lt;=0,2,IF(VLOOKUP(A57,Dividende_je_Aktie!A$3:AM$103,14,FALSE)/VLOOKUP(A57,Ergebnis_je_Aktie_verwässert!A$3:AK$103,14,FALSE)&gt;=2,2,VLOOKUP(A57,Dividende_je_Aktie!A$3:AM$103,14,FALSE)/VLOOKUP(A57,Ergebnis_je_Aktie_verwässert!A$3:AK$103,14,FALSE))),""),"")</f>
        <v>0</v>
      </c>
      <c r="O57" s="5">
        <f>IF(VLOOKUP(A57,Dividende_je_Aktie!A$3:AM$103,15,FALSE)&lt;&gt;"",IF(VLOOKUP(A57,Ergebnis_je_Aktie_verwässert!A$3:AK$103,15,FALSE)&lt;&gt;"",IF(VLOOKUP(A57,Ergebnis_je_Aktie_verwässert!A$3:AK$103,15,FALSE)&lt;=0,2,IF(VLOOKUP(A57,Dividende_je_Aktie!A$3:AM$103,15,FALSE)/VLOOKUP(A57,Ergebnis_je_Aktie_verwässert!A$3:AK$103,15,FALSE)&gt;=2,2,VLOOKUP(A57,Dividende_je_Aktie!A$3:AM$103,15,FALSE)/VLOOKUP(A57,Ergebnis_je_Aktie_verwässert!A$3:AK$103,15,FALSE))),""),"")</f>
        <v>0</v>
      </c>
      <c r="P57" s="5">
        <f>IF(VLOOKUP(A57,Dividende_je_Aktie!A$3:AM$103,16,FALSE)&lt;&gt;"",IF(VLOOKUP(A57,Ergebnis_je_Aktie_verwässert!A$3:AK$103,16,FALSE)&lt;&gt;"",IF(VLOOKUP(A57,Ergebnis_je_Aktie_verwässert!A$3:AK$103,16,FALSE)&lt;=0,2,IF(VLOOKUP(A57,Dividende_je_Aktie!A$3:AM$103,16,FALSE)/VLOOKUP(A57,Ergebnis_je_Aktie_verwässert!A$3:AK$103,16,FALSE)&gt;=2,2,VLOOKUP(A57,Dividende_je_Aktie!A$3:AM$103,16,FALSE)/VLOOKUP(A57,Ergebnis_je_Aktie_verwässert!A$3:AK$103,16,FALSE))),""),"")</f>
        <v>0</v>
      </c>
      <c r="Q57" s="5">
        <f>IF(VLOOKUP(A57,Dividende_je_Aktie!A$3:AM$103,17,FALSE)&lt;&gt;"",IF(VLOOKUP(A57,Ergebnis_je_Aktie_verwässert!A$3:AK$103,17,FALSE)&lt;&gt;"",IF(VLOOKUP(A57,Ergebnis_je_Aktie_verwässert!A$3:AK$103,17,FALSE)&lt;=0,2,IF(VLOOKUP(A57,Dividende_je_Aktie!A$3:AM$103,17,FALSE)/VLOOKUP(A57,Ergebnis_je_Aktie_verwässert!A$3:AK$103,17,FALSE)&gt;=2,2,VLOOKUP(A57,Dividende_je_Aktie!A$3:AM$103,17,FALSE)/VLOOKUP(A57,Ergebnis_je_Aktie_verwässert!A$3:AK$103,17,FALSE))),""),"")</f>
        <v>0</v>
      </c>
      <c r="R57" s="5">
        <f>IF(VLOOKUP(A57,Dividende_je_Aktie!A$3:AM$103,18,FALSE)&lt;&gt;"",IF(VLOOKUP(A57,Ergebnis_je_Aktie_verwässert!A$3:AK$103,18,FALSE)&lt;&gt;"",IF(VLOOKUP(A57,Ergebnis_je_Aktie_verwässert!A$3:AK$103,18,FALSE)&lt;=0,2,IF(VLOOKUP(A57,Dividende_je_Aktie!A$3:AM$103,18,FALSE)/VLOOKUP(A57,Ergebnis_je_Aktie_verwässert!A$3:AK$103,18,FALSE)&gt;=2,2,VLOOKUP(A57,Dividende_je_Aktie!A$3:AM$103,18,FALSE)/VLOOKUP(A57,Ergebnis_je_Aktie_verwässert!A$3:AK$103,18,FALSE))),""),"")</f>
        <v>0</v>
      </c>
      <c r="S57" s="10">
        <f t="shared" si="6"/>
        <v>0.18739898967103177</v>
      </c>
      <c r="T57" s="4">
        <f t="shared" ca="1" si="7"/>
        <v>0</v>
      </c>
      <c r="U57" s="4">
        <f t="shared" ca="1" si="8"/>
        <v>272</v>
      </c>
      <c r="V57" s="4">
        <f t="shared" ca="1" si="9"/>
        <v>88</v>
      </c>
      <c r="W57" s="10">
        <f t="shared" ca="1" si="10"/>
        <v>0.44090476190476191</v>
      </c>
      <c r="X57" s="5">
        <f t="shared" ca="1" si="11"/>
        <v>1.3527595462427255</v>
      </c>
    </row>
    <row r="58" spans="1:24" x14ac:dyDescent="0.25">
      <c r="A58" t="s">
        <v>272</v>
      </c>
      <c r="B58" t="s">
        <v>277</v>
      </c>
      <c r="C58" s="56">
        <v>31</v>
      </c>
      <c r="D58" s="56">
        <v>12</v>
      </c>
      <c r="E58" s="56">
        <v>2015</v>
      </c>
      <c r="F58" s="5">
        <f>IF(VLOOKUP(A58,Dividende_je_Aktie!A$3:AM$103,6,FALSE)&lt;&gt;"",IF(VLOOKUP(A58,Ergebnis_je_Aktie_verwässert!A$3:AK$103,6,FALSE)&lt;&gt;"",IF(VLOOKUP(A58,Ergebnis_je_Aktie_verwässert!A$3:AK$103,6,FALSE)&lt;=0,2,IF(VLOOKUP(A58,Dividende_je_Aktie!A$3:AM$103,6,FALSE)/VLOOKUP(A58,Ergebnis_je_Aktie_verwässert!A$3:AK$103,6,FALSE)&gt;=2,2,VLOOKUP(A58,Dividende_je_Aktie!A$3:AM$103,6,FALSE)/VLOOKUP(A58,Ergebnis_je_Aktie_verwässert!A$3:AK$103,6,FALSE))),""),"")</f>
        <v>0.39051094890510946</v>
      </c>
      <c r="G58" s="5">
        <f>IF(VLOOKUP(A58,Dividende_je_Aktie!A$3:AM$103,7,FALSE)&lt;&gt;"",IF(VLOOKUP(A58,Ergebnis_je_Aktie_verwässert!A$3:AK$103,7,FALSE)&lt;&gt;"",IF(VLOOKUP(A58,Ergebnis_je_Aktie_verwässert!A$3:AK$103,7,FALSE)&lt;=0,2,IF(VLOOKUP(A58,Dividende_je_Aktie!A$3:AM$103,7,FALSE)/VLOOKUP(A58,Ergebnis_je_Aktie_verwässert!A$3:AK$103,7,FALSE)&gt;=2,2,VLOOKUP(A58,Dividende_je_Aktie!A$3:AM$103,7,FALSE)/VLOOKUP(A58,Ergebnis_je_Aktie_verwässert!A$3:AK$103,7,FALSE))),""),"")</f>
        <v>0.43376068376068372</v>
      </c>
      <c r="H58" s="5">
        <f>IF(VLOOKUP(A58,Dividende_je_Aktie!A$3:AM$103,8,FALSE)&lt;&gt;"",IF(VLOOKUP(A58,Ergebnis_je_Aktie_verwässert!A$3:AK$103,8,FALSE)&lt;&gt;"",IF(VLOOKUP(A58,Ergebnis_je_Aktie_verwässert!A$3:AK$103,8,FALSE)&lt;=0,2,IF(VLOOKUP(A58,Dividende_je_Aktie!A$3:AM$103,8,FALSE)/VLOOKUP(A58,Ergebnis_je_Aktie_verwässert!A$3:AK$103,8,FALSE)&gt;=2,2,VLOOKUP(A58,Dividende_je_Aktie!A$3:AM$103,8,FALSE)/VLOOKUP(A58,Ergebnis_je_Aktie_verwässert!A$3:AK$103,8,FALSE))),""),"")</f>
        <v>0.49742268041237114</v>
      </c>
      <c r="I58" s="5">
        <f>IF(VLOOKUP(A58,Dividende_je_Aktie!A$3:AM$103,9,FALSE)&lt;&gt;"",IF(VLOOKUP(A58,Ergebnis_je_Aktie_verwässert!A$3:AK$103,9,FALSE)&lt;&gt;"",IF(VLOOKUP(A58,Ergebnis_je_Aktie_verwässert!A$3:AK$103,9,FALSE)&lt;=0,2,IF(VLOOKUP(A58,Dividende_je_Aktie!A$3:AM$103,9,FALSE)/VLOOKUP(A58,Ergebnis_je_Aktie_verwässert!A$3:AK$103,9,FALSE)&gt;=2,2,VLOOKUP(A58,Dividende_je_Aktie!A$3:AM$103,9,FALSE)/VLOOKUP(A58,Ergebnis_je_Aktie_verwässert!A$3:AK$103,9,FALSE))),""),"")</f>
        <v>0.46938775510204084</v>
      </c>
      <c r="J58" s="5">
        <f>IF(VLOOKUP(A58,Dividende_je_Aktie!A$3:AM$103,10,FALSE)&lt;&gt;"",IF(VLOOKUP(A58,Ergebnis_je_Aktie_verwässert!A$3:AK$103,10,FALSE)&lt;&gt;"",IF(VLOOKUP(A58,Ergebnis_je_Aktie_verwässert!A$3:AK$103,10,FALSE)&lt;=0,2,IF(VLOOKUP(A58,Dividende_je_Aktie!A$3:AM$103,10,FALSE)/VLOOKUP(A58,Ergebnis_je_Aktie_verwässert!A$3:AK$103,10,FALSE)&gt;=2,2,VLOOKUP(A58,Dividende_je_Aktie!A$3:AM$103,10,FALSE)/VLOOKUP(A58,Ergebnis_je_Aktie_verwässert!A$3:AK$103,10,FALSE))),""),"")</f>
        <v>0.57289990344383646</v>
      </c>
      <c r="K58" s="5">
        <f>IF(VLOOKUP(A58,Dividende_je_Aktie!A$3:AM$103,11,FALSE)&lt;&gt;"",IF(VLOOKUP(A58,Ergebnis_je_Aktie_verwässert!A$3:AK$103,11,FALSE)&lt;&gt;"",IF(VLOOKUP(A58,Ergebnis_je_Aktie_verwässert!A$3:AK$103,11,FALSE)&lt;=0,2,IF(VLOOKUP(A58,Dividende_je_Aktie!A$3:AM$103,11,FALSE)/VLOOKUP(A58,Ergebnis_je_Aktie_verwässert!A$3:AK$103,11,FALSE)&gt;=2,2,VLOOKUP(A58,Dividende_je_Aktie!A$3:AM$103,11,FALSE)/VLOOKUP(A58,Ergebnis_je_Aktie_verwässert!A$3:AK$103,11,FALSE))),""),"")</f>
        <v>0.57627118644067787</v>
      </c>
      <c r="L58" s="5">
        <f>IF(VLOOKUP(A58,Dividende_je_Aktie!A$3:AM$103,12,FALSE)&lt;&gt;"",IF(VLOOKUP(A58,Ergebnis_je_Aktie_verwässert!A$3:AK$103,12,FALSE)&lt;&gt;"",IF(VLOOKUP(A58,Ergebnis_je_Aktie_verwässert!A$3:AK$103,12,FALSE)&lt;=0,2,IF(VLOOKUP(A58,Dividende_je_Aktie!A$3:AM$103,12,FALSE)/VLOOKUP(A58,Ergebnis_je_Aktie_verwässert!A$3:AK$103,12,FALSE)&gt;=2,2,VLOOKUP(A58,Dividende_je_Aktie!A$3:AM$103,12,FALSE)/VLOOKUP(A58,Ergebnis_je_Aktie_verwässert!A$3:AK$103,12,FALSE))),""),"")</f>
        <v>0.44565217391304346</v>
      </c>
      <c r="M58" s="5">
        <f>IF(VLOOKUP(A58,Dividende_je_Aktie!A$3:AM$103,13,FALSE)&lt;&gt;"",IF(VLOOKUP(A58,Ergebnis_je_Aktie_verwässert!A$3:AK$103,13,FALSE)&lt;&gt;"",IF(VLOOKUP(A58,Ergebnis_je_Aktie_verwässert!A$3:AK$103,13,FALSE)&lt;=0,2,IF(VLOOKUP(A58,Dividende_je_Aktie!A$3:AM$103,13,FALSE)/VLOOKUP(A58,Ergebnis_je_Aktie_verwässert!A$3:AK$103,13,FALSE)&gt;=2,2,VLOOKUP(A58,Dividende_je_Aktie!A$3:AM$103,13,FALSE)/VLOOKUP(A58,Ergebnis_je_Aktie_verwässert!A$3:AK$103,13,FALSE))),""),"")</f>
        <v>0.5</v>
      </c>
      <c r="N58" s="5">
        <f>IF(VLOOKUP(A58,Dividende_je_Aktie!A$3:AM$103,14,FALSE)&lt;&gt;"",IF(VLOOKUP(A58,Ergebnis_je_Aktie_verwässert!A$3:AK$103,14,FALSE)&lt;&gt;"",IF(VLOOKUP(A58,Ergebnis_je_Aktie_verwässert!A$3:AK$103,14,FALSE)&lt;=0,2,IF(VLOOKUP(A58,Dividende_je_Aktie!A$3:AM$103,14,FALSE)/VLOOKUP(A58,Ergebnis_je_Aktie_verwässert!A$3:AK$103,14,FALSE)&gt;=2,2,VLOOKUP(A58,Dividende_je_Aktie!A$3:AM$103,14,FALSE)/VLOOKUP(A58,Ergebnis_je_Aktie_verwässert!A$3:AK$103,14,FALSE))),""),"")</f>
        <v>0.85416666666666663</v>
      </c>
      <c r="O58" s="5">
        <f>IF(VLOOKUP(A58,Dividende_je_Aktie!A$3:AM$103,15,FALSE)&lt;&gt;"",IF(VLOOKUP(A58,Ergebnis_je_Aktie_verwässert!A$3:AK$103,15,FALSE)&lt;&gt;"",IF(VLOOKUP(A58,Ergebnis_je_Aktie_verwässert!A$3:AK$103,15,FALSE)&lt;=0,2,IF(VLOOKUP(A58,Dividende_je_Aktie!A$3:AM$103,15,FALSE)/VLOOKUP(A58,Ergebnis_je_Aktie_verwässert!A$3:AK$103,15,FALSE)&gt;=2,2,VLOOKUP(A58,Dividende_je_Aktie!A$3:AM$103,15,FALSE)/VLOOKUP(A58,Ergebnis_je_Aktie_verwässert!A$3:AK$103,15,FALSE))),""),"")</f>
        <v>0.65338645418326691</v>
      </c>
      <c r="P58" s="5">
        <f>IF(VLOOKUP(A58,Dividende_je_Aktie!A$3:AM$103,16,FALSE)&lt;&gt;"",IF(VLOOKUP(A58,Ergebnis_je_Aktie_verwässert!A$3:AK$103,16,FALSE)&lt;&gt;"",IF(VLOOKUP(A58,Ergebnis_je_Aktie_verwässert!A$3:AK$103,16,FALSE)&lt;=0,2,IF(VLOOKUP(A58,Dividende_je_Aktie!A$3:AM$103,16,FALSE)/VLOOKUP(A58,Ergebnis_je_Aktie_verwässert!A$3:AK$103,16,FALSE)&gt;=2,2,VLOOKUP(A58,Dividende_je_Aktie!A$3:AM$103,16,FALSE)/VLOOKUP(A58,Ergebnis_je_Aktie_verwässert!A$3:AK$103,16,FALSE))),""),"")</f>
        <v>0.47204968944099379</v>
      </c>
      <c r="Q58" s="5">
        <f>IF(VLOOKUP(A58,Dividende_je_Aktie!A$3:AM$103,17,FALSE)&lt;&gt;"",IF(VLOOKUP(A58,Ergebnis_je_Aktie_verwässert!A$3:AK$103,17,FALSE)&lt;&gt;"",IF(VLOOKUP(A58,Ergebnis_je_Aktie_verwässert!A$3:AK$103,17,FALSE)&lt;=0,2,IF(VLOOKUP(A58,Dividende_je_Aktie!A$3:AM$103,17,FALSE)/VLOOKUP(A58,Ergebnis_je_Aktie_verwässert!A$3:AK$103,17,FALSE)&gt;=2,2,VLOOKUP(A58,Dividende_je_Aktie!A$3:AM$103,17,FALSE)/VLOOKUP(A58,Ergebnis_je_Aktie_verwässert!A$3:AK$103,17,FALSE))),""),"")</f>
        <v>0.43786982248520712</v>
      </c>
      <c r="R58" s="5">
        <f>IF(VLOOKUP(A58,Dividende_je_Aktie!A$3:AM$103,18,FALSE)&lt;&gt;"",IF(VLOOKUP(A58,Ergebnis_je_Aktie_verwässert!A$3:AK$103,18,FALSE)&lt;&gt;"",IF(VLOOKUP(A58,Ergebnis_je_Aktie_verwässert!A$3:AK$103,18,FALSE)&lt;=0,2,IF(VLOOKUP(A58,Dividende_je_Aktie!A$3:AM$103,18,FALSE)/VLOOKUP(A58,Ergebnis_je_Aktie_verwässert!A$3:AK$103,18,FALSE)&gt;=2,2,VLOOKUP(A58,Dividende_je_Aktie!A$3:AM$103,18,FALSE)/VLOOKUP(A58,Ergebnis_je_Aktie_verwässert!A$3:AK$103,18,FALSE))),""),"")</f>
        <v>0.70531400966183577</v>
      </c>
      <c r="S58" s="10">
        <f t="shared" si="6"/>
        <v>0.5391301518781334</v>
      </c>
      <c r="T58" s="4">
        <f t="shared" ca="1" si="7"/>
        <v>0</v>
      </c>
      <c r="U58" s="4">
        <f t="shared" ca="1" si="8"/>
        <v>122</v>
      </c>
      <c r="V58" s="4">
        <f t="shared" ca="1" si="9"/>
        <v>238</v>
      </c>
      <c r="W58" s="10">
        <f t="shared" ca="1" si="10"/>
        <v>0.47584833710263263</v>
      </c>
      <c r="X58" s="5">
        <f t="shared" ca="1" si="11"/>
        <v>-0.11737762125722317</v>
      </c>
    </row>
    <row r="59" spans="1:24" x14ac:dyDescent="0.25">
      <c r="A59" t="s">
        <v>97</v>
      </c>
      <c r="B59" t="s">
        <v>98</v>
      </c>
      <c r="C59" s="56">
        <v>31</v>
      </c>
      <c r="D59" s="56">
        <v>5</v>
      </c>
      <c r="E59" s="56">
        <v>2015</v>
      </c>
      <c r="F59" s="5">
        <f>IF(VLOOKUP(A59,Dividende_je_Aktie!A$3:AM$103,6,FALSE)&lt;&gt;"",IF(VLOOKUP(A59,Ergebnis_je_Aktie_verwässert!A$3:AK$103,6,FALSE)&lt;&gt;"",IF(VLOOKUP(A59,Ergebnis_je_Aktie_verwässert!A$3:AK$103,6,FALSE)&lt;=0,2,IF(VLOOKUP(A59,Dividende_je_Aktie!A$3:AM$103,6,FALSE)/VLOOKUP(A59,Ergebnis_je_Aktie_verwässert!A$3:AK$103,6,FALSE)&gt;=2,2,VLOOKUP(A59,Dividende_je_Aktie!A$3:AM$103,6,FALSE)/VLOOKUP(A59,Ergebnis_je_Aktie_verwässert!A$3:AK$103,6,FALSE))),""),"")</f>
        <v>0.58204334365325072</v>
      </c>
      <c r="G59" s="5">
        <f>IF(VLOOKUP(A59,Dividende_je_Aktie!A$3:AM$103,7,FALSE)&lt;&gt;"",IF(VLOOKUP(A59,Ergebnis_je_Aktie_verwässert!A$3:AK$103,7,FALSE)&lt;&gt;"",IF(VLOOKUP(A59,Ergebnis_je_Aktie_verwässert!A$3:AK$103,7,FALSE)&lt;=0,2,IF(VLOOKUP(A59,Dividende_je_Aktie!A$3:AM$103,7,FALSE)/VLOOKUP(A59,Ergebnis_je_Aktie_verwässert!A$3:AK$103,7,FALSE)&gt;=2,2,VLOOKUP(A59,Dividende_je_Aktie!A$3:AM$103,7,FALSE)/VLOOKUP(A59,Ergebnis_je_Aktie_verwässert!A$3:AK$103,7,FALSE))),""),"")</f>
        <v>0.58862876254180596</v>
      </c>
      <c r="H59" s="5">
        <f>IF(VLOOKUP(A59,Dividende_je_Aktie!A$3:AM$103,8,FALSE)&lt;&gt;"",IF(VLOOKUP(A59,Ergebnis_je_Aktie_verwässert!A$3:AK$103,8,FALSE)&lt;&gt;"",IF(VLOOKUP(A59,Ergebnis_je_Aktie_verwässert!A$3:AK$103,8,FALSE)&lt;=0,2,IF(VLOOKUP(A59,Dividende_je_Aktie!A$3:AM$103,8,FALSE)/VLOOKUP(A59,Ergebnis_je_Aktie_verwässert!A$3:AK$103,8,FALSE)&gt;=2,2,VLOOKUP(A59,Dividende_je_Aktie!A$3:AM$103,8,FALSE)/VLOOKUP(A59,Ergebnis_je_Aktie_verwässert!A$3:AK$103,8,FALSE))),""),"")</f>
        <v>0.64566929133858264</v>
      </c>
      <c r="I59" s="5">
        <f>IF(VLOOKUP(A59,Dividende_je_Aktie!A$3:AM$103,9,FALSE)&lt;&gt;"",IF(VLOOKUP(A59,Ergebnis_je_Aktie_verwässert!A$3:AK$103,9,FALSE)&lt;&gt;"",IF(VLOOKUP(A59,Ergebnis_je_Aktie_verwässert!A$3:AK$103,9,FALSE)&lt;=0,2,IF(VLOOKUP(A59,Dividende_je_Aktie!A$3:AM$103,9,FALSE)/VLOOKUP(A59,Ergebnis_je_Aktie_verwässert!A$3:AK$103,9,FALSE)&gt;=2,2,VLOOKUP(A59,Dividende_je_Aktie!A$3:AM$103,9,FALSE)/VLOOKUP(A59,Ergebnis_je_Aktie_verwässert!A$3:AK$103,9,FALSE))),""),"")</f>
        <v>0.54770318021201414</v>
      </c>
      <c r="J59" s="5">
        <f>IF(VLOOKUP(A59,Dividende_je_Aktie!A$3:AM$103,10,FALSE)&lt;&gt;"",IF(VLOOKUP(A59,Ergebnis_je_Aktie_verwässert!A$3:AK$103,10,FALSE)&lt;&gt;"",IF(VLOOKUP(A59,Ergebnis_je_Aktie_verwässert!A$3:AK$103,10,FALSE)&lt;=0,2,IF(VLOOKUP(A59,Dividende_je_Aktie!A$3:AM$103,10,FALSE)/VLOOKUP(A59,Ergebnis_je_Aktie_verwässert!A$3:AK$103,10,FALSE)&gt;=2,2,VLOOKUP(A59,Dividende_je_Aktie!A$3:AM$103,10,FALSE)/VLOOKUP(A59,Ergebnis_je_Aktie_verwässert!A$3:AK$103,10,FALSE))),""),"")</f>
        <v>0.4731182795698925</v>
      </c>
      <c r="K59" s="5">
        <f>IF(VLOOKUP(A59,Dividende_je_Aktie!A$3:AM$103,11,FALSE)&lt;&gt;"",IF(VLOOKUP(A59,Ergebnis_je_Aktie_verwässert!A$3:AK$103,11,FALSE)&lt;&gt;"",IF(VLOOKUP(A59,Ergebnis_je_Aktie_verwässert!A$3:AK$103,11,FALSE)&lt;=0,2,IF(VLOOKUP(A59,Dividende_je_Aktie!A$3:AM$103,11,FALSE)/VLOOKUP(A59,Ergebnis_je_Aktie_verwässert!A$3:AK$103,11,FALSE)&gt;=2,2,VLOOKUP(A59,Dividende_je_Aktie!A$3:AM$103,11,FALSE)/VLOOKUP(A59,Ergebnis_je_Aktie_verwässert!A$3:AK$103,11,FALSE))),""),"")</f>
        <v>0.51914893617021274</v>
      </c>
      <c r="L59" s="5">
        <f>IF(VLOOKUP(A59,Dividende_je_Aktie!A$3:AM$103,12,FALSE)&lt;&gt;"",IF(VLOOKUP(A59,Ergebnis_je_Aktie_verwässert!A$3:AK$103,12,FALSE)&lt;&gt;"",IF(VLOOKUP(A59,Ergebnis_je_Aktie_verwässert!A$3:AK$103,12,FALSE)&lt;=0,2,IF(VLOOKUP(A59,Dividende_je_Aktie!A$3:AM$103,12,FALSE)/VLOOKUP(A59,Ergebnis_je_Aktie_verwässert!A$3:AK$103,12,FALSE)&gt;=2,2,VLOOKUP(A59,Dividende_je_Aktie!A$3:AM$103,12,FALSE)/VLOOKUP(A59,Ergebnis_je_Aktie_verwässert!A$3:AK$103,12,FALSE))),""),"")</f>
        <v>0.4148148148148148</v>
      </c>
      <c r="M59" s="5">
        <f>IF(VLOOKUP(A59,Dividende_je_Aktie!A$3:AM$103,13,FALSE)&lt;&gt;"",IF(VLOOKUP(A59,Ergebnis_je_Aktie_verwässert!A$3:AK$103,13,FALSE)&lt;&gt;"",IF(VLOOKUP(A59,Ergebnis_je_Aktie_verwässert!A$3:AK$103,13,FALSE)&lt;=0,2,IF(VLOOKUP(A59,Dividende_je_Aktie!A$3:AM$103,13,FALSE)/VLOOKUP(A59,Ergebnis_je_Aktie_verwässert!A$3:AK$103,13,FALSE)&gt;=2,2,VLOOKUP(A59,Dividende_je_Aktie!A$3:AM$103,13,FALSE)/VLOOKUP(A59,Ergebnis_je_Aktie_verwässert!A$3:AK$103,13,FALSE))),""),"")</f>
        <v>0.42857142857142849</v>
      </c>
      <c r="N59" s="5">
        <f>IF(VLOOKUP(A59,Dividende_je_Aktie!A$3:AM$103,14,FALSE)&lt;&gt;"",IF(VLOOKUP(A59,Ergebnis_je_Aktie_verwässert!A$3:AK$103,14,FALSE)&lt;&gt;"",IF(VLOOKUP(A59,Ergebnis_je_Aktie_verwässert!A$3:AK$103,14,FALSE)&lt;=0,2,IF(VLOOKUP(A59,Dividende_je_Aktie!A$3:AM$103,14,FALSE)/VLOOKUP(A59,Ergebnis_je_Aktie_verwässert!A$3:AK$103,14,FALSE)&gt;=2,2,VLOOKUP(A59,Dividende_je_Aktie!A$3:AM$103,14,FALSE)/VLOOKUP(A59,Ergebnis_je_Aktie_verwässert!A$3:AK$103,14,FALSE))),""),"")</f>
        <v>0.45263157894736844</v>
      </c>
      <c r="O59" s="5">
        <f>IF(VLOOKUP(A59,Dividende_je_Aktie!A$3:AM$103,15,FALSE)&lt;&gt;"",IF(VLOOKUP(A59,Ergebnis_je_Aktie_verwässert!A$3:AK$103,15,FALSE)&lt;&gt;"",IF(VLOOKUP(A59,Ergebnis_je_Aktie_verwässert!A$3:AK$103,15,FALSE)&lt;=0,2,IF(VLOOKUP(A59,Dividende_je_Aktie!A$3:AM$103,15,FALSE)/VLOOKUP(A59,Ergebnis_je_Aktie_verwässert!A$3:AK$103,15,FALSE)&gt;=2,2,VLOOKUP(A59,Dividende_je_Aktie!A$3:AM$103,15,FALSE)/VLOOKUP(A59,Ergebnis_je_Aktie_verwässert!A$3:AK$103,15,FALSE))),""),"")</f>
        <v>0.42473118279569894</v>
      </c>
      <c r="P59" s="5">
        <f>IF(VLOOKUP(A59,Dividende_je_Aktie!A$3:AM$103,16,FALSE)&lt;&gt;"",IF(VLOOKUP(A59,Ergebnis_je_Aktie_verwässert!A$3:AK$103,16,FALSE)&lt;&gt;"",IF(VLOOKUP(A59,Ergebnis_je_Aktie_verwässert!A$3:AK$103,16,FALSE)&lt;=0,2,IF(VLOOKUP(A59,Dividende_je_Aktie!A$3:AM$103,16,FALSE)/VLOOKUP(A59,Ergebnis_je_Aktie_verwässert!A$3:AK$103,16,FALSE)&gt;=2,2,VLOOKUP(A59,Dividende_je_Aktie!A$3:AM$103,16,FALSE)/VLOOKUP(A59,Ergebnis_je_Aktie_verwässert!A$3:AK$103,16,FALSE))),""),"")</f>
        <v>0.45283018867924524</v>
      </c>
      <c r="Q59" s="5">
        <f>IF(VLOOKUP(A59,Dividende_je_Aktie!A$3:AM$103,17,FALSE)&lt;&gt;"",IF(VLOOKUP(A59,Ergebnis_je_Aktie_verwässert!A$3:AK$103,17,FALSE)&lt;&gt;"",IF(VLOOKUP(A59,Ergebnis_je_Aktie_verwässert!A$3:AK$103,17,FALSE)&lt;=0,2,IF(VLOOKUP(A59,Dividende_je_Aktie!A$3:AM$103,17,FALSE)/VLOOKUP(A59,Ergebnis_je_Aktie_verwässert!A$3:AK$103,17,FALSE)&gt;=2,2,VLOOKUP(A59,Dividende_je_Aktie!A$3:AM$103,17,FALSE)/VLOOKUP(A59,Ergebnis_je_Aktie_verwässert!A$3:AK$103,17,FALSE))),""),"")</f>
        <v>0.46206896551724141</v>
      </c>
      <c r="R59" s="5">
        <f>IF(VLOOKUP(A59,Dividende_je_Aktie!A$3:AM$103,18,FALSE)&lt;&gt;"",IF(VLOOKUP(A59,Ergebnis_je_Aktie_verwässert!A$3:AK$103,18,FALSE)&lt;&gt;"",IF(VLOOKUP(A59,Ergebnis_je_Aktie_verwässert!A$3:AK$103,18,FALSE)&lt;=0,2,IF(VLOOKUP(A59,Dividende_je_Aktie!A$3:AM$103,18,FALSE)/VLOOKUP(A59,Ergebnis_je_Aktie_verwässert!A$3:AK$103,18,FALSE)&gt;=2,2,VLOOKUP(A59,Dividende_je_Aktie!A$3:AM$103,18,FALSE)/VLOOKUP(A59,Ergebnis_je_Aktie_verwässert!A$3:AK$103,18,FALSE))),""),"")</f>
        <v>0.40259740259740256</v>
      </c>
      <c r="S59" s="10">
        <f t="shared" si="6"/>
        <v>0.49188902733915069</v>
      </c>
      <c r="T59" s="4">
        <f t="shared" ca="1" si="7"/>
        <v>0</v>
      </c>
      <c r="U59" s="4">
        <f t="shared" ca="1" si="8"/>
        <v>332</v>
      </c>
      <c r="V59" s="4">
        <f t="shared" ca="1" si="9"/>
        <v>28</v>
      </c>
      <c r="W59" s="10">
        <f t="shared" ca="1" si="10"/>
        <v>0.59306524811488859</v>
      </c>
      <c r="X59" s="5">
        <f t="shared" ca="1" si="11"/>
        <v>0.20568911919634725</v>
      </c>
    </row>
    <row r="60" spans="1:24" x14ac:dyDescent="0.25">
      <c r="A60" t="s">
        <v>259</v>
      </c>
      <c r="B60" t="s">
        <v>260</v>
      </c>
      <c r="C60" s="56">
        <v>31</v>
      </c>
      <c r="D60" s="56">
        <v>12</v>
      </c>
      <c r="E60" s="56">
        <v>2015</v>
      </c>
      <c r="F60" s="5">
        <f>IF(VLOOKUP(A60,Dividende_je_Aktie!A$3:AM$103,6,FALSE)&lt;&gt;"",IF(VLOOKUP(A60,Ergebnis_je_Aktie_verwässert!A$3:AK$103,6,FALSE)&lt;&gt;"",IF(VLOOKUP(A60,Ergebnis_je_Aktie_verwässert!A$3:AK$103,6,FALSE)&lt;=0,2,IF(VLOOKUP(A60,Dividende_je_Aktie!A$3:AM$103,6,FALSE)/VLOOKUP(A60,Ergebnis_je_Aktie_verwässert!A$3:AK$103,6,FALSE)&gt;=2,2,VLOOKUP(A60,Dividende_je_Aktie!A$3:AM$103,6,FALSE)/VLOOKUP(A60,Ergebnis_je_Aktie_verwässert!A$3:AK$103,6,FALSE))),""),"")</f>
        <v>0.54613466334164595</v>
      </c>
      <c r="G60" s="5">
        <f>IF(VLOOKUP(A60,Dividende_je_Aktie!A$3:AM$103,7,FALSE)&lt;&gt;"",IF(VLOOKUP(A60,Ergebnis_je_Aktie_verwässert!A$3:AK$103,7,FALSE)&lt;&gt;"",IF(VLOOKUP(A60,Ergebnis_je_Aktie_verwässert!A$3:AK$103,7,FALSE)&lt;=0,2,IF(VLOOKUP(A60,Dividende_je_Aktie!A$3:AM$103,7,FALSE)/VLOOKUP(A60,Ergebnis_je_Aktie_verwässert!A$3:AK$103,7,FALSE)&gt;=2,2,VLOOKUP(A60,Dividende_je_Aktie!A$3:AM$103,7,FALSE)/VLOOKUP(A60,Ergebnis_je_Aktie_verwässert!A$3:AK$103,7,FALSE))),""),"")</f>
        <v>0.55040871934604907</v>
      </c>
      <c r="H60" s="5">
        <f>IF(VLOOKUP(A60,Dividende_je_Aktie!A$3:AM$103,8,FALSE)&lt;&gt;"",IF(VLOOKUP(A60,Ergebnis_je_Aktie_verwässert!A$3:AK$103,8,FALSE)&lt;&gt;"",IF(VLOOKUP(A60,Ergebnis_je_Aktie_verwässert!A$3:AK$103,8,FALSE)&lt;=0,2,IF(VLOOKUP(A60,Dividende_je_Aktie!A$3:AM$103,8,FALSE)/VLOOKUP(A60,Ergebnis_je_Aktie_verwässert!A$3:AK$103,8,FALSE)&gt;=2,2,VLOOKUP(A60,Dividende_je_Aktie!A$3:AM$103,8,FALSE)/VLOOKUP(A60,Ergebnis_je_Aktie_verwässert!A$3:AK$103,8,FALSE))),""),"")</f>
        <v>0.55270655270655278</v>
      </c>
      <c r="I60" s="5">
        <f>IF(VLOOKUP(A60,Dividende_je_Aktie!A$3:AM$103,9,FALSE)&lt;&gt;"",IF(VLOOKUP(A60,Ergebnis_je_Aktie_verwässert!A$3:AK$103,9,FALSE)&lt;&gt;"",IF(VLOOKUP(A60,Ergebnis_je_Aktie_verwässert!A$3:AK$103,9,FALSE)&lt;=0,2,IF(VLOOKUP(A60,Dividende_je_Aktie!A$3:AM$103,9,FALSE)/VLOOKUP(A60,Ergebnis_je_Aktie_verwässert!A$3:AK$103,9,FALSE)&gt;=2,2,VLOOKUP(A60,Dividende_je_Aktie!A$3:AM$103,9,FALSE)/VLOOKUP(A60,Ergebnis_je_Aktie_verwässert!A$3:AK$103,9,FALSE))),""),"")</f>
        <v>0.49738219895287961</v>
      </c>
      <c r="J60" s="5">
        <f>IF(VLOOKUP(A60,Dividende_je_Aktie!A$3:AM$103,10,FALSE)&lt;&gt;"",IF(VLOOKUP(A60,Ergebnis_je_Aktie_verwässert!A$3:AK$103,10,FALSE)&lt;&gt;"",IF(VLOOKUP(A60,Ergebnis_je_Aktie_verwässert!A$3:AK$103,10,FALSE)&lt;=0,2,IF(VLOOKUP(A60,Dividende_je_Aktie!A$3:AM$103,10,FALSE)/VLOOKUP(A60,Ergebnis_je_Aktie_verwässert!A$3:AK$103,10,FALSE)&gt;=2,2,VLOOKUP(A60,Dividende_je_Aktie!A$3:AM$103,10,FALSE)/VLOOKUP(A60,Ergebnis_je_Aktie_verwässert!A$3:AK$103,10,FALSE))),""),"")</f>
        <v>0.47368421052631582</v>
      </c>
      <c r="K60" s="5">
        <f>IF(VLOOKUP(A60,Dividende_je_Aktie!A$3:AM$103,11,FALSE)&lt;&gt;"",IF(VLOOKUP(A60,Ergebnis_je_Aktie_verwässert!A$3:AK$103,11,FALSE)&lt;&gt;"",IF(VLOOKUP(A60,Ergebnis_je_Aktie_verwässert!A$3:AK$103,11,FALSE)&lt;=0,2,IF(VLOOKUP(A60,Dividende_je_Aktie!A$3:AM$103,11,FALSE)/VLOOKUP(A60,Ergebnis_je_Aktie_verwässert!A$3:AK$103,11,FALSE)&gt;=2,2,VLOOKUP(A60,Dividende_je_Aktie!A$3:AM$103,11,FALSE)/VLOOKUP(A60,Ergebnis_je_Aktie_verwässert!A$3:AK$103,11,FALSE))),""),"")</f>
        <v>0.48066298342541436</v>
      </c>
      <c r="L60" s="5">
        <f>IF(VLOOKUP(A60,Dividende_je_Aktie!A$3:AM$103,12,FALSE)&lt;&gt;"",IF(VLOOKUP(A60,Ergebnis_je_Aktie_verwässert!A$3:AK$103,12,FALSE)&lt;&gt;"",IF(VLOOKUP(A60,Ergebnis_je_Aktie_verwässert!A$3:AK$103,12,FALSE)&lt;=0,2,IF(VLOOKUP(A60,Dividende_je_Aktie!A$3:AM$103,12,FALSE)/VLOOKUP(A60,Ergebnis_je_Aktie_verwässert!A$3:AK$103,12,FALSE)&gt;=2,2,VLOOKUP(A60,Dividende_je_Aktie!A$3:AM$103,12,FALSE)/VLOOKUP(A60,Ergebnis_je_Aktie_verwässert!A$3:AK$103,12,FALSE))),""),"")</f>
        <v>0.45879120879120877</v>
      </c>
      <c r="M60" s="5">
        <f>IF(VLOOKUP(A60,Dividende_je_Aktie!A$3:AM$103,13,FALSE)&lt;&gt;"",IF(VLOOKUP(A60,Ergebnis_je_Aktie_verwässert!A$3:AK$103,13,FALSE)&lt;&gt;"",IF(VLOOKUP(A60,Ergebnis_je_Aktie_verwässert!A$3:AK$103,13,FALSE)&lt;=0,2,IF(VLOOKUP(A60,Dividende_je_Aktie!A$3:AM$103,13,FALSE)/VLOOKUP(A60,Ergebnis_je_Aktie_verwässert!A$3:AK$103,13,FALSE)&gt;=2,2,VLOOKUP(A60,Dividende_je_Aktie!A$3:AM$103,13,FALSE)/VLOOKUP(A60,Ergebnis_je_Aktie_verwässert!A$3:AK$103,13,FALSE))),""),"")</f>
        <v>0.47272727272727277</v>
      </c>
      <c r="N60" s="5">
        <f>IF(VLOOKUP(A60,Dividende_je_Aktie!A$3:AM$103,14,FALSE)&lt;&gt;"",IF(VLOOKUP(A60,Ergebnis_je_Aktie_verwässert!A$3:AK$103,14,FALSE)&lt;&gt;"",IF(VLOOKUP(A60,Ergebnis_je_Aktie_verwässert!A$3:AK$103,14,FALSE)&lt;=0,2,IF(VLOOKUP(A60,Dividende_je_Aktie!A$3:AM$103,14,FALSE)/VLOOKUP(A60,Ergebnis_je_Aktie_verwässert!A$3:AK$103,14,FALSE)&gt;=2,2,VLOOKUP(A60,Dividende_je_Aktie!A$3:AM$103,14,FALSE)/VLOOKUP(A60,Ergebnis_je_Aktie_verwässert!A$3:AK$103,14,FALSE))),""),"")</f>
        <v>0.45253164556962022</v>
      </c>
      <c r="O60" s="5">
        <f>IF(VLOOKUP(A60,Dividende_je_Aktie!A$3:AM$103,15,FALSE)&lt;&gt;"",IF(VLOOKUP(A60,Ergebnis_je_Aktie_verwässert!A$3:AK$103,15,FALSE)&lt;&gt;"",IF(VLOOKUP(A60,Ergebnis_je_Aktie_verwässert!A$3:AK$103,15,FALSE)&lt;=0,2,IF(VLOOKUP(A60,Dividende_je_Aktie!A$3:AM$103,15,FALSE)/VLOOKUP(A60,Ergebnis_je_Aktie_verwässert!A$3:AK$103,15,FALSE)&gt;=2,2,VLOOKUP(A60,Dividende_je_Aktie!A$3:AM$103,15,FALSE)/VLOOKUP(A60,Ergebnis_je_Aktie_verwässert!A$3:AK$103,15,FALSE))),""),"")</f>
        <v>0.43478260869565216</v>
      </c>
      <c r="P60" s="5">
        <f>IF(VLOOKUP(A60,Dividende_je_Aktie!A$3:AM$103,16,FALSE)&lt;&gt;"",IF(VLOOKUP(A60,Ergebnis_je_Aktie_verwässert!A$3:AK$103,16,FALSE)&lt;&gt;"",IF(VLOOKUP(A60,Ergebnis_je_Aktie_verwässert!A$3:AK$103,16,FALSE)&lt;=0,2,IF(VLOOKUP(A60,Dividende_je_Aktie!A$3:AM$103,16,FALSE)/VLOOKUP(A60,Ergebnis_je_Aktie_verwässert!A$3:AK$103,16,FALSE)&gt;=2,2,VLOOKUP(A60,Dividende_je_Aktie!A$3:AM$103,16,FALSE)/VLOOKUP(A60,Ergebnis_je_Aktie_verwässert!A$3:AK$103,16,FALSE))),""),"")</f>
        <v>0.43478260869565222</v>
      </c>
      <c r="Q60" s="5">
        <f>IF(VLOOKUP(A60,Dividende_je_Aktie!A$3:AM$103,17,FALSE)&lt;&gt;"",IF(VLOOKUP(A60,Ergebnis_je_Aktie_verwässert!A$3:AK$103,17,FALSE)&lt;&gt;"",IF(VLOOKUP(A60,Ergebnis_je_Aktie_verwässert!A$3:AK$103,17,FALSE)&lt;=0,2,IF(VLOOKUP(A60,Dividende_je_Aktie!A$3:AM$103,17,FALSE)/VLOOKUP(A60,Ergebnis_je_Aktie_verwässert!A$3:AK$103,17,FALSE)&gt;=2,2,VLOOKUP(A60,Dividende_je_Aktie!A$3:AM$103,17,FALSE)/VLOOKUP(A60,Ergebnis_je_Aktie_verwässert!A$3:AK$103,17,FALSE))),""),"")</f>
        <v>0.4541832669322709</v>
      </c>
      <c r="R60" s="5">
        <f>IF(VLOOKUP(A60,Dividende_je_Aktie!A$3:AM$103,18,FALSE)&lt;&gt;"",IF(VLOOKUP(A60,Ergebnis_je_Aktie_verwässert!A$3:AK$103,18,FALSE)&lt;&gt;"",IF(VLOOKUP(A60,Ergebnis_je_Aktie_verwässert!A$3:AK$103,18,FALSE)&lt;=0,2,IF(VLOOKUP(A60,Dividende_je_Aktie!A$3:AM$103,18,FALSE)/VLOOKUP(A60,Ergebnis_je_Aktie_verwässert!A$3:AK$103,18,FALSE)&gt;=2,2,VLOOKUP(A60,Dividende_je_Aktie!A$3:AM$103,18,FALSE)/VLOOKUP(A60,Ergebnis_je_Aktie_verwässert!A$3:AK$103,18,FALSE))),""),"")</f>
        <v>0.44915254237288138</v>
      </c>
      <c r="S60" s="10">
        <f t="shared" si="6"/>
        <v>0.48137926785257046</v>
      </c>
      <c r="T60" s="4">
        <f t="shared" ca="1" si="7"/>
        <v>0</v>
      </c>
      <c r="U60" s="4">
        <f t="shared" ca="1" si="8"/>
        <v>122</v>
      </c>
      <c r="V60" s="4">
        <f t="shared" ca="1" si="9"/>
        <v>238</v>
      </c>
      <c r="W60" s="10">
        <f t="shared" ca="1" si="10"/>
        <v>0.55192784251215987</v>
      </c>
      <c r="X60" s="5">
        <f t="shared" ca="1" si="11"/>
        <v>0.14655507490861863</v>
      </c>
    </row>
    <row r="61" spans="1:24" x14ac:dyDescent="0.25">
      <c r="A61" t="s">
        <v>99</v>
      </c>
      <c r="B61" t="s">
        <v>100</v>
      </c>
      <c r="C61" s="56">
        <v>31</v>
      </c>
      <c r="D61" s="56">
        <v>12</v>
      </c>
      <c r="E61" s="56">
        <v>2015</v>
      </c>
      <c r="F61" s="5">
        <f>IF(VLOOKUP(A61,Dividende_je_Aktie!A$3:AM$103,6,FALSE)&lt;&gt;"",IF(VLOOKUP(A61,Ergebnis_je_Aktie_verwässert!A$3:AK$103,6,FALSE)&lt;&gt;"",IF(VLOOKUP(A61,Ergebnis_je_Aktie_verwässert!A$3:AK$103,6,FALSE)&lt;=0,2,IF(VLOOKUP(A61,Dividende_je_Aktie!A$3:AM$103,6,FALSE)/VLOOKUP(A61,Ergebnis_je_Aktie_verwässert!A$3:AK$103,6,FALSE)&gt;=2,2,VLOOKUP(A61,Dividende_je_Aktie!A$3:AM$103,6,FALSE)/VLOOKUP(A61,Ergebnis_je_Aktie_verwässert!A$3:AK$103,6,FALSE))),""),"")</f>
        <v>0.61290322580645162</v>
      </c>
      <c r="G61" s="5">
        <f>IF(VLOOKUP(A61,Dividende_je_Aktie!A$3:AM$103,7,FALSE)&lt;&gt;"",IF(VLOOKUP(A61,Ergebnis_je_Aktie_verwässert!A$3:AK$103,7,FALSE)&lt;&gt;"",IF(VLOOKUP(A61,Ergebnis_je_Aktie_verwässert!A$3:AK$103,7,FALSE)&lt;=0,2,IF(VLOOKUP(A61,Dividende_je_Aktie!A$3:AM$103,7,FALSE)/VLOOKUP(A61,Ergebnis_je_Aktie_verwässert!A$3:AK$103,7,FALSE)&gt;=2,2,VLOOKUP(A61,Dividende_je_Aktie!A$3:AM$103,7,FALSE)/VLOOKUP(A61,Ergebnis_je_Aktie_verwässert!A$3:AK$103,7,FALSE))),""),"")</f>
        <v>0.5915721231766613</v>
      </c>
      <c r="H61" s="5">
        <f>IF(VLOOKUP(A61,Dividende_je_Aktie!A$3:AM$103,8,FALSE)&lt;&gt;"",IF(VLOOKUP(A61,Ergebnis_je_Aktie_verwässert!A$3:AK$103,8,FALSE)&lt;&gt;"",IF(VLOOKUP(A61,Ergebnis_je_Aktie_verwässert!A$3:AK$103,8,FALSE)&lt;=0,2,IF(VLOOKUP(A61,Dividende_je_Aktie!A$3:AM$103,8,FALSE)/VLOOKUP(A61,Ergebnis_je_Aktie_verwässert!A$3:AK$103,8,FALSE)&gt;=2,2,VLOOKUP(A61,Dividende_je_Aktie!A$3:AM$103,8,FALSE)/VLOOKUP(A61,Ergebnis_je_Aktie_verwässert!A$3:AK$103,8,FALSE))),""),"")</f>
        <v>0.6497175141242939</v>
      </c>
      <c r="I61" s="5">
        <f>IF(VLOOKUP(A61,Dividende_je_Aktie!A$3:AM$103,9,FALSE)&lt;&gt;"",IF(VLOOKUP(A61,Ergebnis_je_Aktie_verwässert!A$3:AK$103,9,FALSE)&lt;&gt;"",IF(VLOOKUP(A61,Ergebnis_je_Aktie_verwässert!A$3:AK$103,9,FALSE)&lt;=0,2,IF(VLOOKUP(A61,Dividende_je_Aktie!A$3:AM$103,9,FALSE)/VLOOKUP(A61,Ergebnis_je_Aktie_verwässert!A$3:AK$103,9,FALSE)&gt;=2,2,VLOOKUP(A61,Dividende_je_Aktie!A$3:AM$103,9,FALSE)/VLOOKUP(A61,Ergebnis_je_Aktie_verwässert!A$3:AK$103,9,FALSE))),""),"")</f>
        <v>0.6098003629764065</v>
      </c>
      <c r="J61" s="5">
        <f>IF(VLOOKUP(A61,Dividende_je_Aktie!A$3:AM$103,10,FALSE)&lt;&gt;"",IF(VLOOKUP(A61,Ergebnis_je_Aktie_verwässert!A$3:AK$103,10,FALSE)&lt;&gt;"",IF(VLOOKUP(A61,Ergebnis_je_Aktie_verwässert!A$3:AK$103,10,FALSE)&lt;=0,2,IF(VLOOKUP(A61,Dividende_je_Aktie!A$3:AM$103,10,FALSE)/VLOOKUP(A61,Ergebnis_je_Aktie_verwässert!A$3:AK$103,10,FALSE)&gt;=2,2,VLOOKUP(A61,Dividende_je_Aktie!A$3:AM$103,10,FALSE)/VLOOKUP(A61,Ergebnis_je_Aktie_verwässert!A$3:AK$103,10,FALSE))),""),"")</f>
        <v>0.58589511754068713</v>
      </c>
      <c r="K61" s="5">
        <f>IF(VLOOKUP(A61,Dividende_je_Aktie!A$3:AM$103,11,FALSE)&lt;&gt;"",IF(VLOOKUP(A61,Ergebnis_je_Aktie_verwässert!A$3:AK$103,11,FALSE)&lt;&gt;"",IF(VLOOKUP(A61,Ergebnis_je_Aktie_verwässert!A$3:AK$103,11,FALSE)&lt;=0,2,IF(VLOOKUP(A61,Dividende_je_Aktie!A$3:AM$103,11,FALSE)/VLOOKUP(A61,Ergebnis_je_Aktie_verwässert!A$3:AK$103,11,FALSE)&gt;=2,2,VLOOKUP(A61,Dividende_je_Aktie!A$3:AM$103,11,FALSE)/VLOOKUP(A61,Ergebnis_je_Aktie_verwässert!A$3:AK$103,11,FALSE))),""),"")</f>
        <v>0.66968325791855199</v>
      </c>
      <c r="L61" s="5">
        <f>IF(VLOOKUP(A61,Dividende_je_Aktie!A$3:AM$103,12,FALSE)&lt;&gt;"",IF(VLOOKUP(A61,Ergebnis_je_Aktie_verwässert!A$3:AK$103,12,FALSE)&lt;&gt;"",IF(VLOOKUP(A61,Ergebnis_je_Aktie_verwässert!A$3:AK$103,12,FALSE)&lt;=0,2,IF(VLOOKUP(A61,Dividende_je_Aktie!A$3:AM$103,12,FALSE)/VLOOKUP(A61,Ergebnis_je_Aktie_verwässert!A$3:AK$103,12,FALSE)&gt;=2,2,VLOOKUP(A61,Dividende_je_Aktie!A$3:AM$103,12,FALSE)/VLOOKUP(A61,Ergebnis_je_Aktie_verwässert!A$3:AK$103,12,FALSE))),""),"")</f>
        <v>0.70175438596491224</v>
      </c>
      <c r="M61" s="5">
        <f>IF(VLOOKUP(A61,Dividende_je_Aktie!A$3:AM$103,13,FALSE)&lt;&gt;"",IF(VLOOKUP(A61,Ergebnis_je_Aktie_verwässert!A$3:AK$103,13,FALSE)&lt;&gt;"",IF(VLOOKUP(A61,Ergebnis_je_Aktie_verwässert!A$3:AK$103,13,FALSE)&lt;=0,2,IF(VLOOKUP(A61,Dividende_je_Aktie!A$3:AM$103,13,FALSE)/VLOOKUP(A61,Ergebnis_je_Aktie_verwässert!A$3:AK$103,13,FALSE)&gt;=2,2,VLOOKUP(A61,Dividende_je_Aktie!A$3:AM$103,13,FALSE)/VLOOKUP(A61,Ergebnis_je_Aktie_verwässert!A$3:AK$103,13,FALSE))),""),"")</f>
        <v>0.59325842696629216</v>
      </c>
      <c r="N61" s="5">
        <f>IF(VLOOKUP(A61,Dividende_je_Aktie!A$3:AM$103,14,FALSE)&lt;&gt;"",IF(VLOOKUP(A61,Ergebnis_je_Aktie_verwässert!A$3:AK$103,14,FALSE)&lt;&gt;"",IF(VLOOKUP(A61,Ergebnis_je_Aktie_verwässert!A$3:AK$103,14,FALSE)&lt;=0,2,IF(VLOOKUP(A61,Dividende_je_Aktie!A$3:AM$103,14,FALSE)/VLOOKUP(A61,Ergebnis_je_Aktie_verwässert!A$3:AK$103,14,FALSE)&gt;=2,2,VLOOKUP(A61,Dividende_je_Aktie!A$3:AM$103,14,FALSE)/VLOOKUP(A61,Ergebnis_je_Aktie_verwässert!A$3:AK$103,14,FALSE))),""),"")</f>
        <v>0.53097345132743368</v>
      </c>
      <c r="O61" s="5">
        <f>IF(VLOOKUP(A61,Dividende_je_Aktie!A$3:AM$103,15,FALSE)&lt;&gt;"",IF(VLOOKUP(A61,Ergebnis_je_Aktie_verwässert!A$3:AK$103,15,FALSE)&lt;&gt;"",IF(VLOOKUP(A61,Ergebnis_je_Aktie_verwässert!A$3:AK$103,15,FALSE)&lt;=0,2,IF(VLOOKUP(A61,Dividende_je_Aktie!A$3:AM$103,15,FALSE)/VLOOKUP(A61,Ergebnis_je_Aktie_verwässert!A$3:AK$103,15,FALSE)&gt;=2,2,VLOOKUP(A61,Dividende_je_Aktie!A$3:AM$103,15,FALSE)/VLOOKUP(A61,Ergebnis_je_Aktie_verwässert!A$3:AK$103,15,FALSE))),""),"")</f>
        <v>0.57425742574257421</v>
      </c>
      <c r="P61" s="5">
        <f>IF(VLOOKUP(A61,Dividende_je_Aktie!A$3:AM$103,16,FALSE)&lt;&gt;"",IF(VLOOKUP(A61,Ergebnis_je_Aktie_verwässert!A$3:AK$103,16,FALSE)&lt;&gt;"",IF(VLOOKUP(A61,Ergebnis_je_Aktie_verwässert!A$3:AK$103,16,FALSE)&lt;=0,2,IF(VLOOKUP(A61,Dividende_je_Aktie!A$3:AM$103,16,FALSE)/VLOOKUP(A61,Ergebnis_je_Aktie_verwässert!A$3:AK$103,16,FALSE)&gt;=2,2,VLOOKUP(A61,Dividende_je_Aktie!A$3:AM$103,16,FALSE)/VLOOKUP(A61,Ergebnis_je_Aktie_verwässert!A$3:AK$103,16,FALSE))),""),"")</f>
        <v>0.51833740831295849</v>
      </c>
      <c r="Q61" s="5">
        <f>IF(VLOOKUP(A61,Dividende_je_Aktie!A$3:AM$103,17,FALSE)&lt;&gt;"",IF(VLOOKUP(A61,Ergebnis_je_Aktie_verwässert!A$3:AK$103,17,FALSE)&lt;&gt;"",IF(VLOOKUP(A61,Ergebnis_je_Aktie_verwässert!A$3:AK$103,17,FALSE)&lt;=0,2,IF(VLOOKUP(A61,Dividende_je_Aktie!A$3:AM$103,17,FALSE)/VLOOKUP(A61,Ergebnis_je_Aktie_verwässert!A$3:AK$103,17,FALSE)&gt;=2,2,VLOOKUP(A61,Dividende_je_Aktie!A$3:AM$103,17,FALSE)/VLOOKUP(A61,Ergebnis_je_Aktie_verwässert!A$3:AK$103,17,FALSE))),""),"")</f>
        <v>0.60307692307692307</v>
      </c>
      <c r="R61" s="5">
        <f>IF(VLOOKUP(A61,Dividende_je_Aktie!A$3:AM$103,18,FALSE)&lt;&gt;"",IF(VLOOKUP(A61,Ergebnis_je_Aktie_verwässert!A$3:AK$103,18,FALSE)&lt;&gt;"",IF(VLOOKUP(A61,Ergebnis_je_Aktie_verwässert!A$3:AK$103,18,FALSE)&lt;=0,2,IF(VLOOKUP(A61,Dividende_je_Aktie!A$3:AM$103,18,FALSE)/VLOOKUP(A61,Ergebnis_je_Aktie_verwässert!A$3:AK$103,18,FALSE)&gt;=2,2,VLOOKUP(A61,Dividende_je_Aktie!A$3:AM$103,18,FALSE)/VLOOKUP(A61,Ergebnis_je_Aktie_verwässert!A$3:AK$103,18,FALSE))),""),"")</f>
        <v>0.54878048780487809</v>
      </c>
      <c r="S61" s="10">
        <f t="shared" si="6"/>
        <v>0.59923154697992487</v>
      </c>
      <c r="T61" s="4">
        <f t="shared" ca="1" si="7"/>
        <v>0</v>
      </c>
      <c r="U61" s="4">
        <f t="shared" ca="1" si="8"/>
        <v>122</v>
      </c>
      <c r="V61" s="4">
        <f t="shared" ca="1" si="9"/>
        <v>238</v>
      </c>
      <c r="W61" s="10">
        <f t="shared" ca="1" si="10"/>
        <v>0.63001268719204062</v>
      </c>
      <c r="X61" s="5">
        <f t="shared" ca="1" si="11"/>
        <v>5.136768978077022E-2</v>
      </c>
    </row>
    <row r="62" spans="1:24" x14ac:dyDescent="0.25">
      <c r="A62" t="s">
        <v>261</v>
      </c>
      <c r="B62" t="s">
        <v>262</v>
      </c>
      <c r="C62" s="56">
        <v>31</v>
      </c>
      <c r="D62" s="56">
        <v>12</v>
      </c>
      <c r="E62" s="56">
        <v>2015</v>
      </c>
      <c r="F62" s="5">
        <f>IF(VLOOKUP(A62,Dividende_je_Aktie!A$3:AM$103,6,FALSE)&lt;&gt;"",IF(VLOOKUP(A62,Ergebnis_je_Aktie_verwässert!A$3:AK$103,6,FALSE)&lt;&gt;"",IF(VLOOKUP(A62,Ergebnis_je_Aktie_verwässert!A$3:AK$103,6,FALSE)&lt;=0,2,IF(VLOOKUP(A62,Dividende_je_Aktie!A$3:AM$103,6,FALSE)/VLOOKUP(A62,Ergebnis_je_Aktie_verwässert!A$3:AK$103,6,FALSE)&gt;=2,2,VLOOKUP(A62,Dividende_je_Aktie!A$3:AM$103,6,FALSE)/VLOOKUP(A62,Ergebnis_je_Aktie_verwässert!A$3:AK$103,6,FALSE))),""),"")</f>
        <v>0.11881188118811881</v>
      </c>
      <c r="G62" s="5">
        <f>IF(VLOOKUP(A62,Dividende_je_Aktie!A$3:AM$103,7,FALSE)&lt;&gt;"",IF(VLOOKUP(A62,Ergebnis_je_Aktie_verwässert!A$3:AK$103,7,FALSE)&lt;&gt;"",IF(VLOOKUP(A62,Ergebnis_je_Aktie_verwässert!A$3:AK$103,7,FALSE)&lt;=0,2,IF(VLOOKUP(A62,Dividende_je_Aktie!A$3:AM$103,7,FALSE)/VLOOKUP(A62,Ergebnis_je_Aktie_verwässert!A$3:AK$103,7,FALSE)&gt;=2,2,VLOOKUP(A62,Dividende_je_Aktie!A$3:AM$103,7,FALSE)/VLOOKUP(A62,Ergebnis_je_Aktie_verwässert!A$3:AK$103,7,FALSE))),""),"")</f>
        <v>0.1394230769230769</v>
      </c>
      <c r="H62" s="5">
        <f>IF(VLOOKUP(A62,Dividende_je_Aktie!A$3:AM$103,8,FALSE)&lt;&gt;"",IF(VLOOKUP(A62,Ergebnis_je_Aktie_verwässert!A$3:AK$103,8,FALSE)&lt;&gt;"",IF(VLOOKUP(A62,Ergebnis_je_Aktie_verwässert!A$3:AK$103,8,FALSE)&lt;=0,2,IF(VLOOKUP(A62,Dividende_je_Aktie!A$3:AM$103,8,FALSE)/VLOOKUP(A62,Ergebnis_je_Aktie_verwässert!A$3:AK$103,8,FALSE)&gt;=2,2,VLOOKUP(A62,Dividende_je_Aktie!A$3:AM$103,8,FALSE)/VLOOKUP(A62,Ergebnis_je_Aktie_verwässert!A$3:AK$103,8,FALSE))),""),"")</f>
        <v>0.16184971098265899</v>
      </c>
      <c r="I62" s="5">
        <f>IF(VLOOKUP(A62,Dividende_je_Aktie!A$3:AM$103,9,FALSE)&lt;&gt;"",IF(VLOOKUP(A62,Ergebnis_je_Aktie_verwässert!A$3:AK$103,9,FALSE)&lt;&gt;"",IF(VLOOKUP(A62,Ergebnis_je_Aktie_verwässert!A$3:AK$103,9,FALSE)&lt;=0,2,IF(VLOOKUP(A62,Dividende_je_Aktie!A$3:AM$103,9,FALSE)/VLOOKUP(A62,Ergebnis_je_Aktie_verwässert!A$3:AK$103,9,FALSE)&gt;=2,2,VLOOKUP(A62,Dividende_je_Aktie!A$3:AM$103,9,FALSE)/VLOOKUP(A62,Ergebnis_je_Aktie_verwässert!A$3:AK$103,9,FALSE))),""),"")</f>
        <v>0.14193548387096774</v>
      </c>
      <c r="J62" s="5">
        <f>IF(VLOOKUP(A62,Dividende_je_Aktie!A$3:AM$103,10,FALSE)&lt;&gt;"",IF(VLOOKUP(A62,Ergebnis_je_Aktie_verwässert!A$3:AK$103,10,FALSE)&lt;&gt;"",IF(VLOOKUP(A62,Ergebnis_je_Aktie_verwässert!A$3:AK$103,10,FALSE)&lt;=0,2,IF(VLOOKUP(A62,Dividende_je_Aktie!A$3:AM$103,10,FALSE)/VLOOKUP(A62,Ergebnis_je_Aktie_verwässert!A$3:AK$103,10,FALSE)&gt;=2,2,VLOOKUP(A62,Dividende_je_Aktie!A$3:AM$103,10,FALSE)/VLOOKUP(A62,Ergebnis_je_Aktie_verwässert!A$3:AK$103,10,FALSE))),""),"")</f>
        <v>8.203125E-2</v>
      </c>
      <c r="K62" s="5">
        <f>IF(VLOOKUP(A62,Dividende_je_Aktie!A$3:AM$103,11,FALSE)&lt;&gt;"",IF(VLOOKUP(A62,Ergebnis_je_Aktie_verwässert!A$3:AK$103,11,FALSE)&lt;&gt;"",IF(VLOOKUP(A62,Ergebnis_je_Aktie_verwässert!A$3:AK$103,11,FALSE)&lt;=0,2,IF(VLOOKUP(A62,Dividende_je_Aktie!A$3:AM$103,11,FALSE)/VLOOKUP(A62,Ergebnis_je_Aktie_verwässert!A$3:AK$103,11,FALSE)&gt;=2,2,VLOOKUP(A62,Dividende_je_Aktie!A$3:AM$103,11,FALSE)/VLOOKUP(A62,Ergebnis_je_Aktie_verwässert!A$3:AK$103,11,FALSE))),""),"")</f>
        <v>5.4794520547945202E-2</v>
      </c>
      <c r="L62" s="5">
        <f>IF(VLOOKUP(A62,Dividende_je_Aktie!A$3:AM$103,12,FALSE)&lt;&gt;"",IF(VLOOKUP(A62,Ergebnis_je_Aktie_verwässert!A$3:AK$103,12,FALSE)&lt;&gt;"",IF(VLOOKUP(A62,Ergebnis_je_Aktie_verwässert!A$3:AK$103,12,FALSE)&lt;=0,2,IF(VLOOKUP(A62,Dividende_je_Aktie!A$3:AM$103,12,FALSE)/VLOOKUP(A62,Ergebnis_je_Aktie_verwässert!A$3:AK$103,12,FALSE)&gt;=2,2,VLOOKUP(A62,Dividende_je_Aktie!A$3:AM$103,12,FALSE)/VLOOKUP(A62,Ergebnis_je_Aktie_verwässert!A$3:AK$103,12,FALSE))),""),"")</f>
        <v>4.0268456375838924E-2</v>
      </c>
      <c r="M62" s="5">
        <f>IF(VLOOKUP(A62,Dividende_je_Aktie!A$3:AM$103,13,FALSE)&lt;&gt;"",IF(VLOOKUP(A62,Ergebnis_je_Aktie_verwässert!A$3:AK$103,13,FALSE)&lt;&gt;"",IF(VLOOKUP(A62,Ergebnis_je_Aktie_verwässert!A$3:AK$103,13,FALSE)&lt;=0,2,IF(VLOOKUP(A62,Dividende_je_Aktie!A$3:AM$103,13,FALSE)/VLOOKUP(A62,Ergebnis_je_Aktie_verwässert!A$3:AK$103,13,FALSE)&gt;=2,2,VLOOKUP(A62,Dividende_je_Aktie!A$3:AM$103,13,FALSE)/VLOOKUP(A62,Ergebnis_je_Aktie_verwässert!A$3:AK$103,13,FALSE))),""),"")</f>
        <v>4.2553191489361701E-2</v>
      </c>
      <c r="N62" s="5">
        <f>IF(VLOOKUP(A62,Dividende_je_Aktie!A$3:AM$103,14,FALSE)&lt;&gt;"",IF(VLOOKUP(A62,Ergebnis_je_Aktie_verwässert!A$3:AK$103,14,FALSE)&lt;&gt;"",IF(VLOOKUP(A62,Ergebnis_je_Aktie_verwässert!A$3:AK$103,14,FALSE)&lt;=0,2,IF(VLOOKUP(A62,Dividende_je_Aktie!A$3:AM$103,14,FALSE)/VLOOKUP(A62,Ergebnis_je_Aktie_verwässert!A$3:AK$103,14,FALSE)&gt;=2,2,VLOOKUP(A62,Dividende_je_Aktie!A$3:AM$103,14,FALSE)/VLOOKUP(A62,Ergebnis_je_Aktie_verwässert!A$3:AK$103,14,FALSE))),""),"")</f>
        <v>5.3571428571428562E-2</v>
      </c>
      <c r="O62" s="5">
        <f>IF(VLOOKUP(A62,Dividende_je_Aktie!A$3:AM$103,15,FALSE)&lt;&gt;"",IF(VLOOKUP(A62,Ergebnis_je_Aktie_verwässert!A$3:AK$103,15,FALSE)&lt;&gt;"",IF(VLOOKUP(A62,Ergebnis_je_Aktie_verwässert!A$3:AK$103,15,FALSE)&lt;=0,2,IF(VLOOKUP(A62,Dividende_je_Aktie!A$3:AM$103,15,FALSE)/VLOOKUP(A62,Ergebnis_je_Aktie_verwässert!A$3:AK$103,15,FALSE)&gt;=2,2,VLOOKUP(A62,Dividende_je_Aktie!A$3:AM$103,15,FALSE)/VLOOKUP(A62,Ergebnis_je_Aktie_verwässert!A$3:AK$103,15,FALSE))),""),"")</f>
        <v>5.7142857142857141E-2</v>
      </c>
      <c r="P62" s="5" t="str">
        <f>IF(VLOOKUP(A62,Dividende_je_Aktie!A$3:AM$103,16,FALSE)&lt;&gt;"",IF(VLOOKUP(A62,Ergebnis_je_Aktie_verwässert!A$3:AK$103,16,FALSE)&lt;&gt;"",IF(VLOOKUP(A62,Ergebnis_je_Aktie_verwässert!A$3:AK$103,16,FALSE)&lt;=0,2,IF(VLOOKUP(A62,Dividende_je_Aktie!A$3:AM$103,16,FALSE)/VLOOKUP(A62,Ergebnis_je_Aktie_verwässert!A$3:AK$103,16,FALSE)&gt;=2,2,VLOOKUP(A62,Dividende_je_Aktie!A$3:AM$103,16,FALSE)/VLOOKUP(A62,Ergebnis_je_Aktie_verwässert!A$3:AK$103,16,FALSE))),""),"")</f>
        <v/>
      </c>
      <c r="Q62" s="5" t="str">
        <f>IF(VLOOKUP(A62,Dividende_je_Aktie!A$3:AM$103,17,FALSE)&lt;&gt;"",IF(VLOOKUP(A62,Ergebnis_je_Aktie_verwässert!A$3:AK$103,17,FALSE)&lt;&gt;"",IF(VLOOKUP(A62,Ergebnis_je_Aktie_verwässert!A$3:AK$103,17,FALSE)&lt;=0,2,IF(VLOOKUP(A62,Dividende_je_Aktie!A$3:AM$103,17,FALSE)/VLOOKUP(A62,Ergebnis_je_Aktie_verwässert!A$3:AK$103,17,FALSE)&gt;=2,2,VLOOKUP(A62,Dividende_je_Aktie!A$3:AM$103,17,FALSE)/VLOOKUP(A62,Ergebnis_je_Aktie_verwässert!A$3:AK$103,17,FALSE))),""),"")</f>
        <v/>
      </c>
      <c r="R62" s="5" t="str">
        <f>IF(VLOOKUP(A62,Dividende_je_Aktie!A$3:AM$103,18,FALSE)&lt;&gt;"",IF(VLOOKUP(A62,Ergebnis_je_Aktie_verwässert!A$3:AK$103,18,FALSE)&lt;&gt;"",IF(VLOOKUP(A62,Ergebnis_je_Aktie_verwässert!A$3:AK$103,18,FALSE)&lt;=0,2,IF(VLOOKUP(A62,Dividende_je_Aktie!A$3:AM$103,18,FALSE)/VLOOKUP(A62,Ergebnis_je_Aktie_verwässert!A$3:AK$103,18,FALSE)&gt;=2,2,VLOOKUP(A62,Dividende_je_Aktie!A$3:AM$103,18,FALSE)/VLOOKUP(A62,Ergebnis_je_Aktie_verwässert!A$3:AK$103,18,FALSE))),""),"")</f>
        <v/>
      </c>
      <c r="S62" s="10">
        <f t="shared" si="6"/>
        <v>8.9238185709225398E-2</v>
      </c>
      <c r="T62" s="4">
        <f t="shared" ca="1" si="7"/>
        <v>0</v>
      </c>
      <c r="U62" s="4">
        <f t="shared" ca="1" si="8"/>
        <v>122</v>
      </c>
      <c r="V62" s="4">
        <f t="shared" ca="1" si="9"/>
        <v>238</v>
      </c>
      <c r="W62" s="10">
        <f t="shared" ca="1" si="10"/>
        <v>0.15424957388468952</v>
      </c>
      <c r="X62" s="5">
        <f t="shared" ca="1" si="11"/>
        <v>0.72851535089807729</v>
      </c>
    </row>
    <row r="63" spans="1:24" x14ac:dyDescent="0.25">
      <c r="A63" t="s">
        <v>263</v>
      </c>
      <c r="B63" t="s">
        <v>264</v>
      </c>
      <c r="C63" s="56">
        <v>31</v>
      </c>
      <c r="D63" s="56">
        <v>12</v>
      </c>
      <c r="E63" s="56">
        <v>2015</v>
      </c>
      <c r="F63" s="5">
        <f>IF(VLOOKUP(A63,Dividende_je_Aktie!A$3:AM$103,6,FALSE)&lt;&gt;"",IF(VLOOKUP(A63,Ergebnis_je_Aktie_verwässert!A$3:AK$103,6,FALSE)&lt;&gt;"",IF(VLOOKUP(A63,Ergebnis_je_Aktie_verwässert!A$3:AK$103,6,FALSE)&lt;=0,2,IF(VLOOKUP(A63,Dividende_je_Aktie!A$3:AM$103,6,FALSE)/VLOOKUP(A63,Ergebnis_je_Aktie_verwässert!A$3:AK$103,6,FALSE)&gt;=2,2,VLOOKUP(A63,Dividende_je_Aktie!A$3:AM$103,6,FALSE)/VLOOKUP(A63,Ergebnis_je_Aktie_verwässert!A$3:AK$103,6,FALSE))),""),"")</f>
        <v>0.30701754385964913</v>
      </c>
      <c r="G63" s="5">
        <f>IF(VLOOKUP(A63,Dividende_je_Aktie!A$3:AM$103,7,FALSE)&lt;&gt;"",IF(VLOOKUP(A63,Ergebnis_je_Aktie_verwässert!A$3:AK$103,7,FALSE)&lt;&gt;"",IF(VLOOKUP(A63,Ergebnis_je_Aktie_verwässert!A$3:AK$103,7,FALSE)&lt;=0,2,IF(VLOOKUP(A63,Dividende_je_Aktie!A$3:AM$103,7,FALSE)/VLOOKUP(A63,Ergebnis_je_Aktie_verwässert!A$3:AK$103,7,FALSE)&gt;=2,2,VLOOKUP(A63,Dividende_je_Aktie!A$3:AM$103,7,FALSE)/VLOOKUP(A63,Ergebnis_je_Aktie_verwässert!A$3:AK$103,7,FALSE))),""),"")</f>
        <v>0.2755298651252408</v>
      </c>
      <c r="H63" s="5">
        <f>IF(VLOOKUP(A63,Dividende_je_Aktie!A$3:AM$103,8,FALSE)&lt;&gt;"",IF(VLOOKUP(A63,Ergebnis_je_Aktie_verwässert!A$3:AK$103,8,FALSE)&lt;&gt;"",IF(VLOOKUP(A63,Ergebnis_je_Aktie_verwässert!A$3:AK$103,8,FALSE)&lt;=0,2,IF(VLOOKUP(A63,Dividende_je_Aktie!A$3:AM$103,8,FALSE)/VLOOKUP(A63,Ergebnis_je_Aktie_verwässert!A$3:AK$103,8,FALSE)&gt;=2,2,VLOOKUP(A63,Dividende_je_Aktie!A$3:AM$103,8,FALSE)/VLOOKUP(A63,Ergebnis_je_Aktie_verwässert!A$3:AK$103,8,FALSE))),""),"")</f>
        <v>0.28884026258205686</v>
      </c>
      <c r="I63" s="5">
        <f>IF(VLOOKUP(A63,Dividende_je_Aktie!A$3:AM$103,9,FALSE)&lt;&gt;"",IF(VLOOKUP(A63,Ergebnis_je_Aktie_verwässert!A$3:AK$103,9,FALSE)&lt;&gt;"",IF(VLOOKUP(A63,Ergebnis_je_Aktie_verwässert!A$3:AK$103,9,FALSE)&lt;=0,2,IF(VLOOKUP(A63,Dividende_je_Aktie!A$3:AM$103,9,FALSE)/VLOOKUP(A63,Ergebnis_je_Aktie_verwässert!A$3:AK$103,9,FALSE)&gt;=2,2,VLOOKUP(A63,Dividende_je_Aktie!A$3:AM$103,9,FALSE)/VLOOKUP(A63,Ergebnis_je_Aktie_verwässert!A$3:AK$103,9,FALSE))),""),"")</f>
        <v>0.25596529284164854</v>
      </c>
      <c r="J63" s="5">
        <f>IF(VLOOKUP(A63,Dividende_je_Aktie!A$3:AM$103,10,FALSE)&lt;&gt;"",IF(VLOOKUP(A63,Ergebnis_je_Aktie_verwässert!A$3:AK$103,10,FALSE)&lt;&gt;"",IF(VLOOKUP(A63,Ergebnis_je_Aktie_verwässert!A$3:AK$103,10,FALSE)&lt;=0,2,IF(VLOOKUP(A63,Dividende_je_Aktie!A$3:AM$103,10,FALSE)/VLOOKUP(A63,Ergebnis_je_Aktie_verwässert!A$3:AK$103,10,FALSE)&gt;=2,2,VLOOKUP(A63,Dividende_je_Aktie!A$3:AM$103,10,FALSE)/VLOOKUP(A63,Ergebnis_je_Aktie_verwässert!A$3:AK$103,10,FALSE))),""),"")</f>
        <v>0.2722222222222222</v>
      </c>
      <c r="K63" s="5">
        <f>IF(VLOOKUP(A63,Dividende_je_Aktie!A$3:AM$103,11,FALSE)&lt;&gt;"",IF(VLOOKUP(A63,Ergebnis_je_Aktie_verwässert!A$3:AK$103,11,FALSE)&lt;&gt;"",IF(VLOOKUP(A63,Ergebnis_je_Aktie_verwässert!A$3:AK$103,11,FALSE)&lt;=0,2,IF(VLOOKUP(A63,Dividende_je_Aktie!A$3:AM$103,11,FALSE)/VLOOKUP(A63,Ergebnis_je_Aktie_verwässert!A$3:AK$103,11,FALSE)&gt;=2,2,VLOOKUP(A63,Dividende_je_Aktie!A$3:AM$103,11,FALSE)/VLOOKUP(A63,Ergebnis_je_Aktie_verwässert!A$3:AK$103,11,FALSE))),""),"")</f>
        <v>0.20983606557377052</v>
      </c>
      <c r="L63" s="5">
        <f>IF(VLOOKUP(A63,Dividende_je_Aktie!A$3:AM$103,12,FALSE)&lt;&gt;"",IF(VLOOKUP(A63,Ergebnis_je_Aktie_verwässert!A$3:AK$103,12,FALSE)&lt;&gt;"",IF(VLOOKUP(A63,Ergebnis_je_Aktie_verwässert!A$3:AK$103,12,FALSE)&lt;=0,2,IF(VLOOKUP(A63,Dividende_je_Aktie!A$3:AM$103,12,FALSE)/VLOOKUP(A63,Ergebnis_je_Aktie_verwässert!A$3:AK$103,12,FALSE)&gt;=2,2,VLOOKUP(A63,Dividende_je_Aktie!A$3:AM$103,12,FALSE)/VLOOKUP(A63,Ergebnis_je_Aktie_verwässert!A$3:AK$103,12,FALSE))),""),"")</f>
        <v>0.21686746987951808</v>
      </c>
      <c r="M63" s="5">
        <f>IF(VLOOKUP(A63,Dividende_je_Aktie!A$3:AM$103,13,FALSE)&lt;&gt;"",IF(VLOOKUP(A63,Ergebnis_je_Aktie_verwässert!A$3:AK$103,13,FALSE)&lt;&gt;"",IF(VLOOKUP(A63,Ergebnis_je_Aktie_verwässert!A$3:AK$103,13,FALSE)&lt;=0,2,IF(VLOOKUP(A63,Dividende_je_Aktie!A$3:AM$103,13,FALSE)/VLOOKUP(A63,Ergebnis_je_Aktie_verwässert!A$3:AK$103,13,FALSE)&gt;=2,2,VLOOKUP(A63,Dividende_je_Aktie!A$3:AM$103,13,FALSE)/VLOOKUP(A63,Ergebnis_je_Aktie_verwässert!A$3:AK$103,13,FALSE))),""),"")</f>
        <v>0.19534883720930232</v>
      </c>
      <c r="N63" s="5">
        <f>IF(VLOOKUP(A63,Dividende_je_Aktie!A$3:AM$103,14,FALSE)&lt;&gt;"",IF(VLOOKUP(A63,Ergebnis_je_Aktie_verwässert!A$3:AK$103,14,FALSE)&lt;&gt;"",IF(VLOOKUP(A63,Ergebnis_je_Aktie_verwässert!A$3:AK$103,14,FALSE)&lt;=0,2,IF(VLOOKUP(A63,Dividende_je_Aktie!A$3:AM$103,14,FALSE)/VLOOKUP(A63,Ergebnis_je_Aktie_verwässert!A$3:AK$103,14,FALSE)&gt;=2,2,VLOOKUP(A63,Dividende_je_Aktie!A$3:AM$103,14,FALSE)/VLOOKUP(A63,Ergebnis_je_Aktie_verwässert!A$3:AK$103,14,FALSE))),""),"")</f>
        <v>0.23668639053254439</v>
      </c>
      <c r="O63" s="5">
        <f>IF(VLOOKUP(A63,Dividende_je_Aktie!A$3:AM$103,15,FALSE)&lt;&gt;"",IF(VLOOKUP(A63,Ergebnis_je_Aktie_verwässert!A$3:AK$103,15,FALSE)&lt;&gt;"",IF(VLOOKUP(A63,Ergebnis_je_Aktie_verwässert!A$3:AK$103,15,FALSE)&lt;=0,2,IF(VLOOKUP(A63,Dividende_je_Aktie!A$3:AM$103,15,FALSE)/VLOOKUP(A63,Ergebnis_je_Aktie_verwässert!A$3:AK$103,15,FALSE)&gt;=2,2,VLOOKUP(A63,Dividende_je_Aktie!A$3:AM$103,15,FALSE)/VLOOKUP(A63,Ergebnis_je_Aktie_verwässert!A$3:AK$103,15,FALSE))),""),"")</f>
        <v>0.21390374331550802</v>
      </c>
      <c r="P63" s="5">
        <f>IF(VLOOKUP(A63,Dividende_je_Aktie!A$3:AM$103,16,FALSE)&lt;&gt;"",IF(VLOOKUP(A63,Ergebnis_je_Aktie_verwässert!A$3:AK$103,16,FALSE)&lt;&gt;"",IF(VLOOKUP(A63,Ergebnis_je_Aktie_verwässert!A$3:AK$103,16,FALSE)&lt;=0,2,IF(VLOOKUP(A63,Dividende_je_Aktie!A$3:AM$103,16,FALSE)/VLOOKUP(A63,Ergebnis_je_Aktie_verwässert!A$3:AK$103,16,FALSE)&gt;=2,2,VLOOKUP(A63,Dividende_je_Aktie!A$3:AM$103,16,FALSE)/VLOOKUP(A63,Ergebnis_je_Aktie_verwässert!A$3:AK$103,16,FALSE))),""),"")</f>
        <v>0.13178294573643412</v>
      </c>
      <c r="Q63" s="5">
        <f>IF(VLOOKUP(A63,Dividende_je_Aktie!A$3:AM$103,17,FALSE)&lt;&gt;"",IF(VLOOKUP(A63,Ergebnis_je_Aktie_verwässert!A$3:AK$103,17,FALSE)&lt;&gt;"",IF(VLOOKUP(A63,Ergebnis_je_Aktie_verwässert!A$3:AK$103,17,FALSE)&lt;=0,2,IF(VLOOKUP(A63,Dividende_je_Aktie!A$3:AM$103,17,FALSE)/VLOOKUP(A63,Ergebnis_je_Aktie_verwässert!A$3:AK$103,17,FALSE)&gt;=2,2,VLOOKUP(A63,Dividende_je_Aktie!A$3:AM$103,17,FALSE)/VLOOKUP(A63,Ergebnis_je_Aktie_verwässert!A$3:AK$103,17,FALSE))),""),"")</f>
        <v>0.11240310077519379</v>
      </c>
      <c r="R63" s="5">
        <f>IF(VLOOKUP(A63,Dividende_je_Aktie!A$3:AM$103,18,FALSE)&lt;&gt;"",IF(VLOOKUP(A63,Ergebnis_je_Aktie_verwässert!A$3:AK$103,18,FALSE)&lt;&gt;"",IF(VLOOKUP(A63,Ergebnis_je_Aktie_verwässert!A$3:AK$103,18,FALSE)&lt;=0,2,IF(VLOOKUP(A63,Dividende_je_Aktie!A$3:AM$103,18,FALSE)/VLOOKUP(A63,Ergebnis_je_Aktie_verwässert!A$3:AK$103,18,FALSE)&gt;=2,2,VLOOKUP(A63,Dividende_je_Aktie!A$3:AM$103,18,FALSE)/VLOOKUP(A63,Ergebnis_je_Aktie_verwässert!A$3:AK$103,18,FALSE))),""),"")</f>
        <v>0.13043478260869565</v>
      </c>
      <c r="S63" s="10">
        <f t="shared" si="6"/>
        <v>0.21898757863552187</v>
      </c>
      <c r="T63" s="4">
        <f t="shared" ca="1" si="7"/>
        <v>0</v>
      </c>
      <c r="U63" s="4">
        <f t="shared" ca="1" si="8"/>
        <v>122</v>
      </c>
      <c r="V63" s="4">
        <f t="shared" ca="1" si="9"/>
        <v>238</v>
      </c>
      <c r="W63" s="10">
        <f t="shared" ca="1" si="10"/>
        <v>0.28432951677724699</v>
      </c>
      <c r="X63" s="5">
        <f t="shared" ca="1" si="11"/>
        <v>0.29838193813941749</v>
      </c>
    </row>
    <row r="64" spans="1:24" x14ac:dyDescent="0.25">
      <c r="A64" t="s">
        <v>276</v>
      </c>
      <c r="B64" t="s">
        <v>281</v>
      </c>
      <c r="C64" s="56">
        <v>31</v>
      </c>
      <c r="D64" s="56">
        <v>12</v>
      </c>
      <c r="E64" s="56">
        <v>2015</v>
      </c>
      <c r="F64" s="5">
        <f>IF(VLOOKUP(A64,Dividende_je_Aktie!A$3:AM$103,6,FALSE)&lt;&gt;"",IF(VLOOKUP(A64,Ergebnis_je_Aktie_verwässert!A$3:AK$103,6,FALSE)&lt;&gt;"",IF(VLOOKUP(A64,Ergebnis_je_Aktie_verwässert!A$3:AK$103,6,FALSE)&lt;=0,2,IF(VLOOKUP(A64,Dividende_je_Aktie!A$3:AM$103,6,FALSE)/VLOOKUP(A64,Ergebnis_je_Aktie_verwässert!A$3:AK$103,6,FALSE)&gt;=2,2,VLOOKUP(A64,Dividende_je_Aktie!A$3:AM$103,6,FALSE)/VLOOKUP(A64,Ergebnis_je_Aktie_verwässert!A$3:AK$103,6,FALSE))),""),"")</f>
        <v>0.21437422552664187</v>
      </c>
      <c r="G64" s="5">
        <f>IF(VLOOKUP(A64,Dividende_je_Aktie!A$3:AM$103,7,FALSE)&lt;&gt;"",IF(VLOOKUP(A64,Ergebnis_je_Aktie_verwässert!A$3:AK$103,7,FALSE)&lt;&gt;"",IF(VLOOKUP(A64,Ergebnis_je_Aktie_verwässert!A$3:AK$103,7,FALSE)&lt;=0,2,IF(VLOOKUP(A64,Dividende_je_Aktie!A$3:AM$103,7,FALSE)/VLOOKUP(A64,Ergebnis_je_Aktie_verwässert!A$3:AK$103,7,FALSE)&gt;=2,2,VLOOKUP(A64,Dividende_je_Aktie!A$3:AM$103,7,FALSE)/VLOOKUP(A64,Ergebnis_je_Aktie_verwässert!A$3:AK$103,7,FALSE))),""),"")</f>
        <v>0.21652421652421655</v>
      </c>
      <c r="H64" s="5">
        <f>IF(VLOOKUP(A64,Dividende_je_Aktie!A$3:AM$103,8,FALSE)&lt;&gt;"",IF(VLOOKUP(A64,Ergebnis_je_Aktie_verwässert!A$3:AK$103,8,FALSE)&lt;&gt;"",IF(VLOOKUP(A64,Ergebnis_je_Aktie_verwässert!A$3:AK$103,8,FALSE)&lt;=0,2,IF(VLOOKUP(A64,Dividende_je_Aktie!A$3:AM$103,8,FALSE)/VLOOKUP(A64,Ergebnis_je_Aktie_verwässert!A$3:AK$103,8,FALSE)&gt;=2,2,VLOOKUP(A64,Dividende_je_Aktie!A$3:AM$103,8,FALSE)/VLOOKUP(A64,Ergebnis_je_Aktie_verwässert!A$3:AK$103,8,FALSE))),""),"")</f>
        <v>0.2288</v>
      </c>
      <c r="I64" s="5">
        <f>IF(VLOOKUP(A64,Dividende_je_Aktie!A$3:AM$103,9,FALSE)&lt;&gt;"",IF(VLOOKUP(A64,Ergebnis_je_Aktie_verwässert!A$3:AK$103,9,FALSE)&lt;&gt;"",IF(VLOOKUP(A64,Ergebnis_je_Aktie_verwässert!A$3:AK$103,9,FALSE)&lt;=0,2,IF(VLOOKUP(A64,Dividende_je_Aktie!A$3:AM$103,9,FALSE)/VLOOKUP(A64,Ergebnis_je_Aktie_verwässert!A$3:AK$103,9,FALSE)&gt;=2,2,VLOOKUP(A64,Dividende_je_Aktie!A$3:AM$103,9,FALSE)/VLOOKUP(A64,Ergebnis_je_Aktie_verwässert!A$3:AK$103,9,FALSE))),""),"")</f>
        <v>0.24736842105263157</v>
      </c>
      <c r="J64" s="5">
        <f>IF(VLOOKUP(A64,Dividende_je_Aktie!A$3:AM$103,10,FALSE)&lt;&gt;"",IF(VLOOKUP(A64,Ergebnis_je_Aktie_verwässert!A$3:AK$103,10,FALSE)&lt;&gt;"",IF(VLOOKUP(A64,Ergebnis_je_Aktie_verwässert!A$3:AK$103,10,FALSE)&lt;=0,2,IF(VLOOKUP(A64,Dividende_je_Aktie!A$3:AM$103,10,FALSE)/VLOOKUP(A64,Ergebnis_je_Aktie_verwässert!A$3:AK$103,10,FALSE)&gt;=2,2,VLOOKUP(A64,Dividende_je_Aktie!A$3:AM$103,10,FALSE)/VLOOKUP(A64,Ergebnis_je_Aktie_verwässert!A$3:AK$103,10,FALSE))),""),"")</f>
        <v>0.19090909090909092</v>
      </c>
      <c r="K64" s="5">
        <f>IF(VLOOKUP(A64,Dividende_je_Aktie!A$3:AM$103,11,FALSE)&lt;&gt;"",IF(VLOOKUP(A64,Ergebnis_je_Aktie_verwässert!A$3:AK$103,11,FALSE)&lt;&gt;"",IF(VLOOKUP(A64,Ergebnis_je_Aktie_verwässert!A$3:AK$103,11,FALSE)&lt;=0,2,IF(VLOOKUP(A64,Dividende_je_Aktie!A$3:AM$103,11,FALSE)/VLOOKUP(A64,Ergebnis_je_Aktie_verwässert!A$3:AK$103,11,FALSE)&gt;=2,2,VLOOKUP(A64,Dividende_je_Aktie!A$3:AM$103,11,FALSE)/VLOOKUP(A64,Ergebnis_je_Aktie_verwässert!A$3:AK$103,11,FALSE))),""),"")</f>
        <v>0.15151515151515152</v>
      </c>
      <c r="L64" s="5">
        <f>IF(VLOOKUP(A64,Dividende_je_Aktie!A$3:AM$103,12,FALSE)&lt;&gt;"",IF(VLOOKUP(A64,Ergebnis_je_Aktie_verwässert!A$3:AK$103,12,FALSE)&lt;&gt;"",IF(VLOOKUP(A64,Ergebnis_je_Aktie_verwässert!A$3:AK$103,12,FALSE)&lt;=0,2,IF(VLOOKUP(A64,Dividende_je_Aktie!A$3:AM$103,12,FALSE)/VLOOKUP(A64,Ergebnis_je_Aktie_verwässert!A$3:AK$103,12,FALSE)&gt;=2,2,VLOOKUP(A64,Dividende_je_Aktie!A$3:AM$103,12,FALSE)/VLOOKUP(A64,Ergebnis_je_Aktie_verwässert!A$3:AK$103,12,FALSE))),""),"")</f>
        <v>0.12896405919661733</v>
      </c>
      <c r="M64" s="5">
        <f>IF(VLOOKUP(A64,Dividende_je_Aktie!A$3:AM$103,13,FALSE)&lt;&gt;"",IF(VLOOKUP(A64,Ergebnis_je_Aktie_verwässert!A$3:AK$103,13,FALSE)&lt;&gt;"",IF(VLOOKUP(A64,Ergebnis_je_Aktie_verwässert!A$3:AK$103,13,FALSE)&lt;=0,2,IF(VLOOKUP(A64,Dividende_je_Aktie!A$3:AM$103,13,FALSE)/VLOOKUP(A64,Ergebnis_je_Aktie_verwässert!A$3:AK$103,13,FALSE)&gt;=2,2,VLOOKUP(A64,Dividende_je_Aktie!A$3:AM$103,13,FALSE)/VLOOKUP(A64,Ergebnis_je_Aktie_verwässert!A$3:AK$103,13,FALSE))),""),"")</f>
        <v>9.8780487804878067E-2</v>
      </c>
      <c r="N64" s="5">
        <f>IF(VLOOKUP(A64,Dividende_je_Aktie!A$3:AM$103,14,FALSE)&lt;&gt;"",IF(VLOOKUP(A64,Ergebnis_je_Aktie_verwässert!A$3:AK$103,14,FALSE)&lt;&gt;"",IF(VLOOKUP(A64,Ergebnis_je_Aktie_verwässert!A$3:AK$103,14,FALSE)&lt;=0,2,IF(VLOOKUP(A64,Dividende_je_Aktie!A$3:AM$103,14,FALSE)/VLOOKUP(A64,Ergebnis_je_Aktie_verwässert!A$3:AK$103,14,FALSE)&gt;=2,2,VLOOKUP(A64,Dividende_je_Aktie!A$3:AM$103,14,FALSE)/VLOOKUP(A64,Ergebnis_je_Aktie_verwässert!A$3:AK$103,14,FALSE))),""),"")</f>
        <v>9.2592592592592587E-3</v>
      </c>
      <c r="O64" s="5">
        <f>IF(VLOOKUP(A64,Dividende_je_Aktie!A$3:AM$103,15,FALSE)&lt;&gt;"",IF(VLOOKUP(A64,Ergebnis_je_Aktie_verwässert!A$3:AK$103,15,FALSE)&lt;&gt;"",IF(VLOOKUP(A64,Ergebnis_je_Aktie_verwässert!A$3:AK$103,15,FALSE)&lt;=0,2,IF(VLOOKUP(A64,Dividende_je_Aktie!A$3:AM$103,15,FALSE)/VLOOKUP(A64,Ergebnis_je_Aktie_verwässert!A$3:AK$103,15,FALSE)&gt;=2,2,VLOOKUP(A64,Dividende_je_Aktie!A$3:AM$103,15,FALSE)/VLOOKUP(A64,Ergebnis_je_Aktie_verwässert!A$3:AK$103,15,FALSE))),""),"")</f>
        <v>1.2500000000000001E-2</v>
      </c>
      <c r="P64" s="5">
        <f>IF(VLOOKUP(A64,Dividende_je_Aktie!A$3:AM$103,16,FALSE)&lt;&gt;"",IF(VLOOKUP(A64,Ergebnis_je_Aktie_verwässert!A$3:AK$103,16,FALSE)&lt;&gt;"",IF(VLOOKUP(A64,Ergebnis_je_Aktie_verwässert!A$3:AK$103,16,FALSE)&lt;=0,2,IF(VLOOKUP(A64,Dividende_je_Aktie!A$3:AM$103,16,FALSE)/VLOOKUP(A64,Ergebnis_je_Aktie_verwässert!A$3:AK$103,16,FALSE)&gt;=2,2,VLOOKUP(A64,Dividende_je_Aktie!A$3:AM$103,16,FALSE)/VLOOKUP(A64,Ergebnis_je_Aktie_verwässert!A$3:AK$103,16,FALSE))),""),"")</f>
        <v>8.771929824561403E-3</v>
      </c>
      <c r="Q64" s="5">
        <f>IF(VLOOKUP(A64,Dividende_je_Aktie!A$3:AM$103,17,FALSE)&lt;&gt;"",IF(VLOOKUP(A64,Ergebnis_je_Aktie_verwässert!A$3:AK$103,17,FALSE)&lt;&gt;"",IF(VLOOKUP(A64,Ergebnis_je_Aktie_verwässert!A$3:AK$103,17,FALSE)&lt;=0,2,IF(VLOOKUP(A64,Dividende_je_Aktie!A$3:AM$103,17,FALSE)/VLOOKUP(A64,Ergebnis_je_Aktie_verwässert!A$3:AK$103,17,FALSE)&gt;=2,2,VLOOKUP(A64,Dividende_je_Aktie!A$3:AM$103,17,FALSE)/VLOOKUP(A64,Ergebnis_je_Aktie_verwässert!A$3:AK$103,17,FALSE))),""),"")</f>
        <v>1.01010101010101E-2</v>
      </c>
      <c r="R64" s="5">
        <f>IF(VLOOKUP(A64,Dividende_je_Aktie!A$3:AM$103,18,FALSE)&lt;&gt;"",IF(VLOOKUP(A64,Ergebnis_je_Aktie_verwässert!A$3:AK$103,18,FALSE)&lt;&gt;"",IF(VLOOKUP(A64,Ergebnis_je_Aktie_verwässert!A$3:AK$103,18,FALSE)&lt;=0,2,IF(VLOOKUP(A64,Dividende_je_Aktie!A$3:AM$103,18,FALSE)/VLOOKUP(A64,Ergebnis_je_Aktie_verwässert!A$3:AK$103,18,FALSE)&gt;=2,2,VLOOKUP(A64,Dividende_je_Aktie!A$3:AM$103,18,FALSE)/VLOOKUP(A64,Ergebnis_je_Aktie_verwässert!A$3:AK$103,18,FALSE))),""),"")</f>
        <v>8.0645161290322578E-3</v>
      </c>
      <c r="S64" s="10">
        <f t="shared" si="6"/>
        <v>0.11737941291100699</v>
      </c>
      <c r="T64" s="4">
        <f t="shared" ca="1" si="7"/>
        <v>0</v>
      </c>
      <c r="U64" s="4">
        <f t="shared" ca="1" si="8"/>
        <v>122</v>
      </c>
      <c r="V64" s="4">
        <f t="shared" ca="1" si="9"/>
        <v>238</v>
      </c>
      <c r="W64" s="10">
        <f t="shared" ca="1" si="10"/>
        <v>0.22463987337765118</v>
      </c>
      <c r="X64" s="5">
        <f t="shared" ca="1" si="11"/>
        <v>0.91379278364567518</v>
      </c>
    </row>
    <row r="65" spans="1:24" x14ac:dyDescent="0.25">
      <c r="A65" t="s">
        <v>265</v>
      </c>
      <c r="B65" t="s">
        <v>266</v>
      </c>
      <c r="C65" s="56">
        <v>30</v>
      </c>
      <c r="D65" s="56">
        <v>9</v>
      </c>
      <c r="E65" s="56">
        <v>2015</v>
      </c>
      <c r="F65" s="5">
        <f>IF(VLOOKUP(A65,Dividende_je_Aktie!A$3:AM$103,6,FALSE)&lt;&gt;"",IF(VLOOKUP(A65,Ergebnis_je_Aktie_verwässert!A$3:AK$103,6,FALSE)&lt;&gt;"",IF(VLOOKUP(A65,Ergebnis_je_Aktie_verwässert!A$3:AK$103,6,FALSE)&lt;=0,2,IF(VLOOKUP(A65,Dividende_je_Aktie!A$3:AM$103,6,FALSE)/VLOOKUP(A65,Ergebnis_je_Aktie_verwässert!A$3:AK$103,6,FALSE)&gt;=2,2,VLOOKUP(A65,Dividende_je_Aktie!A$3:AM$103,6,FALSE)/VLOOKUP(A65,Ergebnis_je_Aktie_verwässert!A$3:AK$103,6,FALSE))),""),"")</f>
        <v>0.19770773638968478</v>
      </c>
      <c r="G65" s="5">
        <f>IF(VLOOKUP(A65,Dividende_je_Aktie!A$3:AM$103,7,FALSE)&lt;&gt;"",IF(VLOOKUP(A65,Ergebnis_je_Aktie_verwässert!A$3:AK$103,7,FALSE)&lt;&gt;"",IF(VLOOKUP(A65,Ergebnis_je_Aktie_verwässert!A$3:AK$103,7,FALSE)&lt;=0,2,IF(VLOOKUP(A65,Dividende_je_Aktie!A$3:AM$103,7,FALSE)/VLOOKUP(A65,Ergebnis_je_Aktie_verwässert!A$3:AK$103,7,FALSE)&gt;=2,2,VLOOKUP(A65,Dividende_je_Aktie!A$3:AM$103,7,FALSE)/VLOOKUP(A65,Ergebnis_je_Aktie_verwässert!A$3:AK$103,7,FALSE))),""),"")</f>
        <v>0.17725752508361203</v>
      </c>
      <c r="H65" s="5">
        <f>IF(VLOOKUP(A65,Dividende_je_Aktie!A$3:AM$103,8,FALSE)&lt;&gt;"",IF(VLOOKUP(A65,Ergebnis_je_Aktie_verwässert!A$3:AK$103,8,FALSE)&lt;&gt;"",IF(VLOOKUP(A65,Ergebnis_je_Aktie_verwässert!A$3:AK$103,8,FALSE)&lt;=0,2,IF(VLOOKUP(A65,Dividende_je_Aktie!A$3:AM$103,8,FALSE)/VLOOKUP(A65,Ergebnis_je_Aktie_verwässert!A$3:AK$103,8,FALSE)&gt;=2,2,VLOOKUP(A65,Dividende_je_Aktie!A$3:AM$103,8,FALSE)/VLOOKUP(A65,Ergebnis_je_Aktie_verwässert!A$3:AK$103,8,FALSE))),""),"")</f>
        <v>0.18532818532818532</v>
      </c>
      <c r="I65" s="5">
        <f>IF(VLOOKUP(A65,Dividende_je_Aktie!A$3:AM$103,9,FALSE)&lt;&gt;"",IF(VLOOKUP(A65,Ergebnis_je_Aktie_verwässert!A$3:AK$103,9,FALSE)&lt;&gt;"",IF(VLOOKUP(A65,Ergebnis_je_Aktie_verwässert!A$3:AK$103,9,FALSE)&lt;=0,2,IF(VLOOKUP(A65,Dividende_je_Aktie!A$3:AM$103,9,FALSE)/VLOOKUP(A65,Ergebnis_je_Aktie_verwässert!A$3:AK$103,9,FALSE)&gt;=2,2,VLOOKUP(A65,Dividende_je_Aktie!A$3:AM$103,9,FALSE)/VLOOKUP(A65,Ergebnis_je_Aktie_verwässert!A$3:AK$103,9,FALSE))),""),"")</f>
        <v>0.186046511627907</v>
      </c>
      <c r="J65" s="5">
        <f>IF(VLOOKUP(A65,Dividende_je_Aktie!A$3:AM$103,10,FALSE)&lt;&gt;"",IF(VLOOKUP(A65,Ergebnis_je_Aktie_verwässert!A$3:AK$103,10,FALSE)&lt;&gt;"",IF(VLOOKUP(A65,Ergebnis_je_Aktie_verwässert!A$3:AK$103,10,FALSE)&lt;=0,2,IF(VLOOKUP(A65,Dividende_je_Aktie!A$3:AM$103,10,FALSE)/VLOOKUP(A65,Ergebnis_je_Aktie_verwässert!A$3:AK$103,10,FALSE)&gt;=2,2,VLOOKUP(A65,Dividende_je_Aktie!A$3:AM$103,10,FALSE)/VLOOKUP(A65,Ergebnis_je_Aktie_verwässert!A$3:AK$103,10,FALSE))),""),"")</f>
        <v>0.18421052631578946</v>
      </c>
      <c r="K65" s="5">
        <f>IF(VLOOKUP(A65,Dividende_je_Aktie!A$3:AM$103,11,FALSE)&lt;&gt;"",IF(VLOOKUP(A65,Ergebnis_je_Aktie_verwässert!A$3:AK$103,11,FALSE)&lt;&gt;"",IF(VLOOKUP(A65,Ergebnis_je_Aktie_verwässert!A$3:AK$103,11,FALSE)&lt;=0,2,IF(VLOOKUP(A65,Dividende_je_Aktie!A$3:AM$103,11,FALSE)/VLOOKUP(A65,Ergebnis_je_Aktie_verwässert!A$3:AK$103,11,FALSE)&gt;=2,2,VLOOKUP(A65,Dividende_je_Aktie!A$3:AM$103,11,FALSE)/VLOOKUP(A65,Ergebnis_je_Aktie_verwässert!A$3:AK$103,11,FALSE))),""),"")</f>
        <v>0.16233766233766234</v>
      </c>
      <c r="L65" s="5">
        <f>IF(VLOOKUP(A65,Dividende_je_Aktie!A$3:AM$103,12,FALSE)&lt;&gt;"",IF(VLOOKUP(A65,Ergebnis_je_Aktie_verwässert!A$3:AK$103,12,FALSE)&lt;&gt;"",IF(VLOOKUP(A65,Ergebnis_je_Aktie_verwässert!A$3:AK$103,12,FALSE)&lt;=0,2,IF(VLOOKUP(A65,Dividende_je_Aktie!A$3:AM$103,12,FALSE)/VLOOKUP(A65,Ergebnis_je_Aktie_verwässert!A$3:AK$103,12,FALSE)&gt;=2,2,VLOOKUP(A65,Dividende_je_Aktie!A$3:AM$103,12,FALSE)/VLOOKUP(A65,Ergebnis_je_Aktie_verwässert!A$3:AK$103,12,FALSE))),""),"")</f>
        <v>0.11627906976744186</v>
      </c>
      <c r="M65" s="5">
        <f>IF(VLOOKUP(A65,Dividende_je_Aktie!A$3:AM$103,13,FALSE)&lt;&gt;"",IF(VLOOKUP(A65,Ergebnis_je_Aktie_verwässert!A$3:AK$103,13,FALSE)&lt;&gt;"",IF(VLOOKUP(A65,Ergebnis_je_Aktie_verwässert!A$3:AK$103,13,FALSE)&lt;=0,2,IF(VLOOKUP(A65,Dividende_je_Aktie!A$3:AM$103,13,FALSE)/VLOOKUP(A65,Ergebnis_je_Aktie_verwässert!A$3:AK$103,13,FALSE)&gt;=2,2,VLOOKUP(A65,Dividende_je_Aktie!A$3:AM$103,13,FALSE)/VLOOKUP(A65,Ergebnis_je_Aktie_verwässert!A$3:AK$103,13,FALSE))),""),"")</f>
        <v>0.13</v>
      </c>
      <c r="N65" s="5">
        <f>IF(VLOOKUP(A65,Dividende_je_Aktie!A$3:AM$103,14,FALSE)&lt;&gt;"",IF(VLOOKUP(A65,Ergebnis_je_Aktie_verwässert!A$3:AK$103,14,FALSE)&lt;&gt;"",IF(VLOOKUP(A65,Ergebnis_je_Aktie_verwässert!A$3:AK$103,14,FALSE)&lt;=0,2,IF(VLOOKUP(A65,Dividende_je_Aktie!A$3:AM$103,14,FALSE)/VLOOKUP(A65,Ergebnis_je_Aktie_verwässert!A$3:AK$103,14,FALSE)&gt;=2,2,VLOOKUP(A65,Dividende_je_Aktie!A$3:AM$103,14,FALSE)/VLOOKUP(A65,Ergebnis_je_Aktie_verwässert!A$3:AK$103,14,FALSE))),""),"")</f>
        <v>0.14102564102564102</v>
      </c>
      <c r="O65" s="5">
        <f>IF(VLOOKUP(A65,Dividende_je_Aktie!A$3:AM$103,15,FALSE)&lt;&gt;"",IF(VLOOKUP(A65,Ergebnis_je_Aktie_verwässert!A$3:AK$103,15,FALSE)&lt;&gt;"",IF(VLOOKUP(A65,Ergebnis_je_Aktie_verwässert!A$3:AK$103,15,FALSE)&lt;=0,2,IF(VLOOKUP(A65,Dividende_je_Aktie!A$3:AM$103,15,FALSE)/VLOOKUP(A65,Ergebnis_je_Aktie_verwässert!A$3:AK$103,15,FALSE)&gt;=2,2,VLOOKUP(A65,Dividende_je_Aktie!A$3:AM$103,15,FALSE)/VLOOKUP(A65,Ergebnis_je_Aktie_verwässert!A$3:AK$103,15,FALSE))),""),"")</f>
        <v>0.10833333333333334</v>
      </c>
      <c r="P65" s="5" t="str">
        <f>IF(VLOOKUP(A65,Dividende_je_Aktie!A$3:AM$103,16,FALSE)&lt;&gt;"",IF(VLOOKUP(A65,Ergebnis_je_Aktie_verwässert!A$3:AK$103,16,FALSE)&lt;&gt;"",IF(VLOOKUP(A65,Ergebnis_je_Aktie_verwässert!A$3:AK$103,16,FALSE)&lt;=0,2,IF(VLOOKUP(A65,Dividende_je_Aktie!A$3:AM$103,16,FALSE)/VLOOKUP(A65,Ergebnis_je_Aktie_verwässert!A$3:AK$103,16,FALSE)&gt;=2,2,VLOOKUP(A65,Dividende_je_Aktie!A$3:AM$103,16,FALSE)/VLOOKUP(A65,Ergebnis_je_Aktie_verwässert!A$3:AK$103,16,FALSE))),""),"")</f>
        <v/>
      </c>
      <c r="Q65" s="5" t="str">
        <f>IF(VLOOKUP(A65,Dividende_je_Aktie!A$3:AM$103,17,FALSE)&lt;&gt;"",IF(VLOOKUP(A65,Ergebnis_je_Aktie_verwässert!A$3:AK$103,17,FALSE)&lt;&gt;"",IF(VLOOKUP(A65,Ergebnis_je_Aktie_verwässert!A$3:AK$103,17,FALSE)&lt;=0,2,IF(VLOOKUP(A65,Dividende_je_Aktie!A$3:AM$103,17,FALSE)/VLOOKUP(A65,Ergebnis_je_Aktie_verwässert!A$3:AK$103,17,FALSE)&gt;=2,2,VLOOKUP(A65,Dividende_je_Aktie!A$3:AM$103,17,FALSE)/VLOOKUP(A65,Ergebnis_je_Aktie_verwässert!A$3:AK$103,17,FALSE))),""),"")</f>
        <v/>
      </c>
      <c r="R65" s="5" t="str">
        <f>IF(VLOOKUP(A65,Dividende_je_Aktie!A$3:AM$103,18,FALSE)&lt;&gt;"",IF(VLOOKUP(A65,Ergebnis_je_Aktie_verwässert!A$3:AK$103,18,FALSE)&lt;&gt;"",IF(VLOOKUP(A65,Ergebnis_je_Aktie_verwässert!A$3:AK$103,18,FALSE)&lt;=0,2,IF(VLOOKUP(A65,Dividende_je_Aktie!A$3:AM$103,18,FALSE)/VLOOKUP(A65,Ergebnis_je_Aktie_verwässert!A$3:AK$103,18,FALSE)&gt;=2,2,VLOOKUP(A65,Dividende_je_Aktie!A$3:AM$103,18,FALSE)/VLOOKUP(A65,Ergebnis_je_Aktie_verwässert!A$3:AK$103,18,FALSE))),""),"")</f>
        <v/>
      </c>
      <c r="S65" s="10">
        <f t="shared" si="6"/>
        <v>0.15885261912092571</v>
      </c>
      <c r="T65" s="4">
        <f t="shared" ca="1" si="7"/>
        <v>0</v>
      </c>
      <c r="U65" s="4">
        <f t="shared" ca="1" si="8"/>
        <v>213</v>
      </c>
      <c r="V65" s="4">
        <f t="shared" ca="1" si="9"/>
        <v>147</v>
      </c>
      <c r="W65" s="10">
        <f t="shared" ca="1" si="10"/>
        <v>0.18055304468347944</v>
      </c>
      <c r="X65" s="5">
        <f t="shared" ca="1" si="11"/>
        <v>0.13660728845795345</v>
      </c>
    </row>
    <row r="66" spans="1:24" x14ac:dyDescent="0.25">
      <c r="C66" s="56"/>
      <c r="D66" s="56"/>
      <c r="E66" s="56"/>
      <c r="F66" s="5" t="e">
        <f>IF(VLOOKUP(A66,Dividende_je_Aktie!A$3:AM$103,6,FALSE)&lt;&gt;"",IF(VLOOKUP(A66,Ergebnis_je_Aktie_verwässert!A$3:AK$103,6,FALSE)&lt;&gt;"",IF(VLOOKUP(A66,Ergebnis_je_Aktie_verwässert!A$3:AK$103,6,FALSE)&lt;=0,2,IF(VLOOKUP(A66,Dividende_je_Aktie!A$3:AM$103,6,FALSE)/VLOOKUP(A66,Ergebnis_je_Aktie_verwässert!A$3:AK$103,6,FALSE)&gt;=2,2,VLOOKUP(A66,Dividende_je_Aktie!A$3:AM$103,6,FALSE)/VLOOKUP(A66,Ergebnis_je_Aktie_verwässert!A$3:AK$103,6,FALSE))),""),"")</f>
        <v>#N/A</v>
      </c>
      <c r="G66" s="5" t="e">
        <f>IF(VLOOKUP(A66,Dividende_je_Aktie!A$3:AM$103,7,FALSE)&lt;&gt;"",IF(VLOOKUP(A66,Ergebnis_je_Aktie_verwässert!A$3:AK$103,7,FALSE)&lt;&gt;"",IF(VLOOKUP(A66,Ergebnis_je_Aktie_verwässert!A$3:AK$103,7,FALSE)&lt;=0,2,IF(VLOOKUP(A66,Dividende_je_Aktie!A$3:AM$103,7,FALSE)/VLOOKUP(A66,Ergebnis_je_Aktie_verwässert!A$3:AK$103,7,FALSE)&gt;=2,2,VLOOKUP(A66,Dividende_je_Aktie!A$3:AM$103,7,FALSE)/VLOOKUP(A66,Ergebnis_je_Aktie_verwässert!A$3:AK$103,7,FALSE))),""),"")</f>
        <v>#N/A</v>
      </c>
      <c r="H66" s="5" t="e">
        <f>IF(VLOOKUP(A66,Dividende_je_Aktie!A$3:AM$103,8,FALSE)&lt;&gt;"",IF(VLOOKUP(A66,Ergebnis_je_Aktie_verwässert!A$3:AK$103,8,FALSE)&lt;&gt;"",IF(VLOOKUP(A66,Ergebnis_je_Aktie_verwässert!A$3:AK$103,8,FALSE)&lt;=0,2,IF(VLOOKUP(A66,Dividende_je_Aktie!A$3:AM$103,8,FALSE)/VLOOKUP(A66,Ergebnis_je_Aktie_verwässert!A$3:AK$103,8,FALSE)&gt;=2,2,VLOOKUP(A66,Dividende_je_Aktie!A$3:AM$103,8,FALSE)/VLOOKUP(A66,Ergebnis_je_Aktie_verwässert!A$3:AK$103,8,FALSE))),""),"")</f>
        <v>#N/A</v>
      </c>
      <c r="I66" s="5" t="e">
        <f>IF(VLOOKUP(A66,Dividende_je_Aktie!A$3:AM$103,9,FALSE)&lt;&gt;"",IF(VLOOKUP(A66,Ergebnis_je_Aktie_verwässert!A$3:AK$103,9,FALSE)&lt;&gt;"",IF(VLOOKUP(A66,Ergebnis_je_Aktie_verwässert!A$3:AK$103,9,FALSE)&lt;=0,2,IF(VLOOKUP(A66,Dividende_je_Aktie!A$3:AM$103,9,FALSE)/VLOOKUP(A66,Ergebnis_je_Aktie_verwässert!A$3:AK$103,9,FALSE)&gt;=2,2,VLOOKUP(A66,Dividende_je_Aktie!A$3:AM$103,9,FALSE)/VLOOKUP(A66,Ergebnis_je_Aktie_verwässert!A$3:AK$103,9,FALSE))),""),"")</f>
        <v>#N/A</v>
      </c>
      <c r="J66" s="5" t="e">
        <f>IF(VLOOKUP(A66,Dividende_je_Aktie!A$3:AM$103,10,FALSE)&lt;&gt;"",IF(VLOOKUP(A66,Ergebnis_je_Aktie_verwässert!A$3:AK$103,10,FALSE)&lt;&gt;"",IF(VLOOKUP(A66,Ergebnis_je_Aktie_verwässert!A$3:AK$103,10,FALSE)&lt;=0,2,IF(VLOOKUP(A66,Dividende_je_Aktie!A$3:AM$103,10,FALSE)/VLOOKUP(A66,Ergebnis_je_Aktie_verwässert!A$3:AK$103,10,FALSE)&gt;=2,2,VLOOKUP(A66,Dividende_je_Aktie!A$3:AM$103,10,FALSE)/VLOOKUP(A66,Ergebnis_je_Aktie_verwässert!A$3:AK$103,10,FALSE))),""),"")</f>
        <v>#N/A</v>
      </c>
      <c r="K66" s="5" t="e">
        <f>IF(VLOOKUP(A66,Dividende_je_Aktie!A$3:AM$103,11,FALSE)&lt;&gt;"",IF(VLOOKUP(A66,Ergebnis_je_Aktie_verwässert!A$3:AK$103,11,FALSE)&lt;&gt;"",IF(VLOOKUP(A66,Ergebnis_je_Aktie_verwässert!A$3:AK$103,11,FALSE)&lt;=0,2,IF(VLOOKUP(A66,Dividende_je_Aktie!A$3:AM$103,11,FALSE)/VLOOKUP(A66,Ergebnis_je_Aktie_verwässert!A$3:AK$103,11,FALSE)&gt;=2,2,VLOOKUP(A66,Dividende_je_Aktie!A$3:AM$103,11,FALSE)/VLOOKUP(A66,Ergebnis_je_Aktie_verwässert!A$3:AK$103,11,FALSE))),""),"")</f>
        <v>#N/A</v>
      </c>
      <c r="L66" s="5" t="e">
        <f>IF(VLOOKUP(A66,Dividende_je_Aktie!A$3:AM$103,12,FALSE)&lt;&gt;"",IF(VLOOKUP(A66,Ergebnis_je_Aktie_verwässert!A$3:AK$103,12,FALSE)&lt;&gt;"",IF(VLOOKUP(A66,Ergebnis_je_Aktie_verwässert!A$3:AK$103,12,FALSE)&lt;=0,2,IF(VLOOKUP(A66,Dividende_je_Aktie!A$3:AM$103,12,FALSE)/VLOOKUP(A66,Ergebnis_je_Aktie_verwässert!A$3:AK$103,12,FALSE)&gt;=2,2,VLOOKUP(A66,Dividende_je_Aktie!A$3:AM$103,12,FALSE)/VLOOKUP(A66,Ergebnis_je_Aktie_verwässert!A$3:AK$103,12,FALSE))),""),"")</f>
        <v>#N/A</v>
      </c>
      <c r="M66" s="5" t="e">
        <f>IF(VLOOKUP(A66,Dividende_je_Aktie!A$3:AM$103,13,FALSE)&lt;&gt;"",IF(VLOOKUP(A66,Ergebnis_je_Aktie_verwässert!A$3:AK$103,13,FALSE)&lt;&gt;"",IF(VLOOKUP(A66,Ergebnis_je_Aktie_verwässert!A$3:AK$103,13,FALSE)&lt;=0,2,IF(VLOOKUP(A66,Dividende_je_Aktie!A$3:AM$103,13,FALSE)/VLOOKUP(A66,Ergebnis_je_Aktie_verwässert!A$3:AK$103,13,FALSE)&gt;=2,2,VLOOKUP(A66,Dividende_je_Aktie!A$3:AM$103,13,FALSE)/VLOOKUP(A66,Ergebnis_je_Aktie_verwässert!A$3:AK$103,13,FALSE))),""),"")</f>
        <v>#N/A</v>
      </c>
      <c r="N66" s="5" t="e">
        <f>IF(VLOOKUP(A66,Dividende_je_Aktie!A$3:AM$103,14,FALSE)&lt;&gt;"",IF(VLOOKUP(A66,Ergebnis_je_Aktie_verwässert!A$3:AK$103,14,FALSE)&lt;&gt;"",IF(VLOOKUP(A66,Ergebnis_je_Aktie_verwässert!A$3:AK$103,14,FALSE)&lt;=0,2,IF(VLOOKUP(A66,Dividende_je_Aktie!A$3:AM$103,14,FALSE)/VLOOKUP(A66,Ergebnis_je_Aktie_verwässert!A$3:AK$103,14,FALSE)&gt;=2,2,VLOOKUP(A66,Dividende_je_Aktie!A$3:AM$103,14,FALSE)/VLOOKUP(A66,Ergebnis_je_Aktie_verwässert!A$3:AK$103,14,FALSE))),""),"")</f>
        <v>#N/A</v>
      </c>
      <c r="O66" s="5" t="e">
        <f>IF(VLOOKUP(A66,Dividende_je_Aktie!A$3:AM$103,15,FALSE)&lt;&gt;"",IF(VLOOKUP(A66,Ergebnis_je_Aktie_verwässert!A$3:AK$103,15,FALSE)&lt;&gt;"",IF(VLOOKUP(A66,Ergebnis_je_Aktie_verwässert!A$3:AK$103,15,FALSE)&lt;=0,2,IF(VLOOKUP(A66,Dividende_je_Aktie!A$3:AM$103,15,FALSE)/VLOOKUP(A66,Ergebnis_je_Aktie_verwässert!A$3:AK$103,15,FALSE)&gt;=2,2,VLOOKUP(A66,Dividende_je_Aktie!A$3:AM$103,15,FALSE)/VLOOKUP(A66,Ergebnis_je_Aktie_verwässert!A$3:AK$103,15,FALSE))),""),"")</f>
        <v>#N/A</v>
      </c>
      <c r="P66" s="5" t="e">
        <f>IF(VLOOKUP(A66,Dividende_je_Aktie!A$3:AM$103,16,FALSE)&lt;&gt;"",IF(VLOOKUP(A66,Ergebnis_je_Aktie_verwässert!A$3:AK$103,16,FALSE)&lt;&gt;"",IF(VLOOKUP(A66,Ergebnis_je_Aktie_verwässert!A$3:AK$103,16,FALSE)&lt;=0,2,IF(VLOOKUP(A66,Dividende_je_Aktie!A$3:AM$103,16,FALSE)/VLOOKUP(A66,Ergebnis_je_Aktie_verwässert!A$3:AK$103,16,FALSE)&gt;=2,2,VLOOKUP(A66,Dividende_je_Aktie!A$3:AM$103,16,FALSE)/VLOOKUP(A66,Ergebnis_je_Aktie_verwässert!A$3:AK$103,16,FALSE))),""),"")</f>
        <v>#N/A</v>
      </c>
      <c r="Q66" s="5" t="e">
        <f>IF(VLOOKUP(A66,Dividende_je_Aktie!A$3:AM$103,17,FALSE)&lt;&gt;"",IF(VLOOKUP(A66,Ergebnis_je_Aktie_verwässert!A$3:AK$103,17,FALSE)&lt;&gt;"",IF(VLOOKUP(A66,Ergebnis_je_Aktie_verwässert!A$3:AK$103,17,FALSE)&lt;=0,2,IF(VLOOKUP(A66,Dividende_je_Aktie!A$3:AM$103,17,FALSE)/VLOOKUP(A66,Ergebnis_je_Aktie_verwässert!A$3:AK$103,17,FALSE)&gt;=2,2,VLOOKUP(A66,Dividende_je_Aktie!A$3:AM$103,17,FALSE)/VLOOKUP(A66,Ergebnis_je_Aktie_verwässert!A$3:AK$103,17,FALSE))),""),"")</f>
        <v>#N/A</v>
      </c>
      <c r="R66" s="5" t="e">
        <f>IF(VLOOKUP(A66,Dividende_je_Aktie!A$3:AM$103,18,FALSE)&lt;&gt;"",IF(VLOOKUP(A66,Ergebnis_je_Aktie_verwässert!A$3:AK$103,18,FALSE)&lt;&gt;"",IF(VLOOKUP(A66,Ergebnis_je_Aktie_verwässert!A$3:AK$103,18,FALSE)&lt;=0,2,IF(VLOOKUP(A66,Dividende_je_Aktie!A$3:AM$103,18,FALSE)/VLOOKUP(A66,Ergebnis_je_Aktie_verwässert!A$3:AK$103,18,FALSE)&gt;=2,2,VLOOKUP(A66,Dividende_je_Aktie!A$3:AM$103,18,FALSE)/VLOOKUP(A66,Ergebnis_je_Aktie_verwässert!A$3:AK$103,18,FALSE))),""),"")</f>
        <v>#N/A</v>
      </c>
      <c r="S66" s="10" t="e">
        <f t="shared" si="6"/>
        <v>#N/A</v>
      </c>
      <c r="T66" s="4">
        <f t="shared" ca="1" si="7"/>
        <v>41553</v>
      </c>
      <c r="U66" s="4">
        <f t="shared" ca="1" si="8"/>
        <v>-41193</v>
      </c>
      <c r="V66" s="4" t="e">
        <f t="shared" ca="1" si="9"/>
        <v>#NUM!</v>
      </c>
      <c r="W66" s="10" t="e">
        <f t="shared" ca="1" si="10"/>
        <v>#N/A</v>
      </c>
      <c r="X66" s="5" t="e">
        <f t="shared" ca="1" si="11"/>
        <v>#N/A</v>
      </c>
    </row>
    <row r="67" spans="1:24" x14ac:dyDescent="0.25">
      <c r="C67" s="56"/>
      <c r="D67" s="56"/>
      <c r="E67" s="56"/>
      <c r="F67" s="5" t="e">
        <f>IF(VLOOKUP(A67,Dividende_je_Aktie!A$3:AM$103,6,FALSE)&lt;&gt;"",IF(VLOOKUP(A67,Ergebnis_je_Aktie_verwässert!A$3:AK$103,6,FALSE)&lt;&gt;"",IF(VLOOKUP(A67,Ergebnis_je_Aktie_verwässert!A$3:AK$103,6,FALSE)&lt;=0,2,IF(VLOOKUP(A67,Dividende_je_Aktie!A$3:AM$103,6,FALSE)/VLOOKUP(A67,Ergebnis_je_Aktie_verwässert!A$3:AK$103,6,FALSE)&gt;=2,2,VLOOKUP(A67,Dividende_je_Aktie!A$3:AM$103,6,FALSE)/VLOOKUP(A67,Ergebnis_je_Aktie_verwässert!A$3:AK$103,6,FALSE))),""),"")</f>
        <v>#N/A</v>
      </c>
      <c r="G67" s="5" t="e">
        <f>IF(VLOOKUP(A67,Dividende_je_Aktie!A$3:AM$103,7,FALSE)&lt;&gt;"",IF(VLOOKUP(A67,Ergebnis_je_Aktie_verwässert!A$3:AK$103,7,FALSE)&lt;&gt;"",IF(VLOOKUP(A67,Ergebnis_je_Aktie_verwässert!A$3:AK$103,7,FALSE)&lt;=0,2,IF(VLOOKUP(A67,Dividende_je_Aktie!A$3:AM$103,7,FALSE)/VLOOKUP(A67,Ergebnis_je_Aktie_verwässert!A$3:AK$103,7,FALSE)&gt;=2,2,VLOOKUP(A67,Dividende_je_Aktie!A$3:AM$103,7,FALSE)/VLOOKUP(A67,Ergebnis_je_Aktie_verwässert!A$3:AK$103,7,FALSE))),""),"")</f>
        <v>#N/A</v>
      </c>
      <c r="H67" s="5" t="e">
        <f>IF(VLOOKUP(A67,Dividende_je_Aktie!A$3:AM$103,8,FALSE)&lt;&gt;"",IF(VLOOKUP(A67,Ergebnis_je_Aktie_verwässert!A$3:AK$103,8,FALSE)&lt;&gt;"",IF(VLOOKUP(A67,Ergebnis_je_Aktie_verwässert!A$3:AK$103,8,FALSE)&lt;=0,2,IF(VLOOKUP(A67,Dividende_je_Aktie!A$3:AM$103,8,FALSE)/VLOOKUP(A67,Ergebnis_je_Aktie_verwässert!A$3:AK$103,8,FALSE)&gt;=2,2,VLOOKUP(A67,Dividende_je_Aktie!A$3:AM$103,8,FALSE)/VLOOKUP(A67,Ergebnis_je_Aktie_verwässert!A$3:AK$103,8,FALSE))),""),"")</f>
        <v>#N/A</v>
      </c>
      <c r="I67" s="5" t="e">
        <f>IF(VLOOKUP(A67,Dividende_je_Aktie!A$3:AM$103,9,FALSE)&lt;&gt;"",IF(VLOOKUP(A67,Ergebnis_je_Aktie_verwässert!A$3:AK$103,9,FALSE)&lt;&gt;"",IF(VLOOKUP(A67,Ergebnis_je_Aktie_verwässert!A$3:AK$103,9,FALSE)&lt;=0,2,IF(VLOOKUP(A67,Dividende_je_Aktie!A$3:AM$103,9,FALSE)/VLOOKUP(A67,Ergebnis_je_Aktie_verwässert!A$3:AK$103,9,FALSE)&gt;=2,2,VLOOKUP(A67,Dividende_je_Aktie!A$3:AM$103,9,FALSE)/VLOOKUP(A67,Ergebnis_je_Aktie_verwässert!A$3:AK$103,9,FALSE))),""),"")</f>
        <v>#N/A</v>
      </c>
      <c r="J67" s="5" t="e">
        <f>IF(VLOOKUP(A67,Dividende_je_Aktie!A$3:AM$103,10,FALSE)&lt;&gt;"",IF(VLOOKUP(A67,Ergebnis_je_Aktie_verwässert!A$3:AK$103,10,FALSE)&lt;&gt;"",IF(VLOOKUP(A67,Ergebnis_je_Aktie_verwässert!A$3:AK$103,10,FALSE)&lt;=0,2,IF(VLOOKUP(A67,Dividende_je_Aktie!A$3:AM$103,10,FALSE)/VLOOKUP(A67,Ergebnis_je_Aktie_verwässert!A$3:AK$103,10,FALSE)&gt;=2,2,VLOOKUP(A67,Dividende_je_Aktie!A$3:AM$103,10,FALSE)/VLOOKUP(A67,Ergebnis_je_Aktie_verwässert!A$3:AK$103,10,FALSE))),""),"")</f>
        <v>#N/A</v>
      </c>
      <c r="K67" s="5" t="e">
        <f>IF(VLOOKUP(A67,Dividende_je_Aktie!A$3:AM$103,11,FALSE)&lt;&gt;"",IF(VLOOKUP(A67,Ergebnis_je_Aktie_verwässert!A$3:AK$103,11,FALSE)&lt;&gt;"",IF(VLOOKUP(A67,Ergebnis_je_Aktie_verwässert!A$3:AK$103,11,FALSE)&lt;=0,2,IF(VLOOKUP(A67,Dividende_je_Aktie!A$3:AM$103,11,FALSE)/VLOOKUP(A67,Ergebnis_je_Aktie_verwässert!A$3:AK$103,11,FALSE)&gt;=2,2,VLOOKUP(A67,Dividende_je_Aktie!A$3:AM$103,11,FALSE)/VLOOKUP(A67,Ergebnis_je_Aktie_verwässert!A$3:AK$103,11,FALSE))),""),"")</f>
        <v>#N/A</v>
      </c>
      <c r="L67" s="5" t="e">
        <f>IF(VLOOKUP(A67,Dividende_je_Aktie!A$3:AM$103,12,FALSE)&lt;&gt;"",IF(VLOOKUP(A67,Ergebnis_je_Aktie_verwässert!A$3:AK$103,12,FALSE)&lt;&gt;"",IF(VLOOKUP(A67,Ergebnis_je_Aktie_verwässert!A$3:AK$103,12,FALSE)&lt;=0,2,IF(VLOOKUP(A67,Dividende_je_Aktie!A$3:AM$103,12,FALSE)/VLOOKUP(A67,Ergebnis_je_Aktie_verwässert!A$3:AK$103,12,FALSE)&gt;=2,2,VLOOKUP(A67,Dividende_je_Aktie!A$3:AM$103,12,FALSE)/VLOOKUP(A67,Ergebnis_je_Aktie_verwässert!A$3:AK$103,12,FALSE))),""),"")</f>
        <v>#N/A</v>
      </c>
      <c r="M67" s="5" t="e">
        <f>IF(VLOOKUP(A67,Dividende_je_Aktie!A$3:AM$103,13,FALSE)&lt;&gt;"",IF(VLOOKUP(A67,Ergebnis_je_Aktie_verwässert!A$3:AK$103,13,FALSE)&lt;&gt;"",IF(VLOOKUP(A67,Ergebnis_je_Aktie_verwässert!A$3:AK$103,13,FALSE)&lt;=0,2,IF(VLOOKUP(A67,Dividende_je_Aktie!A$3:AM$103,13,FALSE)/VLOOKUP(A67,Ergebnis_je_Aktie_verwässert!A$3:AK$103,13,FALSE)&gt;=2,2,VLOOKUP(A67,Dividende_je_Aktie!A$3:AM$103,13,FALSE)/VLOOKUP(A67,Ergebnis_je_Aktie_verwässert!A$3:AK$103,13,FALSE))),""),"")</f>
        <v>#N/A</v>
      </c>
      <c r="N67" s="5" t="e">
        <f>IF(VLOOKUP(A67,Dividende_je_Aktie!A$3:AM$103,14,FALSE)&lt;&gt;"",IF(VLOOKUP(A67,Ergebnis_je_Aktie_verwässert!A$3:AK$103,14,FALSE)&lt;&gt;"",IF(VLOOKUP(A67,Ergebnis_je_Aktie_verwässert!A$3:AK$103,14,FALSE)&lt;=0,2,IF(VLOOKUP(A67,Dividende_je_Aktie!A$3:AM$103,14,FALSE)/VLOOKUP(A67,Ergebnis_je_Aktie_verwässert!A$3:AK$103,14,FALSE)&gt;=2,2,VLOOKUP(A67,Dividende_je_Aktie!A$3:AM$103,14,FALSE)/VLOOKUP(A67,Ergebnis_je_Aktie_verwässert!A$3:AK$103,14,FALSE))),""),"")</f>
        <v>#N/A</v>
      </c>
      <c r="O67" s="5" t="e">
        <f>IF(VLOOKUP(A67,Dividende_je_Aktie!A$3:AM$103,15,FALSE)&lt;&gt;"",IF(VLOOKUP(A67,Ergebnis_je_Aktie_verwässert!A$3:AK$103,15,FALSE)&lt;&gt;"",IF(VLOOKUP(A67,Ergebnis_je_Aktie_verwässert!A$3:AK$103,15,FALSE)&lt;=0,2,IF(VLOOKUP(A67,Dividende_je_Aktie!A$3:AM$103,15,FALSE)/VLOOKUP(A67,Ergebnis_je_Aktie_verwässert!A$3:AK$103,15,FALSE)&gt;=2,2,VLOOKUP(A67,Dividende_je_Aktie!A$3:AM$103,15,FALSE)/VLOOKUP(A67,Ergebnis_je_Aktie_verwässert!A$3:AK$103,15,FALSE))),""),"")</f>
        <v>#N/A</v>
      </c>
      <c r="P67" s="5" t="e">
        <f>IF(VLOOKUP(A67,Dividende_je_Aktie!A$3:AM$103,16,FALSE)&lt;&gt;"",IF(VLOOKUP(A67,Ergebnis_je_Aktie_verwässert!A$3:AK$103,16,FALSE)&lt;&gt;"",IF(VLOOKUP(A67,Ergebnis_je_Aktie_verwässert!A$3:AK$103,16,FALSE)&lt;=0,2,IF(VLOOKUP(A67,Dividende_je_Aktie!A$3:AM$103,16,FALSE)/VLOOKUP(A67,Ergebnis_je_Aktie_verwässert!A$3:AK$103,16,FALSE)&gt;=2,2,VLOOKUP(A67,Dividende_je_Aktie!A$3:AM$103,16,FALSE)/VLOOKUP(A67,Ergebnis_je_Aktie_verwässert!A$3:AK$103,16,FALSE))),""),"")</f>
        <v>#N/A</v>
      </c>
      <c r="Q67" s="5" t="e">
        <f>IF(VLOOKUP(A67,Dividende_je_Aktie!A$3:AM$103,17,FALSE)&lt;&gt;"",IF(VLOOKUP(A67,Ergebnis_je_Aktie_verwässert!A$3:AK$103,17,FALSE)&lt;&gt;"",IF(VLOOKUP(A67,Ergebnis_je_Aktie_verwässert!A$3:AK$103,17,FALSE)&lt;=0,2,IF(VLOOKUP(A67,Dividende_je_Aktie!A$3:AM$103,17,FALSE)/VLOOKUP(A67,Ergebnis_je_Aktie_verwässert!A$3:AK$103,17,FALSE)&gt;=2,2,VLOOKUP(A67,Dividende_je_Aktie!A$3:AM$103,17,FALSE)/VLOOKUP(A67,Ergebnis_je_Aktie_verwässert!A$3:AK$103,17,FALSE))),""),"")</f>
        <v>#N/A</v>
      </c>
      <c r="R67" s="5" t="e">
        <f>IF(VLOOKUP(A67,Dividende_je_Aktie!A$3:AM$103,18,FALSE)&lt;&gt;"",IF(VLOOKUP(A67,Ergebnis_je_Aktie_verwässert!A$3:AK$103,18,FALSE)&lt;&gt;"",IF(VLOOKUP(A67,Ergebnis_je_Aktie_verwässert!A$3:AK$103,18,FALSE)&lt;=0,2,IF(VLOOKUP(A67,Dividende_je_Aktie!A$3:AM$103,18,FALSE)/VLOOKUP(A67,Ergebnis_je_Aktie_verwässert!A$3:AK$103,18,FALSE)&gt;=2,2,VLOOKUP(A67,Dividende_je_Aktie!A$3:AM$103,18,FALSE)/VLOOKUP(A67,Ergebnis_je_Aktie_verwässert!A$3:AK$103,18,FALSE))),""),"")</f>
        <v>#N/A</v>
      </c>
      <c r="S67" s="10" t="e">
        <f t="shared" si="6"/>
        <v>#N/A</v>
      </c>
      <c r="T67" s="4">
        <f t="shared" ca="1" si="7"/>
        <v>41553</v>
      </c>
      <c r="U67" s="4">
        <f t="shared" ca="1" si="8"/>
        <v>-41193</v>
      </c>
      <c r="V67" s="4" t="e">
        <f t="shared" ca="1" si="9"/>
        <v>#NUM!</v>
      </c>
      <c r="W67" s="10" t="e">
        <f t="shared" ca="1" si="10"/>
        <v>#N/A</v>
      </c>
      <c r="X67" s="5" t="e">
        <f t="shared" ca="1" si="11"/>
        <v>#N/A</v>
      </c>
    </row>
    <row r="68" spans="1:24" x14ac:dyDescent="0.25">
      <c r="C68" s="56"/>
      <c r="D68" s="56"/>
      <c r="E68" s="56"/>
      <c r="F68" s="5" t="e">
        <f>IF(VLOOKUP(A68,Dividende_je_Aktie!A$3:AM$103,6,FALSE)&lt;&gt;"",IF(VLOOKUP(A68,Ergebnis_je_Aktie_verwässert!A$3:AK$103,6,FALSE)&lt;&gt;"",IF(VLOOKUP(A68,Ergebnis_je_Aktie_verwässert!A$3:AK$103,6,FALSE)&lt;=0,2,IF(VLOOKUP(A68,Dividende_je_Aktie!A$3:AM$103,6,FALSE)/VLOOKUP(A68,Ergebnis_je_Aktie_verwässert!A$3:AK$103,6,FALSE)&gt;=2,2,VLOOKUP(A68,Dividende_je_Aktie!A$3:AM$103,6,FALSE)/VLOOKUP(A68,Ergebnis_je_Aktie_verwässert!A$3:AK$103,6,FALSE))),""),"")</f>
        <v>#N/A</v>
      </c>
      <c r="G68" s="5" t="e">
        <f>IF(VLOOKUP(A68,Dividende_je_Aktie!A$3:AM$103,7,FALSE)&lt;&gt;"",IF(VLOOKUP(A68,Ergebnis_je_Aktie_verwässert!A$3:AK$103,7,FALSE)&lt;&gt;"",IF(VLOOKUP(A68,Ergebnis_je_Aktie_verwässert!A$3:AK$103,7,FALSE)&lt;=0,2,IF(VLOOKUP(A68,Dividende_je_Aktie!A$3:AM$103,7,FALSE)/VLOOKUP(A68,Ergebnis_je_Aktie_verwässert!A$3:AK$103,7,FALSE)&gt;=2,2,VLOOKUP(A68,Dividende_je_Aktie!A$3:AM$103,7,FALSE)/VLOOKUP(A68,Ergebnis_je_Aktie_verwässert!A$3:AK$103,7,FALSE))),""),"")</f>
        <v>#N/A</v>
      </c>
      <c r="H68" s="5" t="e">
        <f>IF(VLOOKUP(A68,Dividende_je_Aktie!A$3:AM$103,8,FALSE)&lt;&gt;"",IF(VLOOKUP(A68,Ergebnis_je_Aktie_verwässert!A$3:AK$103,8,FALSE)&lt;&gt;"",IF(VLOOKUP(A68,Ergebnis_je_Aktie_verwässert!A$3:AK$103,8,FALSE)&lt;=0,2,IF(VLOOKUP(A68,Dividende_je_Aktie!A$3:AM$103,8,FALSE)/VLOOKUP(A68,Ergebnis_je_Aktie_verwässert!A$3:AK$103,8,FALSE)&gt;=2,2,VLOOKUP(A68,Dividende_je_Aktie!A$3:AM$103,8,FALSE)/VLOOKUP(A68,Ergebnis_je_Aktie_verwässert!A$3:AK$103,8,FALSE))),""),"")</f>
        <v>#N/A</v>
      </c>
      <c r="I68" s="5" t="e">
        <f>IF(VLOOKUP(A68,Dividende_je_Aktie!A$3:AM$103,9,FALSE)&lt;&gt;"",IF(VLOOKUP(A68,Ergebnis_je_Aktie_verwässert!A$3:AK$103,9,FALSE)&lt;&gt;"",IF(VLOOKUP(A68,Ergebnis_je_Aktie_verwässert!A$3:AK$103,9,FALSE)&lt;=0,2,IF(VLOOKUP(A68,Dividende_je_Aktie!A$3:AM$103,9,FALSE)/VLOOKUP(A68,Ergebnis_je_Aktie_verwässert!A$3:AK$103,9,FALSE)&gt;=2,2,VLOOKUP(A68,Dividende_je_Aktie!A$3:AM$103,9,FALSE)/VLOOKUP(A68,Ergebnis_je_Aktie_verwässert!A$3:AK$103,9,FALSE))),""),"")</f>
        <v>#N/A</v>
      </c>
      <c r="J68" s="5" t="e">
        <f>IF(VLOOKUP(A68,Dividende_je_Aktie!A$3:AM$103,10,FALSE)&lt;&gt;"",IF(VLOOKUP(A68,Ergebnis_je_Aktie_verwässert!A$3:AK$103,10,FALSE)&lt;&gt;"",IF(VLOOKUP(A68,Ergebnis_je_Aktie_verwässert!A$3:AK$103,10,FALSE)&lt;=0,2,IF(VLOOKUP(A68,Dividende_je_Aktie!A$3:AM$103,10,FALSE)/VLOOKUP(A68,Ergebnis_je_Aktie_verwässert!A$3:AK$103,10,FALSE)&gt;=2,2,VLOOKUP(A68,Dividende_je_Aktie!A$3:AM$103,10,FALSE)/VLOOKUP(A68,Ergebnis_je_Aktie_verwässert!A$3:AK$103,10,FALSE))),""),"")</f>
        <v>#N/A</v>
      </c>
      <c r="K68" s="5" t="e">
        <f>IF(VLOOKUP(A68,Dividende_je_Aktie!A$3:AM$103,11,FALSE)&lt;&gt;"",IF(VLOOKUP(A68,Ergebnis_je_Aktie_verwässert!A$3:AK$103,11,FALSE)&lt;&gt;"",IF(VLOOKUP(A68,Ergebnis_je_Aktie_verwässert!A$3:AK$103,11,FALSE)&lt;=0,2,IF(VLOOKUP(A68,Dividende_je_Aktie!A$3:AM$103,11,FALSE)/VLOOKUP(A68,Ergebnis_je_Aktie_verwässert!A$3:AK$103,11,FALSE)&gt;=2,2,VLOOKUP(A68,Dividende_je_Aktie!A$3:AM$103,11,FALSE)/VLOOKUP(A68,Ergebnis_je_Aktie_verwässert!A$3:AK$103,11,FALSE))),""),"")</f>
        <v>#N/A</v>
      </c>
      <c r="L68" s="5" t="e">
        <f>IF(VLOOKUP(A68,Dividende_je_Aktie!A$3:AM$103,12,FALSE)&lt;&gt;"",IF(VLOOKUP(A68,Ergebnis_je_Aktie_verwässert!A$3:AK$103,12,FALSE)&lt;&gt;"",IF(VLOOKUP(A68,Ergebnis_je_Aktie_verwässert!A$3:AK$103,12,FALSE)&lt;=0,2,IF(VLOOKUP(A68,Dividende_je_Aktie!A$3:AM$103,12,FALSE)/VLOOKUP(A68,Ergebnis_je_Aktie_verwässert!A$3:AK$103,12,FALSE)&gt;=2,2,VLOOKUP(A68,Dividende_je_Aktie!A$3:AM$103,12,FALSE)/VLOOKUP(A68,Ergebnis_je_Aktie_verwässert!A$3:AK$103,12,FALSE))),""),"")</f>
        <v>#N/A</v>
      </c>
      <c r="M68" s="5" t="e">
        <f>IF(VLOOKUP(A68,Dividende_je_Aktie!A$3:AM$103,13,FALSE)&lt;&gt;"",IF(VLOOKUP(A68,Ergebnis_je_Aktie_verwässert!A$3:AK$103,13,FALSE)&lt;&gt;"",IF(VLOOKUP(A68,Ergebnis_je_Aktie_verwässert!A$3:AK$103,13,FALSE)&lt;=0,2,IF(VLOOKUP(A68,Dividende_je_Aktie!A$3:AM$103,13,FALSE)/VLOOKUP(A68,Ergebnis_je_Aktie_verwässert!A$3:AK$103,13,FALSE)&gt;=2,2,VLOOKUP(A68,Dividende_je_Aktie!A$3:AM$103,13,FALSE)/VLOOKUP(A68,Ergebnis_je_Aktie_verwässert!A$3:AK$103,13,FALSE))),""),"")</f>
        <v>#N/A</v>
      </c>
      <c r="N68" s="5" t="e">
        <f>IF(VLOOKUP(A68,Dividende_je_Aktie!A$3:AM$103,14,FALSE)&lt;&gt;"",IF(VLOOKUP(A68,Ergebnis_je_Aktie_verwässert!A$3:AK$103,14,FALSE)&lt;&gt;"",IF(VLOOKUP(A68,Ergebnis_je_Aktie_verwässert!A$3:AK$103,14,FALSE)&lt;=0,2,IF(VLOOKUP(A68,Dividende_je_Aktie!A$3:AM$103,14,FALSE)/VLOOKUP(A68,Ergebnis_je_Aktie_verwässert!A$3:AK$103,14,FALSE)&gt;=2,2,VLOOKUP(A68,Dividende_je_Aktie!A$3:AM$103,14,FALSE)/VLOOKUP(A68,Ergebnis_je_Aktie_verwässert!A$3:AK$103,14,FALSE))),""),"")</f>
        <v>#N/A</v>
      </c>
      <c r="O68" s="5" t="e">
        <f>IF(VLOOKUP(A68,Dividende_je_Aktie!A$3:AM$103,15,FALSE)&lt;&gt;"",IF(VLOOKUP(A68,Ergebnis_je_Aktie_verwässert!A$3:AK$103,15,FALSE)&lt;&gt;"",IF(VLOOKUP(A68,Ergebnis_je_Aktie_verwässert!A$3:AK$103,15,FALSE)&lt;=0,2,IF(VLOOKUP(A68,Dividende_je_Aktie!A$3:AM$103,15,FALSE)/VLOOKUP(A68,Ergebnis_je_Aktie_verwässert!A$3:AK$103,15,FALSE)&gt;=2,2,VLOOKUP(A68,Dividende_je_Aktie!A$3:AM$103,15,FALSE)/VLOOKUP(A68,Ergebnis_je_Aktie_verwässert!A$3:AK$103,15,FALSE))),""),"")</f>
        <v>#N/A</v>
      </c>
      <c r="P68" s="5" t="e">
        <f>IF(VLOOKUP(A68,Dividende_je_Aktie!A$3:AM$103,16,FALSE)&lt;&gt;"",IF(VLOOKUP(A68,Ergebnis_je_Aktie_verwässert!A$3:AK$103,16,FALSE)&lt;&gt;"",IF(VLOOKUP(A68,Ergebnis_je_Aktie_verwässert!A$3:AK$103,16,FALSE)&lt;=0,2,IF(VLOOKUP(A68,Dividende_je_Aktie!A$3:AM$103,16,FALSE)/VLOOKUP(A68,Ergebnis_je_Aktie_verwässert!A$3:AK$103,16,FALSE)&gt;=2,2,VLOOKUP(A68,Dividende_je_Aktie!A$3:AM$103,16,FALSE)/VLOOKUP(A68,Ergebnis_je_Aktie_verwässert!A$3:AK$103,16,FALSE))),""),"")</f>
        <v>#N/A</v>
      </c>
      <c r="Q68" s="5" t="e">
        <f>IF(VLOOKUP(A68,Dividende_je_Aktie!A$3:AM$103,17,FALSE)&lt;&gt;"",IF(VLOOKUP(A68,Ergebnis_je_Aktie_verwässert!A$3:AK$103,17,FALSE)&lt;&gt;"",IF(VLOOKUP(A68,Ergebnis_je_Aktie_verwässert!A$3:AK$103,17,FALSE)&lt;=0,2,IF(VLOOKUP(A68,Dividende_je_Aktie!A$3:AM$103,17,FALSE)/VLOOKUP(A68,Ergebnis_je_Aktie_verwässert!A$3:AK$103,17,FALSE)&gt;=2,2,VLOOKUP(A68,Dividende_je_Aktie!A$3:AM$103,17,FALSE)/VLOOKUP(A68,Ergebnis_je_Aktie_verwässert!A$3:AK$103,17,FALSE))),""),"")</f>
        <v>#N/A</v>
      </c>
      <c r="R68" s="5" t="e">
        <f>IF(VLOOKUP(A68,Dividende_je_Aktie!A$3:AM$103,18,FALSE)&lt;&gt;"",IF(VLOOKUP(A68,Ergebnis_je_Aktie_verwässert!A$3:AK$103,18,FALSE)&lt;&gt;"",IF(VLOOKUP(A68,Ergebnis_je_Aktie_verwässert!A$3:AK$103,18,FALSE)&lt;=0,2,IF(VLOOKUP(A68,Dividende_je_Aktie!A$3:AM$103,18,FALSE)/VLOOKUP(A68,Ergebnis_je_Aktie_verwässert!A$3:AK$103,18,FALSE)&gt;=2,2,VLOOKUP(A68,Dividende_je_Aktie!A$3:AM$103,18,FALSE)/VLOOKUP(A68,Ergebnis_je_Aktie_verwässert!A$3:AK$103,18,FALSE))),""),"")</f>
        <v>#N/A</v>
      </c>
      <c r="S68" s="10" t="e">
        <f t="shared" si="6"/>
        <v>#N/A</v>
      </c>
      <c r="T68" s="4">
        <f t="shared" ca="1" si="7"/>
        <v>41553</v>
      </c>
      <c r="U68" s="4">
        <f t="shared" ca="1" si="8"/>
        <v>-41193</v>
      </c>
      <c r="V68" s="4" t="e">
        <f t="shared" ca="1" si="9"/>
        <v>#NUM!</v>
      </c>
      <c r="W68" s="10" t="e">
        <f t="shared" ca="1" si="10"/>
        <v>#N/A</v>
      </c>
      <c r="X68" s="5" t="e">
        <f t="shared" ca="1" si="11"/>
        <v>#N/A</v>
      </c>
    </row>
    <row r="69" spans="1:24" x14ac:dyDescent="0.25">
      <c r="C69" s="56"/>
      <c r="D69" s="56"/>
      <c r="E69" s="56"/>
      <c r="F69" s="5" t="e">
        <f>IF(VLOOKUP(A69,Dividende_je_Aktie!A$3:AM$103,6,FALSE)&lt;&gt;"",IF(VLOOKUP(A69,Ergebnis_je_Aktie_verwässert!A$3:AK$103,6,FALSE)&lt;&gt;"",IF(VLOOKUP(A69,Ergebnis_je_Aktie_verwässert!A$3:AK$103,6,FALSE)&lt;=0,2,IF(VLOOKUP(A69,Dividende_je_Aktie!A$3:AM$103,6,FALSE)/VLOOKUP(A69,Ergebnis_je_Aktie_verwässert!A$3:AK$103,6,FALSE)&gt;=2,2,VLOOKUP(A69,Dividende_je_Aktie!A$3:AM$103,6,FALSE)/VLOOKUP(A69,Ergebnis_je_Aktie_verwässert!A$3:AK$103,6,FALSE))),""),"")</f>
        <v>#N/A</v>
      </c>
      <c r="G69" s="5" t="e">
        <f>IF(VLOOKUP(A69,Dividende_je_Aktie!A$3:AM$103,7,FALSE)&lt;&gt;"",IF(VLOOKUP(A69,Ergebnis_je_Aktie_verwässert!A$3:AK$103,7,FALSE)&lt;&gt;"",IF(VLOOKUP(A69,Ergebnis_je_Aktie_verwässert!A$3:AK$103,7,FALSE)&lt;=0,2,IF(VLOOKUP(A69,Dividende_je_Aktie!A$3:AM$103,7,FALSE)/VLOOKUP(A69,Ergebnis_je_Aktie_verwässert!A$3:AK$103,7,FALSE)&gt;=2,2,VLOOKUP(A69,Dividende_je_Aktie!A$3:AM$103,7,FALSE)/VLOOKUP(A69,Ergebnis_je_Aktie_verwässert!A$3:AK$103,7,FALSE))),""),"")</f>
        <v>#N/A</v>
      </c>
      <c r="H69" s="5" t="e">
        <f>IF(VLOOKUP(A69,Dividende_je_Aktie!A$3:AM$103,8,FALSE)&lt;&gt;"",IF(VLOOKUP(A69,Ergebnis_je_Aktie_verwässert!A$3:AK$103,8,FALSE)&lt;&gt;"",IF(VLOOKUP(A69,Ergebnis_je_Aktie_verwässert!A$3:AK$103,8,FALSE)&lt;=0,2,IF(VLOOKUP(A69,Dividende_je_Aktie!A$3:AM$103,8,FALSE)/VLOOKUP(A69,Ergebnis_je_Aktie_verwässert!A$3:AK$103,8,FALSE)&gt;=2,2,VLOOKUP(A69,Dividende_je_Aktie!A$3:AM$103,8,FALSE)/VLOOKUP(A69,Ergebnis_je_Aktie_verwässert!A$3:AK$103,8,FALSE))),""),"")</f>
        <v>#N/A</v>
      </c>
      <c r="I69" s="5" t="e">
        <f>IF(VLOOKUP(A69,Dividende_je_Aktie!A$3:AM$103,9,FALSE)&lt;&gt;"",IF(VLOOKUP(A69,Ergebnis_je_Aktie_verwässert!A$3:AK$103,9,FALSE)&lt;&gt;"",IF(VLOOKUP(A69,Ergebnis_je_Aktie_verwässert!A$3:AK$103,9,FALSE)&lt;=0,2,IF(VLOOKUP(A69,Dividende_je_Aktie!A$3:AM$103,9,FALSE)/VLOOKUP(A69,Ergebnis_je_Aktie_verwässert!A$3:AK$103,9,FALSE)&gt;=2,2,VLOOKUP(A69,Dividende_je_Aktie!A$3:AM$103,9,FALSE)/VLOOKUP(A69,Ergebnis_je_Aktie_verwässert!A$3:AK$103,9,FALSE))),""),"")</f>
        <v>#N/A</v>
      </c>
      <c r="J69" s="5" t="e">
        <f>IF(VLOOKUP(A69,Dividende_je_Aktie!A$3:AM$103,10,FALSE)&lt;&gt;"",IF(VLOOKUP(A69,Ergebnis_je_Aktie_verwässert!A$3:AK$103,10,FALSE)&lt;&gt;"",IF(VLOOKUP(A69,Ergebnis_je_Aktie_verwässert!A$3:AK$103,10,FALSE)&lt;=0,2,IF(VLOOKUP(A69,Dividende_je_Aktie!A$3:AM$103,10,FALSE)/VLOOKUP(A69,Ergebnis_je_Aktie_verwässert!A$3:AK$103,10,FALSE)&gt;=2,2,VLOOKUP(A69,Dividende_je_Aktie!A$3:AM$103,10,FALSE)/VLOOKUP(A69,Ergebnis_je_Aktie_verwässert!A$3:AK$103,10,FALSE))),""),"")</f>
        <v>#N/A</v>
      </c>
      <c r="K69" s="5" t="e">
        <f>IF(VLOOKUP(A69,Dividende_je_Aktie!A$3:AM$103,11,FALSE)&lt;&gt;"",IF(VLOOKUP(A69,Ergebnis_je_Aktie_verwässert!A$3:AK$103,11,FALSE)&lt;&gt;"",IF(VLOOKUP(A69,Ergebnis_je_Aktie_verwässert!A$3:AK$103,11,FALSE)&lt;=0,2,IF(VLOOKUP(A69,Dividende_je_Aktie!A$3:AM$103,11,FALSE)/VLOOKUP(A69,Ergebnis_je_Aktie_verwässert!A$3:AK$103,11,FALSE)&gt;=2,2,VLOOKUP(A69,Dividende_je_Aktie!A$3:AM$103,11,FALSE)/VLOOKUP(A69,Ergebnis_je_Aktie_verwässert!A$3:AK$103,11,FALSE))),""),"")</f>
        <v>#N/A</v>
      </c>
      <c r="L69" s="5" t="e">
        <f>IF(VLOOKUP(A69,Dividende_je_Aktie!A$3:AM$103,12,FALSE)&lt;&gt;"",IF(VLOOKUP(A69,Ergebnis_je_Aktie_verwässert!A$3:AK$103,12,FALSE)&lt;&gt;"",IF(VLOOKUP(A69,Ergebnis_je_Aktie_verwässert!A$3:AK$103,12,FALSE)&lt;=0,2,IF(VLOOKUP(A69,Dividende_je_Aktie!A$3:AM$103,12,FALSE)/VLOOKUP(A69,Ergebnis_je_Aktie_verwässert!A$3:AK$103,12,FALSE)&gt;=2,2,VLOOKUP(A69,Dividende_je_Aktie!A$3:AM$103,12,FALSE)/VLOOKUP(A69,Ergebnis_je_Aktie_verwässert!A$3:AK$103,12,FALSE))),""),"")</f>
        <v>#N/A</v>
      </c>
      <c r="M69" s="5" t="e">
        <f>IF(VLOOKUP(A69,Dividende_je_Aktie!A$3:AM$103,13,FALSE)&lt;&gt;"",IF(VLOOKUP(A69,Ergebnis_je_Aktie_verwässert!A$3:AK$103,13,FALSE)&lt;&gt;"",IF(VLOOKUP(A69,Ergebnis_je_Aktie_verwässert!A$3:AK$103,13,FALSE)&lt;=0,2,IF(VLOOKUP(A69,Dividende_je_Aktie!A$3:AM$103,13,FALSE)/VLOOKUP(A69,Ergebnis_je_Aktie_verwässert!A$3:AK$103,13,FALSE)&gt;=2,2,VLOOKUP(A69,Dividende_je_Aktie!A$3:AM$103,13,FALSE)/VLOOKUP(A69,Ergebnis_je_Aktie_verwässert!A$3:AK$103,13,FALSE))),""),"")</f>
        <v>#N/A</v>
      </c>
      <c r="N69" s="5" t="e">
        <f>IF(VLOOKUP(A69,Dividende_je_Aktie!A$3:AM$103,14,FALSE)&lt;&gt;"",IF(VLOOKUP(A69,Ergebnis_je_Aktie_verwässert!A$3:AK$103,14,FALSE)&lt;&gt;"",IF(VLOOKUP(A69,Ergebnis_je_Aktie_verwässert!A$3:AK$103,14,FALSE)&lt;=0,2,IF(VLOOKUP(A69,Dividende_je_Aktie!A$3:AM$103,14,FALSE)/VLOOKUP(A69,Ergebnis_je_Aktie_verwässert!A$3:AK$103,14,FALSE)&gt;=2,2,VLOOKUP(A69,Dividende_je_Aktie!A$3:AM$103,14,FALSE)/VLOOKUP(A69,Ergebnis_je_Aktie_verwässert!A$3:AK$103,14,FALSE))),""),"")</f>
        <v>#N/A</v>
      </c>
      <c r="O69" s="5" t="e">
        <f>IF(VLOOKUP(A69,Dividende_je_Aktie!A$3:AM$103,15,FALSE)&lt;&gt;"",IF(VLOOKUP(A69,Ergebnis_je_Aktie_verwässert!A$3:AK$103,15,FALSE)&lt;&gt;"",IF(VLOOKUP(A69,Ergebnis_je_Aktie_verwässert!A$3:AK$103,15,FALSE)&lt;=0,2,IF(VLOOKUP(A69,Dividende_je_Aktie!A$3:AM$103,15,FALSE)/VLOOKUP(A69,Ergebnis_je_Aktie_verwässert!A$3:AK$103,15,FALSE)&gt;=2,2,VLOOKUP(A69,Dividende_je_Aktie!A$3:AM$103,15,FALSE)/VLOOKUP(A69,Ergebnis_je_Aktie_verwässert!A$3:AK$103,15,FALSE))),""),"")</f>
        <v>#N/A</v>
      </c>
      <c r="P69" s="5" t="e">
        <f>IF(VLOOKUP(A69,Dividende_je_Aktie!A$3:AM$103,16,FALSE)&lt;&gt;"",IF(VLOOKUP(A69,Ergebnis_je_Aktie_verwässert!A$3:AK$103,16,FALSE)&lt;&gt;"",IF(VLOOKUP(A69,Ergebnis_je_Aktie_verwässert!A$3:AK$103,16,FALSE)&lt;=0,2,IF(VLOOKUP(A69,Dividende_je_Aktie!A$3:AM$103,16,FALSE)/VLOOKUP(A69,Ergebnis_je_Aktie_verwässert!A$3:AK$103,16,FALSE)&gt;=2,2,VLOOKUP(A69,Dividende_je_Aktie!A$3:AM$103,16,FALSE)/VLOOKUP(A69,Ergebnis_je_Aktie_verwässert!A$3:AK$103,16,FALSE))),""),"")</f>
        <v>#N/A</v>
      </c>
      <c r="Q69" s="5" t="e">
        <f>IF(VLOOKUP(A69,Dividende_je_Aktie!A$3:AM$103,17,FALSE)&lt;&gt;"",IF(VLOOKUP(A69,Ergebnis_je_Aktie_verwässert!A$3:AK$103,17,FALSE)&lt;&gt;"",IF(VLOOKUP(A69,Ergebnis_je_Aktie_verwässert!A$3:AK$103,17,FALSE)&lt;=0,2,IF(VLOOKUP(A69,Dividende_je_Aktie!A$3:AM$103,17,FALSE)/VLOOKUP(A69,Ergebnis_je_Aktie_verwässert!A$3:AK$103,17,FALSE)&gt;=2,2,VLOOKUP(A69,Dividende_je_Aktie!A$3:AM$103,17,FALSE)/VLOOKUP(A69,Ergebnis_je_Aktie_verwässert!A$3:AK$103,17,FALSE))),""),"")</f>
        <v>#N/A</v>
      </c>
      <c r="R69" s="5" t="e">
        <f>IF(VLOOKUP(A69,Dividende_je_Aktie!A$3:AM$103,18,FALSE)&lt;&gt;"",IF(VLOOKUP(A69,Ergebnis_je_Aktie_verwässert!A$3:AK$103,18,FALSE)&lt;&gt;"",IF(VLOOKUP(A69,Ergebnis_je_Aktie_verwässert!A$3:AK$103,18,FALSE)&lt;=0,2,IF(VLOOKUP(A69,Dividende_je_Aktie!A$3:AM$103,18,FALSE)/VLOOKUP(A69,Ergebnis_je_Aktie_verwässert!A$3:AK$103,18,FALSE)&gt;=2,2,VLOOKUP(A69,Dividende_je_Aktie!A$3:AM$103,18,FALSE)/VLOOKUP(A69,Ergebnis_je_Aktie_verwässert!A$3:AK$103,18,FALSE))),""),"")</f>
        <v>#N/A</v>
      </c>
      <c r="S69" s="10" t="e">
        <f t="shared" si="6"/>
        <v>#N/A</v>
      </c>
      <c r="T69" s="4">
        <f t="shared" ca="1" si="7"/>
        <v>41553</v>
      </c>
      <c r="U69" s="4">
        <f t="shared" ca="1" si="8"/>
        <v>-41193</v>
      </c>
      <c r="V69" s="4" t="e">
        <f t="shared" ca="1" si="9"/>
        <v>#NUM!</v>
      </c>
      <c r="W69" s="10" t="e">
        <f t="shared" ca="1" si="10"/>
        <v>#N/A</v>
      </c>
      <c r="X69" s="5" t="e">
        <f t="shared" ca="1" si="11"/>
        <v>#N/A</v>
      </c>
    </row>
    <row r="70" spans="1:24" x14ac:dyDescent="0.25">
      <c r="C70" s="56"/>
      <c r="D70" s="56"/>
      <c r="E70" s="56"/>
      <c r="F70" s="5" t="e">
        <f>IF(VLOOKUP(A70,Dividende_je_Aktie!A$3:AM$103,6,FALSE)&lt;&gt;"",IF(VLOOKUP(A70,Ergebnis_je_Aktie_verwässert!A$3:AK$103,6,FALSE)&lt;&gt;"",IF(VLOOKUP(A70,Ergebnis_je_Aktie_verwässert!A$3:AK$103,6,FALSE)&lt;=0,2,IF(VLOOKUP(A70,Dividende_je_Aktie!A$3:AM$103,6,FALSE)/VLOOKUP(A70,Ergebnis_je_Aktie_verwässert!A$3:AK$103,6,FALSE)&gt;=2,2,VLOOKUP(A70,Dividende_je_Aktie!A$3:AM$103,6,FALSE)/VLOOKUP(A70,Ergebnis_je_Aktie_verwässert!A$3:AK$103,6,FALSE))),""),"")</f>
        <v>#N/A</v>
      </c>
      <c r="G70" s="5" t="e">
        <f>IF(VLOOKUP(A70,Dividende_je_Aktie!A$3:AM$103,7,FALSE)&lt;&gt;"",IF(VLOOKUP(A70,Ergebnis_je_Aktie_verwässert!A$3:AK$103,7,FALSE)&lt;&gt;"",IF(VLOOKUP(A70,Ergebnis_je_Aktie_verwässert!A$3:AK$103,7,FALSE)&lt;=0,2,IF(VLOOKUP(A70,Dividende_je_Aktie!A$3:AM$103,7,FALSE)/VLOOKUP(A70,Ergebnis_je_Aktie_verwässert!A$3:AK$103,7,FALSE)&gt;=2,2,VLOOKUP(A70,Dividende_je_Aktie!A$3:AM$103,7,FALSE)/VLOOKUP(A70,Ergebnis_je_Aktie_verwässert!A$3:AK$103,7,FALSE))),""),"")</f>
        <v>#N/A</v>
      </c>
      <c r="H70" s="5" t="e">
        <f>IF(VLOOKUP(A70,Dividende_je_Aktie!A$3:AM$103,8,FALSE)&lt;&gt;"",IF(VLOOKUP(A70,Ergebnis_je_Aktie_verwässert!A$3:AK$103,8,FALSE)&lt;&gt;"",IF(VLOOKUP(A70,Ergebnis_je_Aktie_verwässert!A$3:AK$103,8,FALSE)&lt;=0,2,IF(VLOOKUP(A70,Dividende_je_Aktie!A$3:AM$103,8,FALSE)/VLOOKUP(A70,Ergebnis_je_Aktie_verwässert!A$3:AK$103,8,FALSE)&gt;=2,2,VLOOKUP(A70,Dividende_je_Aktie!A$3:AM$103,8,FALSE)/VLOOKUP(A70,Ergebnis_je_Aktie_verwässert!A$3:AK$103,8,FALSE))),""),"")</f>
        <v>#N/A</v>
      </c>
      <c r="I70" s="5" t="e">
        <f>IF(VLOOKUP(A70,Dividende_je_Aktie!A$3:AM$103,9,FALSE)&lt;&gt;"",IF(VLOOKUP(A70,Ergebnis_je_Aktie_verwässert!A$3:AK$103,9,FALSE)&lt;&gt;"",IF(VLOOKUP(A70,Ergebnis_je_Aktie_verwässert!A$3:AK$103,9,FALSE)&lt;=0,2,IF(VLOOKUP(A70,Dividende_je_Aktie!A$3:AM$103,9,FALSE)/VLOOKUP(A70,Ergebnis_je_Aktie_verwässert!A$3:AK$103,9,FALSE)&gt;=2,2,VLOOKUP(A70,Dividende_je_Aktie!A$3:AM$103,9,FALSE)/VLOOKUP(A70,Ergebnis_je_Aktie_verwässert!A$3:AK$103,9,FALSE))),""),"")</f>
        <v>#N/A</v>
      </c>
      <c r="J70" s="5" t="e">
        <f>IF(VLOOKUP(A70,Dividende_je_Aktie!A$3:AM$103,10,FALSE)&lt;&gt;"",IF(VLOOKUP(A70,Ergebnis_je_Aktie_verwässert!A$3:AK$103,10,FALSE)&lt;&gt;"",IF(VLOOKUP(A70,Ergebnis_je_Aktie_verwässert!A$3:AK$103,10,FALSE)&lt;=0,2,IF(VLOOKUP(A70,Dividende_je_Aktie!A$3:AM$103,10,FALSE)/VLOOKUP(A70,Ergebnis_je_Aktie_verwässert!A$3:AK$103,10,FALSE)&gt;=2,2,VLOOKUP(A70,Dividende_je_Aktie!A$3:AM$103,10,FALSE)/VLOOKUP(A70,Ergebnis_je_Aktie_verwässert!A$3:AK$103,10,FALSE))),""),"")</f>
        <v>#N/A</v>
      </c>
      <c r="K70" s="5" t="e">
        <f>IF(VLOOKUP(A70,Dividende_je_Aktie!A$3:AM$103,11,FALSE)&lt;&gt;"",IF(VLOOKUP(A70,Ergebnis_je_Aktie_verwässert!A$3:AK$103,11,FALSE)&lt;&gt;"",IF(VLOOKUP(A70,Ergebnis_je_Aktie_verwässert!A$3:AK$103,11,FALSE)&lt;=0,2,IF(VLOOKUP(A70,Dividende_je_Aktie!A$3:AM$103,11,FALSE)/VLOOKUP(A70,Ergebnis_je_Aktie_verwässert!A$3:AK$103,11,FALSE)&gt;=2,2,VLOOKUP(A70,Dividende_je_Aktie!A$3:AM$103,11,FALSE)/VLOOKUP(A70,Ergebnis_je_Aktie_verwässert!A$3:AK$103,11,FALSE))),""),"")</f>
        <v>#N/A</v>
      </c>
      <c r="L70" s="5" t="e">
        <f>IF(VLOOKUP(A70,Dividende_je_Aktie!A$3:AM$103,12,FALSE)&lt;&gt;"",IF(VLOOKUP(A70,Ergebnis_je_Aktie_verwässert!A$3:AK$103,12,FALSE)&lt;&gt;"",IF(VLOOKUP(A70,Ergebnis_je_Aktie_verwässert!A$3:AK$103,12,FALSE)&lt;=0,2,IF(VLOOKUP(A70,Dividende_je_Aktie!A$3:AM$103,12,FALSE)/VLOOKUP(A70,Ergebnis_je_Aktie_verwässert!A$3:AK$103,12,FALSE)&gt;=2,2,VLOOKUP(A70,Dividende_je_Aktie!A$3:AM$103,12,FALSE)/VLOOKUP(A70,Ergebnis_je_Aktie_verwässert!A$3:AK$103,12,FALSE))),""),"")</f>
        <v>#N/A</v>
      </c>
      <c r="M70" s="5" t="e">
        <f>IF(VLOOKUP(A70,Dividende_je_Aktie!A$3:AM$103,13,FALSE)&lt;&gt;"",IF(VLOOKUP(A70,Ergebnis_je_Aktie_verwässert!A$3:AK$103,13,FALSE)&lt;&gt;"",IF(VLOOKUP(A70,Ergebnis_je_Aktie_verwässert!A$3:AK$103,13,FALSE)&lt;=0,2,IF(VLOOKUP(A70,Dividende_je_Aktie!A$3:AM$103,13,FALSE)/VLOOKUP(A70,Ergebnis_je_Aktie_verwässert!A$3:AK$103,13,FALSE)&gt;=2,2,VLOOKUP(A70,Dividende_je_Aktie!A$3:AM$103,13,FALSE)/VLOOKUP(A70,Ergebnis_je_Aktie_verwässert!A$3:AK$103,13,FALSE))),""),"")</f>
        <v>#N/A</v>
      </c>
      <c r="N70" s="5" t="e">
        <f>IF(VLOOKUP(A70,Dividende_je_Aktie!A$3:AM$103,14,FALSE)&lt;&gt;"",IF(VLOOKUP(A70,Ergebnis_je_Aktie_verwässert!A$3:AK$103,14,FALSE)&lt;&gt;"",IF(VLOOKUP(A70,Ergebnis_je_Aktie_verwässert!A$3:AK$103,14,FALSE)&lt;=0,2,IF(VLOOKUP(A70,Dividende_je_Aktie!A$3:AM$103,14,FALSE)/VLOOKUP(A70,Ergebnis_je_Aktie_verwässert!A$3:AK$103,14,FALSE)&gt;=2,2,VLOOKUP(A70,Dividende_je_Aktie!A$3:AM$103,14,FALSE)/VLOOKUP(A70,Ergebnis_je_Aktie_verwässert!A$3:AK$103,14,FALSE))),""),"")</f>
        <v>#N/A</v>
      </c>
      <c r="O70" s="5" t="e">
        <f>IF(VLOOKUP(A70,Dividende_je_Aktie!A$3:AM$103,15,FALSE)&lt;&gt;"",IF(VLOOKUP(A70,Ergebnis_je_Aktie_verwässert!A$3:AK$103,15,FALSE)&lt;&gt;"",IF(VLOOKUP(A70,Ergebnis_je_Aktie_verwässert!A$3:AK$103,15,FALSE)&lt;=0,2,IF(VLOOKUP(A70,Dividende_je_Aktie!A$3:AM$103,15,FALSE)/VLOOKUP(A70,Ergebnis_je_Aktie_verwässert!A$3:AK$103,15,FALSE)&gt;=2,2,VLOOKUP(A70,Dividende_je_Aktie!A$3:AM$103,15,FALSE)/VLOOKUP(A70,Ergebnis_je_Aktie_verwässert!A$3:AK$103,15,FALSE))),""),"")</f>
        <v>#N/A</v>
      </c>
      <c r="P70" s="5" t="e">
        <f>IF(VLOOKUP(A70,Dividende_je_Aktie!A$3:AM$103,16,FALSE)&lt;&gt;"",IF(VLOOKUP(A70,Ergebnis_je_Aktie_verwässert!A$3:AK$103,16,FALSE)&lt;&gt;"",IF(VLOOKUP(A70,Ergebnis_je_Aktie_verwässert!A$3:AK$103,16,FALSE)&lt;=0,2,IF(VLOOKUP(A70,Dividende_je_Aktie!A$3:AM$103,16,FALSE)/VLOOKUP(A70,Ergebnis_je_Aktie_verwässert!A$3:AK$103,16,FALSE)&gt;=2,2,VLOOKUP(A70,Dividende_je_Aktie!A$3:AM$103,16,FALSE)/VLOOKUP(A70,Ergebnis_je_Aktie_verwässert!A$3:AK$103,16,FALSE))),""),"")</f>
        <v>#N/A</v>
      </c>
      <c r="Q70" s="5" t="e">
        <f>IF(VLOOKUP(A70,Dividende_je_Aktie!A$3:AM$103,17,FALSE)&lt;&gt;"",IF(VLOOKUP(A70,Ergebnis_je_Aktie_verwässert!A$3:AK$103,17,FALSE)&lt;&gt;"",IF(VLOOKUP(A70,Ergebnis_je_Aktie_verwässert!A$3:AK$103,17,FALSE)&lt;=0,2,IF(VLOOKUP(A70,Dividende_je_Aktie!A$3:AM$103,17,FALSE)/VLOOKUP(A70,Ergebnis_je_Aktie_verwässert!A$3:AK$103,17,FALSE)&gt;=2,2,VLOOKUP(A70,Dividende_je_Aktie!A$3:AM$103,17,FALSE)/VLOOKUP(A70,Ergebnis_je_Aktie_verwässert!A$3:AK$103,17,FALSE))),""),"")</f>
        <v>#N/A</v>
      </c>
      <c r="R70" s="5" t="e">
        <f>IF(VLOOKUP(A70,Dividende_je_Aktie!A$3:AM$103,18,FALSE)&lt;&gt;"",IF(VLOOKUP(A70,Ergebnis_je_Aktie_verwässert!A$3:AK$103,18,FALSE)&lt;&gt;"",IF(VLOOKUP(A70,Ergebnis_je_Aktie_verwässert!A$3:AK$103,18,FALSE)&lt;=0,2,IF(VLOOKUP(A70,Dividende_je_Aktie!A$3:AM$103,18,FALSE)/VLOOKUP(A70,Ergebnis_je_Aktie_verwässert!A$3:AK$103,18,FALSE)&gt;=2,2,VLOOKUP(A70,Dividende_je_Aktie!A$3:AM$103,18,FALSE)/VLOOKUP(A70,Ergebnis_je_Aktie_verwässert!A$3:AK$103,18,FALSE))),""),"")</f>
        <v>#N/A</v>
      </c>
      <c r="S70" s="10" t="e">
        <f t="shared" si="6"/>
        <v>#N/A</v>
      </c>
      <c r="T70" s="4">
        <f t="shared" ca="1" si="7"/>
        <v>41553</v>
      </c>
      <c r="U70" s="4">
        <f t="shared" ca="1" si="8"/>
        <v>-41193</v>
      </c>
      <c r="V70" s="4" t="e">
        <f t="shared" ca="1" si="9"/>
        <v>#NUM!</v>
      </c>
      <c r="W70" s="10" t="e">
        <f t="shared" ca="1" si="10"/>
        <v>#N/A</v>
      </c>
      <c r="X70" s="5" t="e">
        <f t="shared" ca="1" si="11"/>
        <v>#N/A</v>
      </c>
    </row>
    <row r="71" spans="1:24" x14ac:dyDescent="0.25">
      <c r="C71" s="56"/>
      <c r="D71" s="56"/>
      <c r="E71" s="56"/>
      <c r="F71" s="5" t="e">
        <f>IF(VLOOKUP(A71,Dividende_je_Aktie!A$3:AM$103,6,FALSE)&lt;&gt;"",IF(VLOOKUP(A71,Ergebnis_je_Aktie_verwässert!A$3:AK$103,6,FALSE)&lt;&gt;"",IF(VLOOKUP(A71,Ergebnis_je_Aktie_verwässert!A$3:AK$103,6,FALSE)&lt;=0,2,IF(VLOOKUP(A71,Dividende_je_Aktie!A$3:AM$103,6,FALSE)/VLOOKUP(A71,Ergebnis_je_Aktie_verwässert!A$3:AK$103,6,FALSE)&gt;=2,2,VLOOKUP(A71,Dividende_je_Aktie!A$3:AM$103,6,FALSE)/VLOOKUP(A71,Ergebnis_je_Aktie_verwässert!A$3:AK$103,6,FALSE))),""),"")</f>
        <v>#N/A</v>
      </c>
      <c r="G71" s="5" t="e">
        <f>IF(VLOOKUP(A71,Dividende_je_Aktie!A$3:AM$103,7,FALSE)&lt;&gt;"",IF(VLOOKUP(A71,Ergebnis_je_Aktie_verwässert!A$3:AK$103,7,FALSE)&lt;&gt;"",IF(VLOOKUP(A71,Ergebnis_je_Aktie_verwässert!A$3:AK$103,7,FALSE)&lt;=0,2,IF(VLOOKUP(A71,Dividende_je_Aktie!A$3:AM$103,7,FALSE)/VLOOKUP(A71,Ergebnis_je_Aktie_verwässert!A$3:AK$103,7,FALSE)&gt;=2,2,VLOOKUP(A71,Dividende_je_Aktie!A$3:AM$103,7,FALSE)/VLOOKUP(A71,Ergebnis_je_Aktie_verwässert!A$3:AK$103,7,FALSE))),""),"")</f>
        <v>#N/A</v>
      </c>
      <c r="H71" s="5" t="e">
        <f>IF(VLOOKUP(A71,Dividende_je_Aktie!A$3:AM$103,8,FALSE)&lt;&gt;"",IF(VLOOKUP(A71,Ergebnis_je_Aktie_verwässert!A$3:AK$103,8,FALSE)&lt;&gt;"",IF(VLOOKUP(A71,Ergebnis_je_Aktie_verwässert!A$3:AK$103,8,FALSE)&lt;=0,2,IF(VLOOKUP(A71,Dividende_je_Aktie!A$3:AM$103,8,FALSE)/VLOOKUP(A71,Ergebnis_je_Aktie_verwässert!A$3:AK$103,8,FALSE)&gt;=2,2,VLOOKUP(A71,Dividende_je_Aktie!A$3:AM$103,8,FALSE)/VLOOKUP(A71,Ergebnis_je_Aktie_verwässert!A$3:AK$103,8,FALSE))),""),"")</f>
        <v>#N/A</v>
      </c>
      <c r="I71" s="5" t="e">
        <f>IF(VLOOKUP(A71,Dividende_je_Aktie!A$3:AM$103,9,FALSE)&lt;&gt;"",IF(VLOOKUP(A71,Ergebnis_je_Aktie_verwässert!A$3:AK$103,9,FALSE)&lt;&gt;"",IF(VLOOKUP(A71,Ergebnis_je_Aktie_verwässert!A$3:AK$103,9,FALSE)&lt;=0,2,IF(VLOOKUP(A71,Dividende_je_Aktie!A$3:AM$103,9,FALSE)/VLOOKUP(A71,Ergebnis_je_Aktie_verwässert!A$3:AK$103,9,FALSE)&gt;=2,2,VLOOKUP(A71,Dividende_je_Aktie!A$3:AM$103,9,FALSE)/VLOOKUP(A71,Ergebnis_je_Aktie_verwässert!A$3:AK$103,9,FALSE))),""),"")</f>
        <v>#N/A</v>
      </c>
      <c r="J71" s="5" t="e">
        <f>IF(VLOOKUP(A71,Dividende_je_Aktie!A$3:AM$103,10,FALSE)&lt;&gt;"",IF(VLOOKUP(A71,Ergebnis_je_Aktie_verwässert!A$3:AK$103,10,FALSE)&lt;&gt;"",IF(VLOOKUP(A71,Ergebnis_je_Aktie_verwässert!A$3:AK$103,10,FALSE)&lt;=0,2,IF(VLOOKUP(A71,Dividende_je_Aktie!A$3:AM$103,10,FALSE)/VLOOKUP(A71,Ergebnis_je_Aktie_verwässert!A$3:AK$103,10,FALSE)&gt;=2,2,VLOOKUP(A71,Dividende_je_Aktie!A$3:AM$103,10,FALSE)/VLOOKUP(A71,Ergebnis_je_Aktie_verwässert!A$3:AK$103,10,FALSE))),""),"")</f>
        <v>#N/A</v>
      </c>
      <c r="K71" s="5" t="e">
        <f>IF(VLOOKUP(A71,Dividende_je_Aktie!A$3:AM$103,11,FALSE)&lt;&gt;"",IF(VLOOKUP(A71,Ergebnis_je_Aktie_verwässert!A$3:AK$103,11,FALSE)&lt;&gt;"",IF(VLOOKUP(A71,Ergebnis_je_Aktie_verwässert!A$3:AK$103,11,FALSE)&lt;=0,2,IF(VLOOKUP(A71,Dividende_je_Aktie!A$3:AM$103,11,FALSE)/VLOOKUP(A71,Ergebnis_je_Aktie_verwässert!A$3:AK$103,11,FALSE)&gt;=2,2,VLOOKUP(A71,Dividende_je_Aktie!A$3:AM$103,11,FALSE)/VLOOKUP(A71,Ergebnis_je_Aktie_verwässert!A$3:AK$103,11,FALSE))),""),"")</f>
        <v>#N/A</v>
      </c>
      <c r="L71" s="5" t="e">
        <f>IF(VLOOKUP(A71,Dividende_je_Aktie!A$3:AM$103,12,FALSE)&lt;&gt;"",IF(VLOOKUP(A71,Ergebnis_je_Aktie_verwässert!A$3:AK$103,12,FALSE)&lt;&gt;"",IF(VLOOKUP(A71,Ergebnis_je_Aktie_verwässert!A$3:AK$103,12,FALSE)&lt;=0,2,IF(VLOOKUP(A71,Dividende_je_Aktie!A$3:AM$103,12,FALSE)/VLOOKUP(A71,Ergebnis_je_Aktie_verwässert!A$3:AK$103,12,FALSE)&gt;=2,2,VLOOKUP(A71,Dividende_je_Aktie!A$3:AM$103,12,FALSE)/VLOOKUP(A71,Ergebnis_je_Aktie_verwässert!A$3:AK$103,12,FALSE))),""),"")</f>
        <v>#N/A</v>
      </c>
      <c r="M71" s="5" t="e">
        <f>IF(VLOOKUP(A71,Dividende_je_Aktie!A$3:AM$103,13,FALSE)&lt;&gt;"",IF(VLOOKUP(A71,Ergebnis_je_Aktie_verwässert!A$3:AK$103,13,FALSE)&lt;&gt;"",IF(VLOOKUP(A71,Ergebnis_je_Aktie_verwässert!A$3:AK$103,13,FALSE)&lt;=0,2,IF(VLOOKUP(A71,Dividende_je_Aktie!A$3:AM$103,13,FALSE)/VLOOKUP(A71,Ergebnis_je_Aktie_verwässert!A$3:AK$103,13,FALSE)&gt;=2,2,VLOOKUP(A71,Dividende_je_Aktie!A$3:AM$103,13,FALSE)/VLOOKUP(A71,Ergebnis_je_Aktie_verwässert!A$3:AK$103,13,FALSE))),""),"")</f>
        <v>#N/A</v>
      </c>
      <c r="N71" s="5" t="e">
        <f>IF(VLOOKUP(A71,Dividende_je_Aktie!A$3:AM$103,14,FALSE)&lt;&gt;"",IF(VLOOKUP(A71,Ergebnis_je_Aktie_verwässert!A$3:AK$103,14,FALSE)&lt;&gt;"",IF(VLOOKUP(A71,Ergebnis_je_Aktie_verwässert!A$3:AK$103,14,FALSE)&lt;=0,2,IF(VLOOKUP(A71,Dividende_je_Aktie!A$3:AM$103,14,FALSE)/VLOOKUP(A71,Ergebnis_je_Aktie_verwässert!A$3:AK$103,14,FALSE)&gt;=2,2,VLOOKUP(A71,Dividende_je_Aktie!A$3:AM$103,14,FALSE)/VLOOKUP(A71,Ergebnis_je_Aktie_verwässert!A$3:AK$103,14,FALSE))),""),"")</f>
        <v>#N/A</v>
      </c>
      <c r="O71" s="5" t="e">
        <f>IF(VLOOKUP(A71,Dividende_je_Aktie!A$3:AM$103,15,FALSE)&lt;&gt;"",IF(VLOOKUP(A71,Ergebnis_je_Aktie_verwässert!A$3:AK$103,15,FALSE)&lt;&gt;"",IF(VLOOKUP(A71,Ergebnis_je_Aktie_verwässert!A$3:AK$103,15,FALSE)&lt;=0,2,IF(VLOOKUP(A71,Dividende_je_Aktie!A$3:AM$103,15,FALSE)/VLOOKUP(A71,Ergebnis_je_Aktie_verwässert!A$3:AK$103,15,FALSE)&gt;=2,2,VLOOKUP(A71,Dividende_je_Aktie!A$3:AM$103,15,FALSE)/VLOOKUP(A71,Ergebnis_je_Aktie_verwässert!A$3:AK$103,15,FALSE))),""),"")</f>
        <v>#N/A</v>
      </c>
      <c r="P71" s="5" t="e">
        <f>IF(VLOOKUP(A71,Dividende_je_Aktie!A$3:AM$103,16,FALSE)&lt;&gt;"",IF(VLOOKUP(A71,Ergebnis_je_Aktie_verwässert!A$3:AK$103,16,FALSE)&lt;&gt;"",IF(VLOOKUP(A71,Ergebnis_je_Aktie_verwässert!A$3:AK$103,16,FALSE)&lt;=0,2,IF(VLOOKUP(A71,Dividende_je_Aktie!A$3:AM$103,16,FALSE)/VLOOKUP(A71,Ergebnis_je_Aktie_verwässert!A$3:AK$103,16,FALSE)&gt;=2,2,VLOOKUP(A71,Dividende_je_Aktie!A$3:AM$103,16,FALSE)/VLOOKUP(A71,Ergebnis_je_Aktie_verwässert!A$3:AK$103,16,FALSE))),""),"")</f>
        <v>#N/A</v>
      </c>
      <c r="Q71" s="5" t="e">
        <f>IF(VLOOKUP(A71,Dividende_je_Aktie!A$3:AM$103,17,FALSE)&lt;&gt;"",IF(VLOOKUP(A71,Ergebnis_je_Aktie_verwässert!A$3:AK$103,17,FALSE)&lt;&gt;"",IF(VLOOKUP(A71,Ergebnis_je_Aktie_verwässert!A$3:AK$103,17,FALSE)&lt;=0,2,IF(VLOOKUP(A71,Dividende_je_Aktie!A$3:AM$103,17,FALSE)/VLOOKUP(A71,Ergebnis_je_Aktie_verwässert!A$3:AK$103,17,FALSE)&gt;=2,2,VLOOKUP(A71,Dividende_je_Aktie!A$3:AM$103,17,FALSE)/VLOOKUP(A71,Ergebnis_je_Aktie_verwässert!A$3:AK$103,17,FALSE))),""),"")</f>
        <v>#N/A</v>
      </c>
      <c r="R71" s="5" t="e">
        <f>IF(VLOOKUP(A71,Dividende_je_Aktie!A$3:AM$103,18,FALSE)&lt;&gt;"",IF(VLOOKUP(A71,Ergebnis_je_Aktie_verwässert!A$3:AK$103,18,FALSE)&lt;&gt;"",IF(VLOOKUP(A71,Ergebnis_je_Aktie_verwässert!A$3:AK$103,18,FALSE)&lt;=0,2,IF(VLOOKUP(A71,Dividende_je_Aktie!A$3:AM$103,18,FALSE)/VLOOKUP(A71,Ergebnis_je_Aktie_verwässert!A$3:AK$103,18,FALSE)&gt;=2,2,VLOOKUP(A71,Dividende_je_Aktie!A$3:AM$103,18,FALSE)/VLOOKUP(A71,Ergebnis_je_Aktie_verwässert!A$3:AK$103,18,FALSE))),""),"")</f>
        <v>#N/A</v>
      </c>
      <c r="S71" s="10" t="e">
        <f t="shared" si="6"/>
        <v>#N/A</v>
      </c>
      <c r="T71" s="4">
        <f t="shared" ca="1" si="7"/>
        <v>41553</v>
      </c>
      <c r="U71" s="4">
        <f t="shared" ca="1" si="8"/>
        <v>-41193</v>
      </c>
      <c r="V71" s="4" t="e">
        <f t="shared" ca="1" si="9"/>
        <v>#NUM!</v>
      </c>
      <c r="W71" s="10" t="e">
        <f t="shared" ca="1" si="10"/>
        <v>#N/A</v>
      </c>
      <c r="X71" s="5" t="e">
        <f t="shared" ca="1" si="11"/>
        <v>#N/A</v>
      </c>
    </row>
    <row r="72" spans="1:24" x14ac:dyDescent="0.25">
      <c r="C72" s="56"/>
      <c r="D72" s="56"/>
      <c r="E72" s="56"/>
      <c r="F72" s="5" t="e">
        <f>IF(VLOOKUP(A72,Dividende_je_Aktie!A$3:AM$103,6,FALSE)&lt;&gt;"",IF(VLOOKUP(A72,Ergebnis_je_Aktie_verwässert!A$3:AK$103,6,FALSE)&lt;&gt;"",IF(VLOOKUP(A72,Ergebnis_je_Aktie_verwässert!A$3:AK$103,6,FALSE)&lt;=0,2,IF(VLOOKUP(A72,Dividende_je_Aktie!A$3:AM$103,6,FALSE)/VLOOKUP(A72,Ergebnis_je_Aktie_verwässert!A$3:AK$103,6,FALSE)&gt;=2,2,VLOOKUP(A72,Dividende_je_Aktie!A$3:AM$103,6,FALSE)/VLOOKUP(A72,Ergebnis_je_Aktie_verwässert!A$3:AK$103,6,FALSE))),""),"")</f>
        <v>#N/A</v>
      </c>
      <c r="G72" s="5" t="e">
        <f>IF(VLOOKUP(A72,Dividende_je_Aktie!A$3:AM$103,7,FALSE)&lt;&gt;"",IF(VLOOKUP(A72,Ergebnis_je_Aktie_verwässert!A$3:AK$103,7,FALSE)&lt;&gt;"",IF(VLOOKUP(A72,Ergebnis_je_Aktie_verwässert!A$3:AK$103,7,FALSE)&lt;=0,2,IF(VLOOKUP(A72,Dividende_je_Aktie!A$3:AM$103,7,FALSE)/VLOOKUP(A72,Ergebnis_je_Aktie_verwässert!A$3:AK$103,7,FALSE)&gt;=2,2,VLOOKUP(A72,Dividende_je_Aktie!A$3:AM$103,7,FALSE)/VLOOKUP(A72,Ergebnis_je_Aktie_verwässert!A$3:AK$103,7,FALSE))),""),"")</f>
        <v>#N/A</v>
      </c>
      <c r="H72" s="5" t="e">
        <f>IF(VLOOKUP(A72,Dividende_je_Aktie!A$3:AM$103,8,FALSE)&lt;&gt;"",IF(VLOOKUP(A72,Ergebnis_je_Aktie_verwässert!A$3:AK$103,8,FALSE)&lt;&gt;"",IF(VLOOKUP(A72,Ergebnis_je_Aktie_verwässert!A$3:AK$103,8,FALSE)&lt;=0,2,IF(VLOOKUP(A72,Dividende_je_Aktie!A$3:AM$103,8,FALSE)/VLOOKUP(A72,Ergebnis_je_Aktie_verwässert!A$3:AK$103,8,FALSE)&gt;=2,2,VLOOKUP(A72,Dividende_je_Aktie!A$3:AM$103,8,FALSE)/VLOOKUP(A72,Ergebnis_je_Aktie_verwässert!A$3:AK$103,8,FALSE))),""),"")</f>
        <v>#N/A</v>
      </c>
      <c r="I72" s="5" t="e">
        <f>IF(VLOOKUP(A72,Dividende_je_Aktie!A$3:AM$103,9,FALSE)&lt;&gt;"",IF(VLOOKUP(A72,Ergebnis_je_Aktie_verwässert!A$3:AK$103,9,FALSE)&lt;&gt;"",IF(VLOOKUP(A72,Ergebnis_je_Aktie_verwässert!A$3:AK$103,9,FALSE)&lt;=0,2,IF(VLOOKUP(A72,Dividende_je_Aktie!A$3:AM$103,9,FALSE)/VLOOKUP(A72,Ergebnis_je_Aktie_verwässert!A$3:AK$103,9,FALSE)&gt;=2,2,VLOOKUP(A72,Dividende_je_Aktie!A$3:AM$103,9,FALSE)/VLOOKUP(A72,Ergebnis_je_Aktie_verwässert!A$3:AK$103,9,FALSE))),""),"")</f>
        <v>#N/A</v>
      </c>
      <c r="J72" s="5" t="e">
        <f>IF(VLOOKUP(A72,Dividende_je_Aktie!A$3:AM$103,10,FALSE)&lt;&gt;"",IF(VLOOKUP(A72,Ergebnis_je_Aktie_verwässert!A$3:AK$103,10,FALSE)&lt;&gt;"",IF(VLOOKUP(A72,Ergebnis_je_Aktie_verwässert!A$3:AK$103,10,FALSE)&lt;=0,2,IF(VLOOKUP(A72,Dividende_je_Aktie!A$3:AM$103,10,FALSE)/VLOOKUP(A72,Ergebnis_je_Aktie_verwässert!A$3:AK$103,10,FALSE)&gt;=2,2,VLOOKUP(A72,Dividende_je_Aktie!A$3:AM$103,10,FALSE)/VLOOKUP(A72,Ergebnis_je_Aktie_verwässert!A$3:AK$103,10,FALSE))),""),"")</f>
        <v>#N/A</v>
      </c>
      <c r="K72" s="5" t="e">
        <f>IF(VLOOKUP(A72,Dividende_je_Aktie!A$3:AM$103,11,FALSE)&lt;&gt;"",IF(VLOOKUP(A72,Ergebnis_je_Aktie_verwässert!A$3:AK$103,11,FALSE)&lt;&gt;"",IF(VLOOKUP(A72,Ergebnis_je_Aktie_verwässert!A$3:AK$103,11,FALSE)&lt;=0,2,IF(VLOOKUP(A72,Dividende_je_Aktie!A$3:AM$103,11,FALSE)/VLOOKUP(A72,Ergebnis_je_Aktie_verwässert!A$3:AK$103,11,FALSE)&gt;=2,2,VLOOKUP(A72,Dividende_je_Aktie!A$3:AM$103,11,FALSE)/VLOOKUP(A72,Ergebnis_je_Aktie_verwässert!A$3:AK$103,11,FALSE))),""),"")</f>
        <v>#N/A</v>
      </c>
      <c r="L72" s="5" t="e">
        <f>IF(VLOOKUP(A72,Dividende_je_Aktie!A$3:AM$103,12,FALSE)&lt;&gt;"",IF(VLOOKUP(A72,Ergebnis_je_Aktie_verwässert!A$3:AK$103,12,FALSE)&lt;&gt;"",IF(VLOOKUP(A72,Ergebnis_je_Aktie_verwässert!A$3:AK$103,12,FALSE)&lt;=0,2,IF(VLOOKUP(A72,Dividende_je_Aktie!A$3:AM$103,12,FALSE)/VLOOKUP(A72,Ergebnis_je_Aktie_verwässert!A$3:AK$103,12,FALSE)&gt;=2,2,VLOOKUP(A72,Dividende_je_Aktie!A$3:AM$103,12,FALSE)/VLOOKUP(A72,Ergebnis_je_Aktie_verwässert!A$3:AK$103,12,FALSE))),""),"")</f>
        <v>#N/A</v>
      </c>
      <c r="M72" s="5" t="e">
        <f>IF(VLOOKUP(A72,Dividende_je_Aktie!A$3:AM$103,13,FALSE)&lt;&gt;"",IF(VLOOKUP(A72,Ergebnis_je_Aktie_verwässert!A$3:AK$103,13,FALSE)&lt;&gt;"",IF(VLOOKUP(A72,Ergebnis_je_Aktie_verwässert!A$3:AK$103,13,FALSE)&lt;=0,2,IF(VLOOKUP(A72,Dividende_je_Aktie!A$3:AM$103,13,FALSE)/VLOOKUP(A72,Ergebnis_je_Aktie_verwässert!A$3:AK$103,13,FALSE)&gt;=2,2,VLOOKUP(A72,Dividende_je_Aktie!A$3:AM$103,13,FALSE)/VLOOKUP(A72,Ergebnis_je_Aktie_verwässert!A$3:AK$103,13,FALSE))),""),"")</f>
        <v>#N/A</v>
      </c>
      <c r="N72" s="5" t="e">
        <f>IF(VLOOKUP(A72,Dividende_je_Aktie!A$3:AM$103,14,FALSE)&lt;&gt;"",IF(VLOOKUP(A72,Ergebnis_je_Aktie_verwässert!A$3:AK$103,14,FALSE)&lt;&gt;"",IF(VLOOKUP(A72,Ergebnis_je_Aktie_verwässert!A$3:AK$103,14,FALSE)&lt;=0,2,IF(VLOOKUP(A72,Dividende_je_Aktie!A$3:AM$103,14,FALSE)/VLOOKUP(A72,Ergebnis_je_Aktie_verwässert!A$3:AK$103,14,FALSE)&gt;=2,2,VLOOKUP(A72,Dividende_je_Aktie!A$3:AM$103,14,FALSE)/VLOOKUP(A72,Ergebnis_je_Aktie_verwässert!A$3:AK$103,14,FALSE))),""),"")</f>
        <v>#N/A</v>
      </c>
      <c r="O72" s="5" t="e">
        <f>IF(VLOOKUP(A72,Dividende_je_Aktie!A$3:AM$103,15,FALSE)&lt;&gt;"",IF(VLOOKUP(A72,Ergebnis_je_Aktie_verwässert!A$3:AK$103,15,FALSE)&lt;&gt;"",IF(VLOOKUP(A72,Ergebnis_je_Aktie_verwässert!A$3:AK$103,15,FALSE)&lt;=0,2,IF(VLOOKUP(A72,Dividende_je_Aktie!A$3:AM$103,15,FALSE)/VLOOKUP(A72,Ergebnis_je_Aktie_verwässert!A$3:AK$103,15,FALSE)&gt;=2,2,VLOOKUP(A72,Dividende_je_Aktie!A$3:AM$103,15,FALSE)/VLOOKUP(A72,Ergebnis_je_Aktie_verwässert!A$3:AK$103,15,FALSE))),""),"")</f>
        <v>#N/A</v>
      </c>
      <c r="P72" s="5" t="e">
        <f>IF(VLOOKUP(A72,Dividende_je_Aktie!A$3:AM$103,16,FALSE)&lt;&gt;"",IF(VLOOKUP(A72,Ergebnis_je_Aktie_verwässert!A$3:AK$103,16,FALSE)&lt;&gt;"",IF(VLOOKUP(A72,Ergebnis_je_Aktie_verwässert!A$3:AK$103,16,FALSE)&lt;=0,2,IF(VLOOKUP(A72,Dividende_je_Aktie!A$3:AM$103,16,FALSE)/VLOOKUP(A72,Ergebnis_je_Aktie_verwässert!A$3:AK$103,16,FALSE)&gt;=2,2,VLOOKUP(A72,Dividende_je_Aktie!A$3:AM$103,16,FALSE)/VLOOKUP(A72,Ergebnis_je_Aktie_verwässert!A$3:AK$103,16,FALSE))),""),"")</f>
        <v>#N/A</v>
      </c>
      <c r="Q72" s="5" t="e">
        <f>IF(VLOOKUP(A72,Dividende_je_Aktie!A$3:AM$103,17,FALSE)&lt;&gt;"",IF(VLOOKUP(A72,Ergebnis_je_Aktie_verwässert!A$3:AK$103,17,FALSE)&lt;&gt;"",IF(VLOOKUP(A72,Ergebnis_je_Aktie_verwässert!A$3:AK$103,17,FALSE)&lt;=0,2,IF(VLOOKUP(A72,Dividende_je_Aktie!A$3:AM$103,17,FALSE)/VLOOKUP(A72,Ergebnis_je_Aktie_verwässert!A$3:AK$103,17,FALSE)&gt;=2,2,VLOOKUP(A72,Dividende_je_Aktie!A$3:AM$103,17,FALSE)/VLOOKUP(A72,Ergebnis_je_Aktie_verwässert!A$3:AK$103,17,FALSE))),""),"")</f>
        <v>#N/A</v>
      </c>
      <c r="R72" s="5" t="e">
        <f>IF(VLOOKUP(A72,Dividende_je_Aktie!A$3:AM$103,18,FALSE)&lt;&gt;"",IF(VLOOKUP(A72,Ergebnis_je_Aktie_verwässert!A$3:AK$103,18,FALSE)&lt;&gt;"",IF(VLOOKUP(A72,Ergebnis_je_Aktie_verwässert!A$3:AK$103,18,FALSE)&lt;=0,2,IF(VLOOKUP(A72,Dividende_je_Aktie!A$3:AM$103,18,FALSE)/VLOOKUP(A72,Ergebnis_je_Aktie_verwässert!A$3:AK$103,18,FALSE)&gt;=2,2,VLOOKUP(A72,Dividende_je_Aktie!A$3:AM$103,18,FALSE)/VLOOKUP(A72,Ergebnis_je_Aktie_verwässert!A$3:AK$103,18,FALSE))),""),"")</f>
        <v>#N/A</v>
      </c>
      <c r="S72" s="10" t="e">
        <f t="shared" si="6"/>
        <v>#N/A</v>
      </c>
      <c r="T72" s="4">
        <f t="shared" ca="1" si="7"/>
        <v>41553</v>
      </c>
      <c r="U72" s="4">
        <f t="shared" ca="1" si="8"/>
        <v>-41193</v>
      </c>
      <c r="V72" s="4" t="e">
        <f t="shared" ca="1" si="9"/>
        <v>#NUM!</v>
      </c>
      <c r="W72" s="10" t="e">
        <f t="shared" ca="1" si="10"/>
        <v>#N/A</v>
      </c>
      <c r="X72" s="5" t="e">
        <f t="shared" ca="1" si="11"/>
        <v>#N/A</v>
      </c>
    </row>
    <row r="73" spans="1:24" x14ac:dyDescent="0.25">
      <c r="C73" s="56"/>
      <c r="D73" s="56"/>
      <c r="E73" s="56"/>
      <c r="F73" s="5" t="e">
        <f>IF(VLOOKUP(A73,Dividende_je_Aktie!A$3:AM$103,6,FALSE)&lt;&gt;"",IF(VLOOKUP(A73,Ergebnis_je_Aktie_verwässert!A$3:AK$103,6,FALSE)&lt;&gt;"",IF(VLOOKUP(A73,Ergebnis_je_Aktie_verwässert!A$3:AK$103,6,FALSE)&lt;=0,2,IF(VLOOKUP(A73,Dividende_je_Aktie!A$3:AM$103,6,FALSE)/VLOOKUP(A73,Ergebnis_je_Aktie_verwässert!A$3:AK$103,6,FALSE)&gt;=2,2,VLOOKUP(A73,Dividende_je_Aktie!A$3:AM$103,6,FALSE)/VLOOKUP(A73,Ergebnis_je_Aktie_verwässert!A$3:AK$103,6,FALSE))),""),"")</f>
        <v>#N/A</v>
      </c>
      <c r="G73" s="5" t="e">
        <f>IF(VLOOKUP(A73,Dividende_je_Aktie!A$3:AM$103,7,FALSE)&lt;&gt;"",IF(VLOOKUP(A73,Ergebnis_je_Aktie_verwässert!A$3:AK$103,7,FALSE)&lt;&gt;"",IF(VLOOKUP(A73,Ergebnis_je_Aktie_verwässert!A$3:AK$103,7,FALSE)&lt;=0,2,IF(VLOOKUP(A73,Dividende_je_Aktie!A$3:AM$103,7,FALSE)/VLOOKUP(A73,Ergebnis_je_Aktie_verwässert!A$3:AK$103,7,FALSE)&gt;=2,2,VLOOKUP(A73,Dividende_je_Aktie!A$3:AM$103,7,FALSE)/VLOOKUP(A73,Ergebnis_je_Aktie_verwässert!A$3:AK$103,7,FALSE))),""),"")</f>
        <v>#N/A</v>
      </c>
      <c r="H73" s="5" t="e">
        <f>IF(VLOOKUP(A73,Dividende_je_Aktie!A$3:AM$103,8,FALSE)&lt;&gt;"",IF(VLOOKUP(A73,Ergebnis_je_Aktie_verwässert!A$3:AK$103,8,FALSE)&lt;&gt;"",IF(VLOOKUP(A73,Ergebnis_je_Aktie_verwässert!A$3:AK$103,8,FALSE)&lt;=0,2,IF(VLOOKUP(A73,Dividende_je_Aktie!A$3:AM$103,8,FALSE)/VLOOKUP(A73,Ergebnis_je_Aktie_verwässert!A$3:AK$103,8,FALSE)&gt;=2,2,VLOOKUP(A73,Dividende_je_Aktie!A$3:AM$103,8,FALSE)/VLOOKUP(A73,Ergebnis_je_Aktie_verwässert!A$3:AK$103,8,FALSE))),""),"")</f>
        <v>#N/A</v>
      </c>
      <c r="I73" s="5" t="e">
        <f>IF(VLOOKUP(A73,Dividende_je_Aktie!A$3:AM$103,9,FALSE)&lt;&gt;"",IF(VLOOKUP(A73,Ergebnis_je_Aktie_verwässert!A$3:AK$103,9,FALSE)&lt;&gt;"",IF(VLOOKUP(A73,Ergebnis_je_Aktie_verwässert!A$3:AK$103,9,FALSE)&lt;=0,2,IF(VLOOKUP(A73,Dividende_je_Aktie!A$3:AM$103,9,FALSE)/VLOOKUP(A73,Ergebnis_je_Aktie_verwässert!A$3:AK$103,9,FALSE)&gt;=2,2,VLOOKUP(A73,Dividende_je_Aktie!A$3:AM$103,9,FALSE)/VLOOKUP(A73,Ergebnis_je_Aktie_verwässert!A$3:AK$103,9,FALSE))),""),"")</f>
        <v>#N/A</v>
      </c>
      <c r="J73" s="5" t="e">
        <f>IF(VLOOKUP(A73,Dividende_je_Aktie!A$3:AM$103,10,FALSE)&lt;&gt;"",IF(VLOOKUP(A73,Ergebnis_je_Aktie_verwässert!A$3:AK$103,10,FALSE)&lt;&gt;"",IF(VLOOKUP(A73,Ergebnis_je_Aktie_verwässert!A$3:AK$103,10,FALSE)&lt;=0,2,IF(VLOOKUP(A73,Dividende_je_Aktie!A$3:AM$103,10,FALSE)/VLOOKUP(A73,Ergebnis_je_Aktie_verwässert!A$3:AK$103,10,FALSE)&gt;=2,2,VLOOKUP(A73,Dividende_je_Aktie!A$3:AM$103,10,FALSE)/VLOOKUP(A73,Ergebnis_je_Aktie_verwässert!A$3:AK$103,10,FALSE))),""),"")</f>
        <v>#N/A</v>
      </c>
      <c r="K73" s="5" t="e">
        <f>IF(VLOOKUP(A73,Dividende_je_Aktie!A$3:AM$103,11,FALSE)&lt;&gt;"",IF(VLOOKUP(A73,Ergebnis_je_Aktie_verwässert!A$3:AK$103,11,FALSE)&lt;&gt;"",IF(VLOOKUP(A73,Ergebnis_je_Aktie_verwässert!A$3:AK$103,11,FALSE)&lt;=0,2,IF(VLOOKUP(A73,Dividende_je_Aktie!A$3:AM$103,11,FALSE)/VLOOKUP(A73,Ergebnis_je_Aktie_verwässert!A$3:AK$103,11,FALSE)&gt;=2,2,VLOOKUP(A73,Dividende_je_Aktie!A$3:AM$103,11,FALSE)/VLOOKUP(A73,Ergebnis_je_Aktie_verwässert!A$3:AK$103,11,FALSE))),""),"")</f>
        <v>#N/A</v>
      </c>
      <c r="L73" s="5" t="e">
        <f>IF(VLOOKUP(A73,Dividende_je_Aktie!A$3:AM$103,12,FALSE)&lt;&gt;"",IF(VLOOKUP(A73,Ergebnis_je_Aktie_verwässert!A$3:AK$103,12,FALSE)&lt;&gt;"",IF(VLOOKUP(A73,Ergebnis_je_Aktie_verwässert!A$3:AK$103,12,FALSE)&lt;=0,2,IF(VLOOKUP(A73,Dividende_je_Aktie!A$3:AM$103,12,FALSE)/VLOOKUP(A73,Ergebnis_je_Aktie_verwässert!A$3:AK$103,12,FALSE)&gt;=2,2,VLOOKUP(A73,Dividende_je_Aktie!A$3:AM$103,12,FALSE)/VLOOKUP(A73,Ergebnis_je_Aktie_verwässert!A$3:AK$103,12,FALSE))),""),"")</f>
        <v>#N/A</v>
      </c>
      <c r="M73" s="5" t="e">
        <f>IF(VLOOKUP(A73,Dividende_je_Aktie!A$3:AM$103,13,FALSE)&lt;&gt;"",IF(VLOOKUP(A73,Ergebnis_je_Aktie_verwässert!A$3:AK$103,13,FALSE)&lt;&gt;"",IF(VLOOKUP(A73,Ergebnis_je_Aktie_verwässert!A$3:AK$103,13,FALSE)&lt;=0,2,IF(VLOOKUP(A73,Dividende_je_Aktie!A$3:AM$103,13,FALSE)/VLOOKUP(A73,Ergebnis_je_Aktie_verwässert!A$3:AK$103,13,FALSE)&gt;=2,2,VLOOKUP(A73,Dividende_je_Aktie!A$3:AM$103,13,FALSE)/VLOOKUP(A73,Ergebnis_je_Aktie_verwässert!A$3:AK$103,13,FALSE))),""),"")</f>
        <v>#N/A</v>
      </c>
      <c r="N73" s="5" t="e">
        <f>IF(VLOOKUP(A73,Dividende_je_Aktie!A$3:AM$103,14,FALSE)&lt;&gt;"",IF(VLOOKUP(A73,Ergebnis_je_Aktie_verwässert!A$3:AK$103,14,FALSE)&lt;&gt;"",IF(VLOOKUP(A73,Ergebnis_je_Aktie_verwässert!A$3:AK$103,14,FALSE)&lt;=0,2,IF(VLOOKUP(A73,Dividende_je_Aktie!A$3:AM$103,14,FALSE)/VLOOKUP(A73,Ergebnis_je_Aktie_verwässert!A$3:AK$103,14,FALSE)&gt;=2,2,VLOOKUP(A73,Dividende_je_Aktie!A$3:AM$103,14,FALSE)/VLOOKUP(A73,Ergebnis_je_Aktie_verwässert!A$3:AK$103,14,FALSE))),""),"")</f>
        <v>#N/A</v>
      </c>
      <c r="O73" s="5" t="e">
        <f>IF(VLOOKUP(A73,Dividende_je_Aktie!A$3:AM$103,15,FALSE)&lt;&gt;"",IF(VLOOKUP(A73,Ergebnis_je_Aktie_verwässert!A$3:AK$103,15,FALSE)&lt;&gt;"",IF(VLOOKUP(A73,Ergebnis_je_Aktie_verwässert!A$3:AK$103,15,FALSE)&lt;=0,2,IF(VLOOKUP(A73,Dividende_je_Aktie!A$3:AM$103,15,FALSE)/VLOOKUP(A73,Ergebnis_je_Aktie_verwässert!A$3:AK$103,15,FALSE)&gt;=2,2,VLOOKUP(A73,Dividende_je_Aktie!A$3:AM$103,15,FALSE)/VLOOKUP(A73,Ergebnis_je_Aktie_verwässert!A$3:AK$103,15,FALSE))),""),"")</f>
        <v>#N/A</v>
      </c>
      <c r="P73" s="5" t="e">
        <f>IF(VLOOKUP(A73,Dividende_je_Aktie!A$3:AM$103,16,FALSE)&lt;&gt;"",IF(VLOOKUP(A73,Ergebnis_je_Aktie_verwässert!A$3:AK$103,16,FALSE)&lt;&gt;"",IF(VLOOKUP(A73,Ergebnis_je_Aktie_verwässert!A$3:AK$103,16,FALSE)&lt;=0,2,IF(VLOOKUP(A73,Dividende_je_Aktie!A$3:AM$103,16,FALSE)/VLOOKUP(A73,Ergebnis_je_Aktie_verwässert!A$3:AK$103,16,FALSE)&gt;=2,2,VLOOKUP(A73,Dividende_je_Aktie!A$3:AM$103,16,FALSE)/VLOOKUP(A73,Ergebnis_je_Aktie_verwässert!A$3:AK$103,16,FALSE))),""),"")</f>
        <v>#N/A</v>
      </c>
      <c r="Q73" s="5" t="e">
        <f>IF(VLOOKUP(A73,Dividende_je_Aktie!A$3:AM$103,17,FALSE)&lt;&gt;"",IF(VLOOKUP(A73,Ergebnis_je_Aktie_verwässert!A$3:AK$103,17,FALSE)&lt;&gt;"",IF(VLOOKUP(A73,Ergebnis_je_Aktie_verwässert!A$3:AK$103,17,FALSE)&lt;=0,2,IF(VLOOKUP(A73,Dividende_je_Aktie!A$3:AM$103,17,FALSE)/VLOOKUP(A73,Ergebnis_je_Aktie_verwässert!A$3:AK$103,17,FALSE)&gt;=2,2,VLOOKUP(A73,Dividende_je_Aktie!A$3:AM$103,17,FALSE)/VLOOKUP(A73,Ergebnis_je_Aktie_verwässert!A$3:AK$103,17,FALSE))),""),"")</f>
        <v>#N/A</v>
      </c>
      <c r="R73" s="5" t="e">
        <f>IF(VLOOKUP(A73,Dividende_je_Aktie!A$3:AM$103,18,FALSE)&lt;&gt;"",IF(VLOOKUP(A73,Ergebnis_je_Aktie_verwässert!A$3:AK$103,18,FALSE)&lt;&gt;"",IF(VLOOKUP(A73,Ergebnis_je_Aktie_verwässert!A$3:AK$103,18,FALSE)&lt;=0,2,IF(VLOOKUP(A73,Dividende_je_Aktie!A$3:AM$103,18,FALSE)/VLOOKUP(A73,Ergebnis_je_Aktie_verwässert!A$3:AK$103,18,FALSE)&gt;=2,2,VLOOKUP(A73,Dividende_je_Aktie!A$3:AM$103,18,FALSE)/VLOOKUP(A73,Ergebnis_je_Aktie_verwässert!A$3:AK$103,18,FALSE))),""),"")</f>
        <v>#N/A</v>
      </c>
      <c r="S73" s="10" t="e">
        <f t="shared" si="6"/>
        <v>#N/A</v>
      </c>
      <c r="T73" s="4">
        <f t="shared" ca="1" si="7"/>
        <v>41553</v>
      </c>
      <c r="U73" s="4">
        <f t="shared" ca="1" si="8"/>
        <v>-41193</v>
      </c>
      <c r="V73" s="4" t="e">
        <f t="shared" ca="1" si="9"/>
        <v>#NUM!</v>
      </c>
      <c r="W73" s="10" t="e">
        <f t="shared" ca="1" si="10"/>
        <v>#N/A</v>
      </c>
      <c r="X73" s="5" t="e">
        <f t="shared" ca="1" si="11"/>
        <v>#N/A</v>
      </c>
    </row>
    <row r="74" spans="1:24" x14ac:dyDescent="0.25">
      <c r="C74" s="56"/>
      <c r="D74" s="56"/>
      <c r="E74" s="56"/>
      <c r="F74" s="5" t="e">
        <f>IF(VLOOKUP(A74,Dividende_je_Aktie!A$3:AM$103,6,FALSE)&lt;&gt;"",IF(VLOOKUP(A74,Ergebnis_je_Aktie_verwässert!A$3:AK$103,6,FALSE)&lt;&gt;"",IF(VLOOKUP(A74,Ergebnis_je_Aktie_verwässert!A$3:AK$103,6,FALSE)&lt;=0,2,IF(VLOOKUP(A74,Dividende_je_Aktie!A$3:AM$103,6,FALSE)/VLOOKUP(A74,Ergebnis_je_Aktie_verwässert!A$3:AK$103,6,FALSE)&gt;=2,2,VLOOKUP(A74,Dividende_je_Aktie!A$3:AM$103,6,FALSE)/VLOOKUP(A74,Ergebnis_je_Aktie_verwässert!A$3:AK$103,6,FALSE))),""),"")</f>
        <v>#N/A</v>
      </c>
      <c r="G74" s="5" t="e">
        <f>IF(VLOOKUP(A74,Dividende_je_Aktie!A$3:AM$103,7,FALSE)&lt;&gt;"",IF(VLOOKUP(A74,Ergebnis_je_Aktie_verwässert!A$3:AK$103,7,FALSE)&lt;&gt;"",IF(VLOOKUP(A74,Ergebnis_je_Aktie_verwässert!A$3:AK$103,7,FALSE)&lt;=0,2,IF(VLOOKUP(A74,Dividende_je_Aktie!A$3:AM$103,7,FALSE)/VLOOKUP(A74,Ergebnis_je_Aktie_verwässert!A$3:AK$103,7,FALSE)&gt;=2,2,VLOOKUP(A74,Dividende_je_Aktie!A$3:AM$103,7,FALSE)/VLOOKUP(A74,Ergebnis_je_Aktie_verwässert!A$3:AK$103,7,FALSE))),""),"")</f>
        <v>#N/A</v>
      </c>
      <c r="H74" s="5" t="e">
        <f>IF(VLOOKUP(A74,Dividende_je_Aktie!A$3:AM$103,8,FALSE)&lt;&gt;"",IF(VLOOKUP(A74,Ergebnis_je_Aktie_verwässert!A$3:AK$103,8,FALSE)&lt;&gt;"",IF(VLOOKUP(A74,Ergebnis_je_Aktie_verwässert!A$3:AK$103,8,FALSE)&lt;=0,2,IF(VLOOKUP(A74,Dividende_je_Aktie!A$3:AM$103,8,FALSE)/VLOOKUP(A74,Ergebnis_je_Aktie_verwässert!A$3:AK$103,8,FALSE)&gt;=2,2,VLOOKUP(A74,Dividende_je_Aktie!A$3:AM$103,8,FALSE)/VLOOKUP(A74,Ergebnis_je_Aktie_verwässert!A$3:AK$103,8,FALSE))),""),"")</f>
        <v>#N/A</v>
      </c>
      <c r="I74" s="5" t="e">
        <f>IF(VLOOKUP(A74,Dividende_je_Aktie!A$3:AM$103,9,FALSE)&lt;&gt;"",IF(VLOOKUP(A74,Ergebnis_je_Aktie_verwässert!A$3:AK$103,9,FALSE)&lt;&gt;"",IF(VLOOKUP(A74,Ergebnis_je_Aktie_verwässert!A$3:AK$103,9,FALSE)&lt;=0,2,IF(VLOOKUP(A74,Dividende_je_Aktie!A$3:AM$103,9,FALSE)/VLOOKUP(A74,Ergebnis_je_Aktie_verwässert!A$3:AK$103,9,FALSE)&gt;=2,2,VLOOKUP(A74,Dividende_je_Aktie!A$3:AM$103,9,FALSE)/VLOOKUP(A74,Ergebnis_je_Aktie_verwässert!A$3:AK$103,9,FALSE))),""),"")</f>
        <v>#N/A</v>
      </c>
      <c r="J74" s="5" t="e">
        <f>IF(VLOOKUP(A74,Dividende_je_Aktie!A$3:AM$103,10,FALSE)&lt;&gt;"",IF(VLOOKUP(A74,Ergebnis_je_Aktie_verwässert!A$3:AK$103,10,FALSE)&lt;&gt;"",IF(VLOOKUP(A74,Ergebnis_je_Aktie_verwässert!A$3:AK$103,10,FALSE)&lt;=0,2,IF(VLOOKUP(A74,Dividende_je_Aktie!A$3:AM$103,10,FALSE)/VLOOKUP(A74,Ergebnis_je_Aktie_verwässert!A$3:AK$103,10,FALSE)&gt;=2,2,VLOOKUP(A74,Dividende_je_Aktie!A$3:AM$103,10,FALSE)/VLOOKUP(A74,Ergebnis_je_Aktie_verwässert!A$3:AK$103,10,FALSE))),""),"")</f>
        <v>#N/A</v>
      </c>
      <c r="K74" s="5" t="e">
        <f>IF(VLOOKUP(A74,Dividende_je_Aktie!A$3:AM$103,11,FALSE)&lt;&gt;"",IF(VLOOKUP(A74,Ergebnis_je_Aktie_verwässert!A$3:AK$103,11,FALSE)&lt;&gt;"",IF(VLOOKUP(A74,Ergebnis_je_Aktie_verwässert!A$3:AK$103,11,FALSE)&lt;=0,2,IF(VLOOKUP(A74,Dividende_je_Aktie!A$3:AM$103,11,FALSE)/VLOOKUP(A74,Ergebnis_je_Aktie_verwässert!A$3:AK$103,11,FALSE)&gt;=2,2,VLOOKUP(A74,Dividende_je_Aktie!A$3:AM$103,11,FALSE)/VLOOKUP(A74,Ergebnis_je_Aktie_verwässert!A$3:AK$103,11,FALSE))),""),"")</f>
        <v>#N/A</v>
      </c>
      <c r="L74" s="5" t="e">
        <f>IF(VLOOKUP(A74,Dividende_je_Aktie!A$3:AM$103,12,FALSE)&lt;&gt;"",IF(VLOOKUP(A74,Ergebnis_je_Aktie_verwässert!A$3:AK$103,12,FALSE)&lt;&gt;"",IF(VLOOKUP(A74,Ergebnis_je_Aktie_verwässert!A$3:AK$103,12,FALSE)&lt;=0,2,IF(VLOOKUP(A74,Dividende_je_Aktie!A$3:AM$103,12,FALSE)/VLOOKUP(A74,Ergebnis_je_Aktie_verwässert!A$3:AK$103,12,FALSE)&gt;=2,2,VLOOKUP(A74,Dividende_je_Aktie!A$3:AM$103,12,FALSE)/VLOOKUP(A74,Ergebnis_je_Aktie_verwässert!A$3:AK$103,12,FALSE))),""),"")</f>
        <v>#N/A</v>
      </c>
      <c r="M74" s="5" t="e">
        <f>IF(VLOOKUP(A74,Dividende_je_Aktie!A$3:AM$103,13,FALSE)&lt;&gt;"",IF(VLOOKUP(A74,Ergebnis_je_Aktie_verwässert!A$3:AK$103,13,FALSE)&lt;&gt;"",IF(VLOOKUP(A74,Ergebnis_je_Aktie_verwässert!A$3:AK$103,13,FALSE)&lt;=0,2,IF(VLOOKUP(A74,Dividende_je_Aktie!A$3:AM$103,13,FALSE)/VLOOKUP(A74,Ergebnis_je_Aktie_verwässert!A$3:AK$103,13,FALSE)&gt;=2,2,VLOOKUP(A74,Dividende_je_Aktie!A$3:AM$103,13,FALSE)/VLOOKUP(A74,Ergebnis_je_Aktie_verwässert!A$3:AK$103,13,FALSE))),""),"")</f>
        <v>#N/A</v>
      </c>
      <c r="N74" s="5" t="e">
        <f>IF(VLOOKUP(A74,Dividende_je_Aktie!A$3:AM$103,14,FALSE)&lt;&gt;"",IF(VLOOKUP(A74,Ergebnis_je_Aktie_verwässert!A$3:AK$103,14,FALSE)&lt;&gt;"",IF(VLOOKUP(A74,Ergebnis_je_Aktie_verwässert!A$3:AK$103,14,FALSE)&lt;=0,2,IF(VLOOKUP(A74,Dividende_je_Aktie!A$3:AM$103,14,FALSE)/VLOOKUP(A74,Ergebnis_je_Aktie_verwässert!A$3:AK$103,14,FALSE)&gt;=2,2,VLOOKUP(A74,Dividende_je_Aktie!A$3:AM$103,14,FALSE)/VLOOKUP(A74,Ergebnis_je_Aktie_verwässert!A$3:AK$103,14,FALSE))),""),"")</f>
        <v>#N/A</v>
      </c>
      <c r="O74" s="5" t="e">
        <f>IF(VLOOKUP(A74,Dividende_je_Aktie!A$3:AM$103,15,FALSE)&lt;&gt;"",IF(VLOOKUP(A74,Ergebnis_je_Aktie_verwässert!A$3:AK$103,15,FALSE)&lt;&gt;"",IF(VLOOKUP(A74,Ergebnis_je_Aktie_verwässert!A$3:AK$103,15,FALSE)&lt;=0,2,IF(VLOOKUP(A74,Dividende_je_Aktie!A$3:AM$103,15,FALSE)/VLOOKUP(A74,Ergebnis_je_Aktie_verwässert!A$3:AK$103,15,FALSE)&gt;=2,2,VLOOKUP(A74,Dividende_je_Aktie!A$3:AM$103,15,FALSE)/VLOOKUP(A74,Ergebnis_je_Aktie_verwässert!A$3:AK$103,15,FALSE))),""),"")</f>
        <v>#N/A</v>
      </c>
      <c r="P74" s="5" t="e">
        <f>IF(VLOOKUP(A74,Dividende_je_Aktie!A$3:AM$103,16,FALSE)&lt;&gt;"",IF(VLOOKUP(A74,Ergebnis_je_Aktie_verwässert!A$3:AK$103,16,FALSE)&lt;&gt;"",IF(VLOOKUP(A74,Ergebnis_je_Aktie_verwässert!A$3:AK$103,16,FALSE)&lt;=0,2,IF(VLOOKUP(A74,Dividende_je_Aktie!A$3:AM$103,16,FALSE)/VLOOKUP(A74,Ergebnis_je_Aktie_verwässert!A$3:AK$103,16,FALSE)&gt;=2,2,VLOOKUP(A74,Dividende_je_Aktie!A$3:AM$103,16,FALSE)/VLOOKUP(A74,Ergebnis_je_Aktie_verwässert!A$3:AK$103,16,FALSE))),""),"")</f>
        <v>#N/A</v>
      </c>
      <c r="Q74" s="5" t="e">
        <f>IF(VLOOKUP(A74,Dividende_je_Aktie!A$3:AM$103,17,FALSE)&lt;&gt;"",IF(VLOOKUP(A74,Ergebnis_je_Aktie_verwässert!A$3:AK$103,17,FALSE)&lt;&gt;"",IF(VLOOKUP(A74,Ergebnis_je_Aktie_verwässert!A$3:AK$103,17,FALSE)&lt;=0,2,IF(VLOOKUP(A74,Dividende_je_Aktie!A$3:AM$103,17,FALSE)/VLOOKUP(A74,Ergebnis_je_Aktie_verwässert!A$3:AK$103,17,FALSE)&gt;=2,2,VLOOKUP(A74,Dividende_je_Aktie!A$3:AM$103,17,FALSE)/VLOOKUP(A74,Ergebnis_je_Aktie_verwässert!A$3:AK$103,17,FALSE))),""),"")</f>
        <v>#N/A</v>
      </c>
      <c r="R74" s="5" t="e">
        <f>IF(VLOOKUP(A74,Dividende_je_Aktie!A$3:AM$103,18,FALSE)&lt;&gt;"",IF(VLOOKUP(A74,Ergebnis_je_Aktie_verwässert!A$3:AK$103,18,FALSE)&lt;&gt;"",IF(VLOOKUP(A74,Ergebnis_je_Aktie_verwässert!A$3:AK$103,18,FALSE)&lt;=0,2,IF(VLOOKUP(A74,Dividende_je_Aktie!A$3:AM$103,18,FALSE)/VLOOKUP(A74,Ergebnis_je_Aktie_verwässert!A$3:AK$103,18,FALSE)&gt;=2,2,VLOOKUP(A74,Dividende_je_Aktie!A$3:AM$103,18,FALSE)/VLOOKUP(A74,Ergebnis_je_Aktie_verwässert!A$3:AK$103,18,FALSE))),""),"")</f>
        <v>#N/A</v>
      </c>
      <c r="S74" s="10" t="e">
        <f t="shared" si="6"/>
        <v>#N/A</v>
      </c>
      <c r="T74" s="4">
        <f t="shared" ca="1" si="7"/>
        <v>41553</v>
      </c>
      <c r="U74" s="4">
        <f t="shared" ca="1" si="8"/>
        <v>-41193</v>
      </c>
      <c r="V74" s="4" t="e">
        <f t="shared" ca="1" si="9"/>
        <v>#NUM!</v>
      </c>
      <c r="W74" s="10" t="e">
        <f t="shared" ca="1" si="10"/>
        <v>#N/A</v>
      </c>
      <c r="X74" s="5" t="e">
        <f t="shared" ca="1" si="11"/>
        <v>#N/A</v>
      </c>
    </row>
    <row r="75" spans="1:24" x14ac:dyDescent="0.25">
      <c r="C75" s="56"/>
      <c r="D75" s="56"/>
      <c r="E75" s="56"/>
      <c r="F75" s="5" t="e">
        <f>IF(VLOOKUP(A75,Dividende_je_Aktie!A$3:AM$103,6,FALSE)&lt;&gt;"",IF(VLOOKUP(A75,Ergebnis_je_Aktie_verwässert!A$3:AK$103,6,FALSE)&lt;&gt;"",IF(VLOOKUP(A75,Ergebnis_je_Aktie_verwässert!A$3:AK$103,6,FALSE)&lt;=0,2,IF(VLOOKUP(A75,Dividende_je_Aktie!A$3:AM$103,6,FALSE)/VLOOKUP(A75,Ergebnis_je_Aktie_verwässert!A$3:AK$103,6,FALSE)&gt;=2,2,VLOOKUP(A75,Dividende_je_Aktie!A$3:AM$103,6,FALSE)/VLOOKUP(A75,Ergebnis_je_Aktie_verwässert!A$3:AK$103,6,FALSE))),""),"")</f>
        <v>#N/A</v>
      </c>
      <c r="G75" s="5" t="e">
        <f>IF(VLOOKUP(A75,Dividende_je_Aktie!A$3:AM$103,7,FALSE)&lt;&gt;"",IF(VLOOKUP(A75,Ergebnis_je_Aktie_verwässert!A$3:AK$103,7,FALSE)&lt;&gt;"",IF(VLOOKUP(A75,Ergebnis_je_Aktie_verwässert!A$3:AK$103,7,FALSE)&lt;=0,2,IF(VLOOKUP(A75,Dividende_je_Aktie!A$3:AM$103,7,FALSE)/VLOOKUP(A75,Ergebnis_je_Aktie_verwässert!A$3:AK$103,7,FALSE)&gt;=2,2,VLOOKUP(A75,Dividende_je_Aktie!A$3:AM$103,7,FALSE)/VLOOKUP(A75,Ergebnis_je_Aktie_verwässert!A$3:AK$103,7,FALSE))),""),"")</f>
        <v>#N/A</v>
      </c>
      <c r="H75" s="5" t="e">
        <f>IF(VLOOKUP(A75,Dividende_je_Aktie!A$3:AM$103,8,FALSE)&lt;&gt;"",IF(VLOOKUP(A75,Ergebnis_je_Aktie_verwässert!A$3:AK$103,8,FALSE)&lt;&gt;"",IF(VLOOKUP(A75,Ergebnis_je_Aktie_verwässert!A$3:AK$103,8,FALSE)&lt;=0,2,IF(VLOOKUP(A75,Dividende_je_Aktie!A$3:AM$103,8,FALSE)/VLOOKUP(A75,Ergebnis_je_Aktie_verwässert!A$3:AK$103,8,FALSE)&gt;=2,2,VLOOKUP(A75,Dividende_je_Aktie!A$3:AM$103,8,FALSE)/VLOOKUP(A75,Ergebnis_je_Aktie_verwässert!A$3:AK$103,8,FALSE))),""),"")</f>
        <v>#N/A</v>
      </c>
      <c r="I75" s="5" t="e">
        <f>IF(VLOOKUP(A75,Dividende_je_Aktie!A$3:AM$103,9,FALSE)&lt;&gt;"",IF(VLOOKUP(A75,Ergebnis_je_Aktie_verwässert!A$3:AK$103,9,FALSE)&lt;&gt;"",IF(VLOOKUP(A75,Ergebnis_je_Aktie_verwässert!A$3:AK$103,9,FALSE)&lt;=0,2,IF(VLOOKUP(A75,Dividende_je_Aktie!A$3:AM$103,9,FALSE)/VLOOKUP(A75,Ergebnis_je_Aktie_verwässert!A$3:AK$103,9,FALSE)&gt;=2,2,VLOOKUP(A75,Dividende_je_Aktie!A$3:AM$103,9,FALSE)/VLOOKUP(A75,Ergebnis_je_Aktie_verwässert!A$3:AK$103,9,FALSE))),""),"")</f>
        <v>#N/A</v>
      </c>
      <c r="J75" s="5" t="e">
        <f>IF(VLOOKUP(A75,Dividende_je_Aktie!A$3:AM$103,10,FALSE)&lt;&gt;"",IF(VLOOKUP(A75,Ergebnis_je_Aktie_verwässert!A$3:AK$103,10,FALSE)&lt;&gt;"",IF(VLOOKUP(A75,Ergebnis_je_Aktie_verwässert!A$3:AK$103,10,FALSE)&lt;=0,2,IF(VLOOKUP(A75,Dividende_je_Aktie!A$3:AM$103,10,FALSE)/VLOOKUP(A75,Ergebnis_je_Aktie_verwässert!A$3:AK$103,10,FALSE)&gt;=2,2,VLOOKUP(A75,Dividende_je_Aktie!A$3:AM$103,10,FALSE)/VLOOKUP(A75,Ergebnis_je_Aktie_verwässert!A$3:AK$103,10,FALSE))),""),"")</f>
        <v>#N/A</v>
      </c>
      <c r="K75" s="5" t="e">
        <f>IF(VLOOKUP(A75,Dividende_je_Aktie!A$3:AM$103,11,FALSE)&lt;&gt;"",IF(VLOOKUP(A75,Ergebnis_je_Aktie_verwässert!A$3:AK$103,11,FALSE)&lt;&gt;"",IF(VLOOKUP(A75,Ergebnis_je_Aktie_verwässert!A$3:AK$103,11,FALSE)&lt;=0,2,IF(VLOOKUP(A75,Dividende_je_Aktie!A$3:AM$103,11,FALSE)/VLOOKUP(A75,Ergebnis_je_Aktie_verwässert!A$3:AK$103,11,FALSE)&gt;=2,2,VLOOKUP(A75,Dividende_je_Aktie!A$3:AM$103,11,FALSE)/VLOOKUP(A75,Ergebnis_je_Aktie_verwässert!A$3:AK$103,11,FALSE))),""),"")</f>
        <v>#N/A</v>
      </c>
      <c r="L75" s="5" t="e">
        <f>IF(VLOOKUP(A75,Dividende_je_Aktie!A$3:AM$103,12,FALSE)&lt;&gt;"",IF(VLOOKUP(A75,Ergebnis_je_Aktie_verwässert!A$3:AK$103,12,FALSE)&lt;&gt;"",IF(VLOOKUP(A75,Ergebnis_je_Aktie_verwässert!A$3:AK$103,12,FALSE)&lt;=0,2,IF(VLOOKUP(A75,Dividende_je_Aktie!A$3:AM$103,12,FALSE)/VLOOKUP(A75,Ergebnis_je_Aktie_verwässert!A$3:AK$103,12,FALSE)&gt;=2,2,VLOOKUP(A75,Dividende_je_Aktie!A$3:AM$103,12,FALSE)/VLOOKUP(A75,Ergebnis_je_Aktie_verwässert!A$3:AK$103,12,FALSE))),""),"")</f>
        <v>#N/A</v>
      </c>
      <c r="M75" s="5" t="e">
        <f>IF(VLOOKUP(A75,Dividende_je_Aktie!A$3:AM$103,13,FALSE)&lt;&gt;"",IF(VLOOKUP(A75,Ergebnis_je_Aktie_verwässert!A$3:AK$103,13,FALSE)&lt;&gt;"",IF(VLOOKUP(A75,Ergebnis_je_Aktie_verwässert!A$3:AK$103,13,FALSE)&lt;=0,2,IF(VLOOKUP(A75,Dividende_je_Aktie!A$3:AM$103,13,FALSE)/VLOOKUP(A75,Ergebnis_je_Aktie_verwässert!A$3:AK$103,13,FALSE)&gt;=2,2,VLOOKUP(A75,Dividende_je_Aktie!A$3:AM$103,13,FALSE)/VLOOKUP(A75,Ergebnis_je_Aktie_verwässert!A$3:AK$103,13,FALSE))),""),"")</f>
        <v>#N/A</v>
      </c>
      <c r="N75" s="5" t="e">
        <f>IF(VLOOKUP(A75,Dividende_je_Aktie!A$3:AM$103,14,FALSE)&lt;&gt;"",IF(VLOOKUP(A75,Ergebnis_je_Aktie_verwässert!A$3:AK$103,14,FALSE)&lt;&gt;"",IF(VLOOKUP(A75,Ergebnis_je_Aktie_verwässert!A$3:AK$103,14,FALSE)&lt;=0,2,IF(VLOOKUP(A75,Dividende_je_Aktie!A$3:AM$103,14,FALSE)/VLOOKUP(A75,Ergebnis_je_Aktie_verwässert!A$3:AK$103,14,FALSE)&gt;=2,2,VLOOKUP(A75,Dividende_je_Aktie!A$3:AM$103,14,FALSE)/VLOOKUP(A75,Ergebnis_je_Aktie_verwässert!A$3:AK$103,14,FALSE))),""),"")</f>
        <v>#N/A</v>
      </c>
      <c r="O75" s="5" t="e">
        <f>IF(VLOOKUP(A75,Dividende_je_Aktie!A$3:AM$103,15,FALSE)&lt;&gt;"",IF(VLOOKUP(A75,Ergebnis_je_Aktie_verwässert!A$3:AK$103,15,FALSE)&lt;&gt;"",IF(VLOOKUP(A75,Ergebnis_je_Aktie_verwässert!A$3:AK$103,15,FALSE)&lt;=0,2,IF(VLOOKUP(A75,Dividende_je_Aktie!A$3:AM$103,15,FALSE)/VLOOKUP(A75,Ergebnis_je_Aktie_verwässert!A$3:AK$103,15,FALSE)&gt;=2,2,VLOOKUP(A75,Dividende_je_Aktie!A$3:AM$103,15,FALSE)/VLOOKUP(A75,Ergebnis_je_Aktie_verwässert!A$3:AK$103,15,FALSE))),""),"")</f>
        <v>#N/A</v>
      </c>
      <c r="P75" s="5" t="e">
        <f>IF(VLOOKUP(A75,Dividende_je_Aktie!A$3:AM$103,16,FALSE)&lt;&gt;"",IF(VLOOKUP(A75,Ergebnis_je_Aktie_verwässert!A$3:AK$103,16,FALSE)&lt;&gt;"",IF(VLOOKUP(A75,Ergebnis_je_Aktie_verwässert!A$3:AK$103,16,FALSE)&lt;=0,2,IF(VLOOKUP(A75,Dividende_je_Aktie!A$3:AM$103,16,FALSE)/VLOOKUP(A75,Ergebnis_je_Aktie_verwässert!A$3:AK$103,16,FALSE)&gt;=2,2,VLOOKUP(A75,Dividende_je_Aktie!A$3:AM$103,16,FALSE)/VLOOKUP(A75,Ergebnis_je_Aktie_verwässert!A$3:AK$103,16,FALSE))),""),"")</f>
        <v>#N/A</v>
      </c>
      <c r="Q75" s="5" t="e">
        <f>IF(VLOOKUP(A75,Dividende_je_Aktie!A$3:AM$103,17,FALSE)&lt;&gt;"",IF(VLOOKUP(A75,Ergebnis_je_Aktie_verwässert!A$3:AK$103,17,FALSE)&lt;&gt;"",IF(VLOOKUP(A75,Ergebnis_je_Aktie_verwässert!A$3:AK$103,17,FALSE)&lt;=0,2,IF(VLOOKUP(A75,Dividende_je_Aktie!A$3:AM$103,17,FALSE)/VLOOKUP(A75,Ergebnis_je_Aktie_verwässert!A$3:AK$103,17,FALSE)&gt;=2,2,VLOOKUP(A75,Dividende_je_Aktie!A$3:AM$103,17,FALSE)/VLOOKUP(A75,Ergebnis_je_Aktie_verwässert!A$3:AK$103,17,FALSE))),""),"")</f>
        <v>#N/A</v>
      </c>
      <c r="R75" s="5" t="e">
        <f>IF(VLOOKUP(A75,Dividende_je_Aktie!A$3:AM$103,18,FALSE)&lt;&gt;"",IF(VLOOKUP(A75,Ergebnis_je_Aktie_verwässert!A$3:AK$103,18,FALSE)&lt;&gt;"",IF(VLOOKUP(A75,Ergebnis_je_Aktie_verwässert!A$3:AK$103,18,FALSE)&lt;=0,2,IF(VLOOKUP(A75,Dividende_je_Aktie!A$3:AM$103,18,FALSE)/VLOOKUP(A75,Ergebnis_je_Aktie_verwässert!A$3:AK$103,18,FALSE)&gt;=2,2,VLOOKUP(A75,Dividende_je_Aktie!A$3:AM$103,18,FALSE)/VLOOKUP(A75,Ergebnis_je_Aktie_verwässert!A$3:AK$103,18,FALSE))),""),"")</f>
        <v>#N/A</v>
      </c>
      <c r="S75" s="10" t="e">
        <f t="shared" si="6"/>
        <v>#N/A</v>
      </c>
      <c r="T75" s="4">
        <f t="shared" ca="1" si="7"/>
        <v>41553</v>
      </c>
      <c r="U75" s="4">
        <f t="shared" ca="1" si="8"/>
        <v>-41193</v>
      </c>
      <c r="V75" s="4" t="e">
        <f t="shared" ca="1" si="9"/>
        <v>#NUM!</v>
      </c>
      <c r="W75" s="10" t="e">
        <f t="shared" ca="1" si="10"/>
        <v>#N/A</v>
      </c>
      <c r="X75" s="5" t="e">
        <f t="shared" ca="1" si="11"/>
        <v>#N/A</v>
      </c>
    </row>
    <row r="76" spans="1:24" x14ac:dyDescent="0.25">
      <c r="C76" s="56"/>
      <c r="D76" s="56"/>
      <c r="E76" s="56"/>
      <c r="F76" s="5" t="e">
        <f>IF(VLOOKUP(A76,Dividende_je_Aktie!A$3:AM$103,6,FALSE)&lt;&gt;"",IF(VLOOKUP(A76,Ergebnis_je_Aktie_verwässert!A$3:AK$103,6,FALSE)&lt;&gt;"",IF(VLOOKUP(A76,Ergebnis_je_Aktie_verwässert!A$3:AK$103,6,FALSE)&lt;=0,2,IF(VLOOKUP(A76,Dividende_je_Aktie!A$3:AM$103,6,FALSE)/VLOOKUP(A76,Ergebnis_je_Aktie_verwässert!A$3:AK$103,6,FALSE)&gt;=2,2,VLOOKUP(A76,Dividende_je_Aktie!A$3:AM$103,6,FALSE)/VLOOKUP(A76,Ergebnis_je_Aktie_verwässert!A$3:AK$103,6,FALSE))),""),"")</f>
        <v>#N/A</v>
      </c>
      <c r="G76" s="5" t="e">
        <f>IF(VLOOKUP(A76,Dividende_je_Aktie!A$3:AM$103,7,FALSE)&lt;&gt;"",IF(VLOOKUP(A76,Ergebnis_je_Aktie_verwässert!A$3:AK$103,7,FALSE)&lt;&gt;"",IF(VLOOKUP(A76,Ergebnis_je_Aktie_verwässert!A$3:AK$103,7,FALSE)&lt;=0,2,IF(VLOOKUP(A76,Dividende_je_Aktie!A$3:AM$103,7,FALSE)/VLOOKUP(A76,Ergebnis_je_Aktie_verwässert!A$3:AK$103,7,FALSE)&gt;=2,2,VLOOKUP(A76,Dividende_je_Aktie!A$3:AM$103,7,FALSE)/VLOOKUP(A76,Ergebnis_je_Aktie_verwässert!A$3:AK$103,7,FALSE))),""),"")</f>
        <v>#N/A</v>
      </c>
      <c r="H76" s="5" t="e">
        <f>IF(VLOOKUP(A76,Dividende_je_Aktie!A$3:AM$103,8,FALSE)&lt;&gt;"",IF(VLOOKUP(A76,Ergebnis_je_Aktie_verwässert!A$3:AK$103,8,FALSE)&lt;&gt;"",IF(VLOOKUP(A76,Ergebnis_je_Aktie_verwässert!A$3:AK$103,8,FALSE)&lt;=0,2,IF(VLOOKUP(A76,Dividende_je_Aktie!A$3:AM$103,8,FALSE)/VLOOKUP(A76,Ergebnis_je_Aktie_verwässert!A$3:AK$103,8,FALSE)&gt;=2,2,VLOOKUP(A76,Dividende_je_Aktie!A$3:AM$103,8,FALSE)/VLOOKUP(A76,Ergebnis_je_Aktie_verwässert!A$3:AK$103,8,FALSE))),""),"")</f>
        <v>#N/A</v>
      </c>
      <c r="I76" s="5" t="e">
        <f>IF(VLOOKUP(A76,Dividende_je_Aktie!A$3:AM$103,9,FALSE)&lt;&gt;"",IF(VLOOKUP(A76,Ergebnis_je_Aktie_verwässert!A$3:AK$103,9,FALSE)&lt;&gt;"",IF(VLOOKUP(A76,Ergebnis_je_Aktie_verwässert!A$3:AK$103,9,FALSE)&lt;=0,2,IF(VLOOKUP(A76,Dividende_je_Aktie!A$3:AM$103,9,FALSE)/VLOOKUP(A76,Ergebnis_je_Aktie_verwässert!A$3:AK$103,9,FALSE)&gt;=2,2,VLOOKUP(A76,Dividende_je_Aktie!A$3:AM$103,9,FALSE)/VLOOKUP(A76,Ergebnis_je_Aktie_verwässert!A$3:AK$103,9,FALSE))),""),"")</f>
        <v>#N/A</v>
      </c>
      <c r="J76" s="5" t="e">
        <f>IF(VLOOKUP(A76,Dividende_je_Aktie!A$3:AM$103,10,FALSE)&lt;&gt;"",IF(VLOOKUP(A76,Ergebnis_je_Aktie_verwässert!A$3:AK$103,10,FALSE)&lt;&gt;"",IF(VLOOKUP(A76,Ergebnis_je_Aktie_verwässert!A$3:AK$103,10,FALSE)&lt;=0,2,IF(VLOOKUP(A76,Dividende_je_Aktie!A$3:AM$103,10,FALSE)/VLOOKUP(A76,Ergebnis_je_Aktie_verwässert!A$3:AK$103,10,FALSE)&gt;=2,2,VLOOKUP(A76,Dividende_je_Aktie!A$3:AM$103,10,FALSE)/VLOOKUP(A76,Ergebnis_je_Aktie_verwässert!A$3:AK$103,10,FALSE))),""),"")</f>
        <v>#N/A</v>
      </c>
      <c r="K76" s="5" t="e">
        <f>IF(VLOOKUP(A76,Dividende_je_Aktie!A$3:AM$103,11,FALSE)&lt;&gt;"",IF(VLOOKUP(A76,Ergebnis_je_Aktie_verwässert!A$3:AK$103,11,FALSE)&lt;&gt;"",IF(VLOOKUP(A76,Ergebnis_je_Aktie_verwässert!A$3:AK$103,11,FALSE)&lt;=0,2,IF(VLOOKUP(A76,Dividende_je_Aktie!A$3:AM$103,11,FALSE)/VLOOKUP(A76,Ergebnis_je_Aktie_verwässert!A$3:AK$103,11,FALSE)&gt;=2,2,VLOOKUP(A76,Dividende_je_Aktie!A$3:AM$103,11,FALSE)/VLOOKUP(A76,Ergebnis_je_Aktie_verwässert!A$3:AK$103,11,FALSE))),""),"")</f>
        <v>#N/A</v>
      </c>
      <c r="L76" s="5" t="e">
        <f>IF(VLOOKUP(A76,Dividende_je_Aktie!A$3:AM$103,12,FALSE)&lt;&gt;"",IF(VLOOKUP(A76,Ergebnis_je_Aktie_verwässert!A$3:AK$103,12,FALSE)&lt;&gt;"",IF(VLOOKUP(A76,Ergebnis_je_Aktie_verwässert!A$3:AK$103,12,FALSE)&lt;=0,2,IF(VLOOKUP(A76,Dividende_je_Aktie!A$3:AM$103,12,FALSE)/VLOOKUP(A76,Ergebnis_je_Aktie_verwässert!A$3:AK$103,12,FALSE)&gt;=2,2,VLOOKUP(A76,Dividende_je_Aktie!A$3:AM$103,12,FALSE)/VLOOKUP(A76,Ergebnis_je_Aktie_verwässert!A$3:AK$103,12,FALSE))),""),"")</f>
        <v>#N/A</v>
      </c>
      <c r="M76" s="5" t="e">
        <f>IF(VLOOKUP(A76,Dividende_je_Aktie!A$3:AM$103,13,FALSE)&lt;&gt;"",IF(VLOOKUP(A76,Ergebnis_je_Aktie_verwässert!A$3:AK$103,13,FALSE)&lt;&gt;"",IF(VLOOKUP(A76,Ergebnis_je_Aktie_verwässert!A$3:AK$103,13,FALSE)&lt;=0,2,IF(VLOOKUP(A76,Dividende_je_Aktie!A$3:AM$103,13,FALSE)/VLOOKUP(A76,Ergebnis_je_Aktie_verwässert!A$3:AK$103,13,FALSE)&gt;=2,2,VLOOKUP(A76,Dividende_je_Aktie!A$3:AM$103,13,FALSE)/VLOOKUP(A76,Ergebnis_je_Aktie_verwässert!A$3:AK$103,13,FALSE))),""),"")</f>
        <v>#N/A</v>
      </c>
      <c r="N76" s="5" t="e">
        <f>IF(VLOOKUP(A76,Dividende_je_Aktie!A$3:AM$103,14,FALSE)&lt;&gt;"",IF(VLOOKUP(A76,Ergebnis_je_Aktie_verwässert!A$3:AK$103,14,FALSE)&lt;&gt;"",IF(VLOOKUP(A76,Ergebnis_je_Aktie_verwässert!A$3:AK$103,14,FALSE)&lt;=0,2,IF(VLOOKUP(A76,Dividende_je_Aktie!A$3:AM$103,14,FALSE)/VLOOKUP(A76,Ergebnis_je_Aktie_verwässert!A$3:AK$103,14,FALSE)&gt;=2,2,VLOOKUP(A76,Dividende_je_Aktie!A$3:AM$103,14,FALSE)/VLOOKUP(A76,Ergebnis_je_Aktie_verwässert!A$3:AK$103,14,FALSE))),""),"")</f>
        <v>#N/A</v>
      </c>
      <c r="O76" s="5" t="e">
        <f>IF(VLOOKUP(A76,Dividende_je_Aktie!A$3:AM$103,15,FALSE)&lt;&gt;"",IF(VLOOKUP(A76,Ergebnis_je_Aktie_verwässert!A$3:AK$103,15,FALSE)&lt;&gt;"",IF(VLOOKUP(A76,Ergebnis_je_Aktie_verwässert!A$3:AK$103,15,FALSE)&lt;=0,2,IF(VLOOKUP(A76,Dividende_je_Aktie!A$3:AM$103,15,FALSE)/VLOOKUP(A76,Ergebnis_je_Aktie_verwässert!A$3:AK$103,15,FALSE)&gt;=2,2,VLOOKUP(A76,Dividende_je_Aktie!A$3:AM$103,15,FALSE)/VLOOKUP(A76,Ergebnis_je_Aktie_verwässert!A$3:AK$103,15,FALSE))),""),"")</f>
        <v>#N/A</v>
      </c>
      <c r="P76" s="5" t="e">
        <f>IF(VLOOKUP(A76,Dividende_je_Aktie!A$3:AM$103,16,FALSE)&lt;&gt;"",IF(VLOOKUP(A76,Ergebnis_je_Aktie_verwässert!A$3:AK$103,16,FALSE)&lt;&gt;"",IF(VLOOKUP(A76,Ergebnis_je_Aktie_verwässert!A$3:AK$103,16,FALSE)&lt;=0,2,IF(VLOOKUP(A76,Dividende_je_Aktie!A$3:AM$103,16,FALSE)/VLOOKUP(A76,Ergebnis_je_Aktie_verwässert!A$3:AK$103,16,FALSE)&gt;=2,2,VLOOKUP(A76,Dividende_je_Aktie!A$3:AM$103,16,FALSE)/VLOOKUP(A76,Ergebnis_je_Aktie_verwässert!A$3:AK$103,16,FALSE))),""),"")</f>
        <v>#N/A</v>
      </c>
      <c r="Q76" s="5" t="e">
        <f>IF(VLOOKUP(A76,Dividende_je_Aktie!A$3:AM$103,17,FALSE)&lt;&gt;"",IF(VLOOKUP(A76,Ergebnis_je_Aktie_verwässert!A$3:AK$103,17,FALSE)&lt;&gt;"",IF(VLOOKUP(A76,Ergebnis_je_Aktie_verwässert!A$3:AK$103,17,FALSE)&lt;=0,2,IF(VLOOKUP(A76,Dividende_je_Aktie!A$3:AM$103,17,FALSE)/VLOOKUP(A76,Ergebnis_je_Aktie_verwässert!A$3:AK$103,17,FALSE)&gt;=2,2,VLOOKUP(A76,Dividende_je_Aktie!A$3:AM$103,17,FALSE)/VLOOKUP(A76,Ergebnis_je_Aktie_verwässert!A$3:AK$103,17,FALSE))),""),"")</f>
        <v>#N/A</v>
      </c>
      <c r="R76" s="5" t="e">
        <f>IF(VLOOKUP(A76,Dividende_je_Aktie!A$3:AM$103,18,FALSE)&lt;&gt;"",IF(VLOOKUP(A76,Ergebnis_je_Aktie_verwässert!A$3:AK$103,18,FALSE)&lt;&gt;"",IF(VLOOKUP(A76,Ergebnis_je_Aktie_verwässert!A$3:AK$103,18,FALSE)&lt;=0,2,IF(VLOOKUP(A76,Dividende_je_Aktie!A$3:AM$103,18,FALSE)/VLOOKUP(A76,Ergebnis_je_Aktie_verwässert!A$3:AK$103,18,FALSE)&gt;=2,2,VLOOKUP(A76,Dividende_je_Aktie!A$3:AM$103,18,FALSE)/VLOOKUP(A76,Ergebnis_je_Aktie_verwässert!A$3:AK$103,18,FALSE))),""),"")</f>
        <v>#N/A</v>
      </c>
      <c r="S76" s="10" t="e">
        <f t="shared" si="6"/>
        <v>#N/A</v>
      </c>
      <c r="T76" s="4">
        <f t="shared" ca="1" si="7"/>
        <v>41553</v>
      </c>
      <c r="U76" s="4">
        <f t="shared" ca="1" si="8"/>
        <v>-41193</v>
      </c>
      <c r="V76" s="4" t="e">
        <f t="shared" ca="1" si="9"/>
        <v>#NUM!</v>
      </c>
      <c r="W76" s="10" t="e">
        <f t="shared" ca="1" si="10"/>
        <v>#N/A</v>
      </c>
      <c r="X76" s="5" t="e">
        <f t="shared" ca="1" si="11"/>
        <v>#N/A</v>
      </c>
    </row>
    <row r="77" spans="1:24" x14ac:dyDescent="0.25">
      <c r="C77" s="56"/>
      <c r="D77" s="56"/>
      <c r="E77" s="56"/>
      <c r="F77" s="5" t="e">
        <f>IF(VLOOKUP(A77,Dividende_je_Aktie!A$3:AM$103,6,FALSE)&lt;&gt;"",IF(VLOOKUP(A77,Ergebnis_je_Aktie_verwässert!A$3:AK$103,6,FALSE)&lt;&gt;"",IF(VLOOKUP(A77,Ergebnis_je_Aktie_verwässert!A$3:AK$103,6,FALSE)&lt;=0,2,IF(VLOOKUP(A77,Dividende_je_Aktie!A$3:AM$103,6,FALSE)/VLOOKUP(A77,Ergebnis_je_Aktie_verwässert!A$3:AK$103,6,FALSE)&gt;=2,2,VLOOKUP(A77,Dividende_je_Aktie!A$3:AM$103,6,FALSE)/VLOOKUP(A77,Ergebnis_je_Aktie_verwässert!A$3:AK$103,6,FALSE))),""),"")</f>
        <v>#N/A</v>
      </c>
      <c r="G77" s="5" t="e">
        <f>IF(VLOOKUP(A77,Dividende_je_Aktie!A$3:AM$103,7,FALSE)&lt;&gt;"",IF(VLOOKUP(A77,Ergebnis_je_Aktie_verwässert!A$3:AK$103,7,FALSE)&lt;&gt;"",IF(VLOOKUP(A77,Ergebnis_je_Aktie_verwässert!A$3:AK$103,7,FALSE)&lt;=0,2,IF(VLOOKUP(A77,Dividende_je_Aktie!A$3:AM$103,7,FALSE)/VLOOKUP(A77,Ergebnis_je_Aktie_verwässert!A$3:AK$103,7,FALSE)&gt;=2,2,VLOOKUP(A77,Dividende_je_Aktie!A$3:AM$103,7,FALSE)/VLOOKUP(A77,Ergebnis_je_Aktie_verwässert!A$3:AK$103,7,FALSE))),""),"")</f>
        <v>#N/A</v>
      </c>
      <c r="H77" s="5" t="e">
        <f>IF(VLOOKUP(A77,Dividende_je_Aktie!A$3:AM$103,8,FALSE)&lt;&gt;"",IF(VLOOKUP(A77,Ergebnis_je_Aktie_verwässert!A$3:AK$103,8,FALSE)&lt;&gt;"",IF(VLOOKUP(A77,Ergebnis_je_Aktie_verwässert!A$3:AK$103,8,FALSE)&lt;=0,2,IF(VLOOKUP(A77,Dividende_je_Aktie!A$3:AM$103,8,FALSE)/VLOOKUP(A77,Ergebnis_je_Aktie_verwässert!A$3:AK$103,8,FALSE)&gt;=2,2,VLOOKUP(A77,Dividende_je_Aktie!A$3:AM$103,8,FALSE)/VLOOKUP(A77,Ergebnis_je_Aktie_verwässert!A$3:AK$103,8,FALSE))),""),"")</f>
        <v>#N/A</v>
      </c>
      <c r="I77" s="5" t="e">
        <f>IF(VLOOKUP(A77,Dividende_je_Aktie!A$3:AM$103,9,FALSE)&lt;&gt;"",IF(VLOOKUP(A77,Ergebnis_je_Aktie_verwässert!A$3:AK$103,9,FALSE)&lt;&gt;"",IF(VLOOKUP(A77,Ergebnis_je_Aktie_verwässert!A$3:AK$103,9,FALSE)&lt;=0,2,IF(VLOOKUP(A77,Dividende_je_Aktie!A$3:AM$103,9,FALSE)/VLOOKUP(A77,Ergebnis_je_Aktie_verwässert!A$3:AK$103,9,FALSE)&gt;=2,2,VLOOKUP(A77,Dividende_je_Aktie!A$3:AM$103,9,FALSE)/VLOOKUP(A77,Ergebnis_je_Aktie_verwässert!A$3:AK$103,9,FALSE))),""),"")</f>
        <v>#N/A</v>
      </c>
      <c r="J77" s="5" t="e">
        <f>IF(VLOOKUP(A77,Dividende_je_Aktie!A$3:AM$103,10,FALSE)&lt;&gt;"",IF(VLOOKUP(A77,Ergebnis_je_Aktie_verwässert!A$3:AK$103,10,FALSE)&lt;&gt;"",IF(VLOOKUP(A77,Ergebnis_je_Aktie_verwässert!A$3:AK$103,10,FALSE)&lt;=0,2,IF(VLOOKUP(A77,Dividende_je_Aktie!A$3:AM$103,10,FALSE)/VLOOKUP(A77,Ergebnis_je_Aktie_verwässert!A$3:AK$103,10,FALSE)&gt;=2,2,VLOOKUP(A77,Dividende_je_Aktie!A$3:AM$103,10,FALSE)/VLOOKUP(A77,Ergebnis_je_Aktie_verwässert!A$3:AK$103,10,FALSE))),""),"")</f>
        <v>#N/A</v>
      </c>
      <c r="K77" s="5" t="e">
        <f>IF(VLOOKUP(A77,Dividende_je_Aktie!A$3:AM$103,11,FALSE)&lt;&gt;"",IF(VLOOKUP(A77,Ergebnis_je_Aktie_verwässert!A$3:AK$103,11,FALSE)&lt;&gt;"",IF(VLOOKUP(A77,Ergebnis_je_Aktie_verwässert!A$3:AK$103,11,FALSE)&lt;=0,2,IF(VLOOKUP(A77,Dividende_je_Aktie!A$3:AM$103,11,FALSE)/VLOOKUP(A77,Ergebnis_je_Aktie_verwässert!A$3:AK$103,11,FALSE)&gt;=2,2,VLOOKUP(A77,Dividende_je_Aktie!A$3:AM$103,11,FALSE)/VLOOKUP(A77,Ergebnis_je_Aktie_verwässert!A$3:AK$103,11,FALSE))),""),"")</f>
        <v>#N/A</v>
      </c>
      <c r="L77" s="5" t="e">
        <f>IF(VLOOKUP(A77,Dividende_je_Aktie!A$3:AM$103,12,FALSE)&lt;&gt;"",IF(VLOOKUP(A77,Ergebnis_je_Aktie_verwässert!A$3:AK$103,12,FALSE)&lt;&gt;"",IF(VLOOKUP(A77,Ergebnis_je_Aktie_verwässert!A$3:AK$103,12,FALSE)&lt;=0,2,IF(VLOOKUP(A77,Dividende_je_Aktie!A$3:AM$103,12,FALSE)/VLOOKUP(A77,Ergebnis_je_Aktie_verwässert!A$3:AK$103,12,FALSE)&gt;=2,2,VLOOKUP(A77,Dividende_je_Aktie!A$3:AM$103,12,FALSE)/VLOOKUP(A77,Ergebnis_je_Aktie_verwässert!A$3:AK$103,12,FALSE))),""),"")</f>
        <v>#N/A</v>
      </c>
      <c r="M77" s="5" t="e">
        <f>IF(VLOOKUP(A77,Dividende_je_Aktie!A$3:AM$103,13,FALSE)&lt;&gt;"",IF(VLOOKUP(A77,Ergebnis_je_Aktie_verwässert!A$3:AK$103,13,FALSE)&lt;&gt;"",IF(VLOOKUP(A77,Ergebnis_je_Aktie_verwässert!A$3:AK$103,13,FALSE)&lt;=0,2,IF(VLOOKUP(A77,Dividende_je_Aktie!A$3:AM$103,13,FALSE)/VLOOKUP(A77,Ergebnis_je_Aktie_verwässert!A$3:AK$103,13,FALSE)&gt;=2,2,VLOOKUP(A77,Dividende_je_Aktie!A$3:AM$103,13,FALSE)/VLOOKUP(A77,Ergebnis_je_Aktie_verwässert!A$3:AK$103,13,FALSE))),""),"")</f>
        <v>#N/A</v>
      </c>
      <c r="N77" s="5" t="e">
        <f>IF(VLOOKUP(A77,Dividende_je_Aktie!A$3:AM$103,14,FALSE)&lt;&gt;"",IF(VLOOKUP(A77,Ergebnis_je_Aktie_verwässert!A$3:AK$103,14,FALSE)&lt;&gt;"",IF(VLOOKUP(A77,Ergebnis_je_Aktie_verwässert!A$3:AK$103,14,FALSE)&lt;=0,2,IF(VLOOKUP(A77,Dividende_je_Aktie!A$3:AM$103,14,FALSE)/VLOOKUP(A77,Ergebnis_je_Aktie_verwässert!A$3:AK$103,14,FALSE)&gt;=2,2,VLOOKUP(A77,Dividende_je_Aktie!A$3:AM$103,14,FALSE)/VLOOKUP(A77,Ergebnis_je_Aktie_verwässert!A$3:AK$103,14,FALSE))),""),"")</f>
        <v>#N/A</v>
      </c>
      <c r="O77" s="5" t="e">
        <f>IF(VLOOKUP(A77,Dividende_je_Aktie!A$3:AM$103,15,FALSE)&lt;&gt;"",IF(VLOOKUP(A77,Ergebnis_je_Aktie_verwässert!A$3:AK$103,15,FALSE)&lt;&gt;"",IF(VLOOKUP(A77,Ergebnis_je_Aktie_verwässert!A$3:AK$103,15,FALSE)&lt;=0,2,IF(VLOOKUP(A77,Dividende_je_Aktie!A$3:AM$103,15,FALSE)/VLOOKUP(A77,Ergebnis_je_Aktie_verwässert!A$3:AK$103,15,FALSE)&gt;=2,2,VLOOKUP(A77,Dividende_je_Aktie!A$3:AM$103,15,FALSE)/VLOOKUP(A77,Ergebnis_je_Aktie_verwässert!A$3:AK$103,15,FALSE))),""),"")</f>
        <v>#N/A</v>
      </c>
      <c r="P77" s="5" t="e">
        <f>IF(VLOOKUP(A77,Dividende_je_Aktie!A$3:AM$103,16,FALSE)&lt;&gt;"",IF(VLOOKUP(A77,Ergebnis_je_Aktie_verwässert!A$3:AK$103,16,FALSE)&lt;&gt;"",IF(VLOOKUP(A77,Ergebnis_je_Aktie_verwässert!A$3:AK$103,16,FALSE)&lt;=0,2,IF(VLOOKUP(A77,Dividende_je_Aktie!A$3:AM$103,16,FALSE)/VLOOKUP(A77,Ergebnis_je_Aktie_verwässert!A$3:AK$103,16,FALSE)&gt;=2,2,VLOOKUP(A77,Dividende_je_Aktie!A$3:AM$103,16,FALSE)/VLOOKUP(A77,Ergebnis_je_Aktie_verwässert!A$3:AK$103,16,FALSE))),""),"")</f>
        <v>#N/A</v>
      </c>
      <c r="Q77" s="5" t="e">
        <f>IF(VLOOKUP(A77,Dividende_je_Aktie!A$3:AM$103,17,FALSE)&lt;&gt;"",IF(VLOOKUP(A77,Ergebnis_je_Aktie_verwässert!A$3:AK$103,17,FALSE)&lt;&gt;"",IF(VLOOKUP(A77,Ergebnis_je_Aktie_verwässert!A$3:AK$103,17,FALSE)&lt;=0,2,IF(VLOOKUP(A77,Dividende_je_Aktie!A$3:AM$103,17,FALSE)/VLOOKUP(A77,Ergebnis_je_Aktie_verwässert!A$3:AK$103,17,FALSE)&gt;=2,2,VLOOKUP(A77,Dividende_je_Aktie!A$3:AM$103,17,FALSE)/VLOOKUP(A77,Ergebnis_je_Aktie_verwässert!A$3:AK$103,17,FALSE))),""),"")</f>
        <v>#N/A</v>
      </c>
      <c r="R77" s="5" t="e">
        <f>IF(VLOOKUP(A77,Dividende_je_Aktie!A$3:AM$103,18,FALSE)&lt;&gt;"",IF(VLOOKUP(A77,Ergebnis_je_Aktie_verwässert!A$3:AK$103,18,FALSE)&lt;&gt;"",IF(VLOOKUP(A77,Ergebnis_je_Aktie_verwässert!A$3:AK$103,18,FALSE)&lt;=0,2,IF(VLOOKUP(A77,Dividende_je_Aktie!A$3:AM$103,18,FALSE)/VLOOKUP(A77,Ergebnis_je_Aktie_verwässert!A$3:AK$103,18,FALSE)&gt;=2,2,VLOOKUP(A77,Dividende_je_Aktie!A$3:AM$103,18,FALSE)/VLOOKUP(A77,Ergebnis_je_Aktie_verwässert!A$3:AK$103,18,FALSE))),""),"")</f>
        <v>#N/A</v>
      </c>
      <c r="S77" s="10" t="e">
        <f t="shared" si="6"/>
        <v>#N/A</v>
      </c>
      <c r="T77" s="4">
        <f t="shared" ca="1" si="7"/>
        <v>41553</v>
      </c>
      <c r="U77" s="4">
        <f t="shared" ca="1" si="8"/>
        <v>-41193</v>
      </c>
      <c r="V77" s="4" t="e">
        <f t="shared" ca="1" si="9"/>
        <v>#NUM!</v>
      </c>
      <c r="W77" s="10" t="e">
        <f t="shared" ca="1" si="10"/>
        <v>#N/A</v>
      </c>
      <c r="X77" s="5" t="e">
        <f t="shared" ca="1" si="11"/>
        <v>#N/A</v>
      </c>
    </row>
    <row r="78" spans="1:24" x14ac:dyDescent="0.25">
      <c r="C78" s="56"/>
      <c r="D78" s="56"/>
      <c r="E78" s="56"/>
      <c r="F78" s="5" t="e">
        <f>IF(VLOOKUP(A78,Dividende_je_Aktie!A$3:AM$103,6,FALSE)&lt;&gt;"",IF(VLOOKUP(A78,Ergebnis_je_Aktie_verwässert!A$3:AK$103,6,FALSE)&lt;&gt;"",IF(VLOOKUP(A78,Ergebnis_je_Aktie_verwässert!A$3:AK$103,6,FALSE)&lt;=0,2,IF(VLOOKUP(A78,Dividende_je_Aktie!A$3:AM$103,6,FALSE)/VLOOKUP(A78,Ergebnis_je_Aktie_verwässert!A$3:AK$103,6,FALSE)&gt;=2,2,VLOOKUP(A78,Dividende_je_Aktie!A$3:AM$103,6,FALSE)/VLOOKUP(A78,Ergebnis_je_Aktie_verwässert!A$3:AK$103,6,FALSE))),""),"")</f>
        <v>#N/A</v>
      </c>
      <c r="G78" s="5" t="e">
        <f>IF(VLOOKUP(A78,Dividende_je_Aktie!A$3:AM$103,7,FALSE)&lt;&gt;"",IF(VLOOKUP(A78,Ergebnis_je_Aktie_verwässert!A$3:AK$103,7,FALSE)&lt;&gt;"",IF(VLOOKUP(A78,Ergebnis_je_Aktie_verwässert!A$3:AK$103,7,FALSE)&lt;=0,2,IF(VLOOKUP(A78,Dividende_je_Aktie!A$3:AM$103,7,FALSE)/VLOOKUP(A78,Ergebnis_je_Aktie_verwässert!A$3:AK$103,7,FALSE)&gt;=2,2,VLOOKUP(A78,Dividende_je_Aktie!A$3:AM$103,7,FALSE)/VLOOKUP(A78,Ergebnis_je_Aktie_verwässert!A$3:AK$103,7,FALSE))),""),"")</f>
        <v>#N/A</v>
      </c>
      <c r="H78" s="5" t="e">
        <f>IF(VLOOKUP(A78,Dividende_je_Aktie!A$3:AM$103,8,FALSE)&lt;&gt;"",IF(VLOOKUP(A78,Ergebnis_je_Aktie_verwässert!A$3:AK$103,8,FALSE)&lt;&gt;"",IF(VLOOKUP(A78,Ergebnis_je_Aktie_verwässert!A$3:AK$103,8,FALSE)&lt;=0,2,IF(VLOOKUP(A78,Dividende_je_Aktie!A$3:AM$103,8,FALSE)/VLOOKUP(A78,Ergebnis_je_Aktie_verwässert!A$3:AK$103,8,FALSE)&gt;=2,2,VLOOKUP(A78,Dividende_je_Aktie!A$3:AM$103,8,FALSE)/VLOOKUP(A78,Ergebnis_je_Aktie_verwässert!A$3:AK$103,8,FALSE))),""),"")</f>
        <v>#N/A</v>
      </c>
      <c r="I78" s="5" t="e">
        <f>IF(VLOOKUP(A78,Dividende_je_Aktie!A$3:AM$103,9,FALSE)&lt;&gt;"",IF(VLOOKUP(A78,Ergebnis_je_Aktie_verwässert!A$3:AK$103,9,FALSE)&lt;&gt;"",IF(VLOOKUP(A78,Ergebnis_je_Aktie_verwässert!A$3:AK$103,9,FALSE)&lt;=0,2,IF(VLOOKUP(A78,Dividende_je_Aktie!A$3:AM$103,9,FALSE)/VLOOKUP(A78,Ergebnis_je_Aktie_verwässert!A$3:AK$103,9,FALSE)&gt;=2,2,VLOOKUP(A78,Dividende_je_Aktie!A$3:AM$103,9,FALSE)/VLOOKUP(A78,Ergebnis_je_Aktie_verwässert!A$3:AK$103,9,FALSE))),""),"")</f>
        <v>#N/A</v>
      </c>
      <c r="J78" s="5" t="e">
        <f>IF(VLOOKUP(A78,Dividende_je_Aktie!A$3:AM$103,10,FALSE)&lt;&gt;"",IF(VLOOKUP(A78,Ergebnis_je_Aktie_verwässert!A$3:AK$103,10,FALSE)&lt;&gt;"",IF(VLOOKUP(A78,Ergebnis_je_Aktie_verwässert!A$3:AK$103,10,FALSE)&lt;=0,2,IF(VLOOKUP(A78,Dividende_je_Aktie!A$3:AM$103,10,FALSE)/VLOOKUP(A78,Ergebnis_je_Aktie_verwässert!A$3:AK$103,10,FALSE)&gt;=2,2,VLOOKUP(A78,Dividende_je_Aktie!A$3:AM$103,10,FALSE)/VLOOKUP(A78,Ergebnis_je_Aktie_verwässert!A$3:AK$103,10,FALSE))),""),"")</f>
        <v>#N/A</v>
      </c>
      <c r="K78" s="5" t="e">
        <f>IF(VLOOKUP(A78,Dividende_je_Aktie!A$3:AM$103,11,FALSE)&lt;&gt;"",IF(VLOOKUP(A78,Ergebnis_je_Aktie_verwässert!A$3:AK$103,11,FALSE)&lt;&gt;"",IF(VLOOKUP(A78,Ergebnis_je_Aktie_verwässert!A$3:AK$103,11,FALSE)&lt;=0,2,IF(VLOOKUP(A78,Dividende_je_Aktie!A$3:AM$103,11,FALSE)/VLOOKUP(A78,Ergebnis_je_Aktie_verwässert!A$3:AK$103,11,FALSE)&gt;=2,2,VLOOKUP(A78,Dividende_je_Aktie!A$3:AM$103,11,FALSE)/VLOOKUP(A78,Ergebnis_je_Aktie_verwässert!A$3:AK$103,11,FALSE))),""),"")</f>
        <v>#N/A</v>
      </c>
      <c r="L78" s="5" t="e">
        <f>IF(VLOOKUP(A78,Dividende_je_Aktie!A$3:AM$103,12,FALSE)&lt;&gt;"",IF(VLOOKUP(A78,Ergebnis_je_Aktie_verwässert!A$3:AK$103,12,FALSE)&lt;&gt;"",IF(VLOOKUP(A78,Ergebnis_je_Aktie_verwässert!A$3:AK$103,12,FALSE)&lt;=0,2,IF(VLOOKUP(A78,Dividende_je_Aktie!A$3:AM$103,12,FALSE)/VLOOKUP(A78,Ergebnis_je_Aktie_verwässert!A$3:AK$103,12,FALSE)&gt;=2,2,VLOOKUP(A78,Dividende_je_Aktie!A$3:AM$103,12,FALSE)/VLOOKUP(A78,Ergebnis_je_Aktie_verwässert!A$3:AK$103,12,FALSE))),""),"")</f>
        <v>#N/A</v>
      </c>
      <c r="M78" s="5" t="e">
        <f>IF(VLOOKUP(A78,Dividende_je_Aktie!A$3:AM$103,13,FALSE)&lt;&gt;"",IF(VLOOKUP(A78,Ergebnis_je_Aktie_verwässert!A$3:AK$103,13,FALSE)&lt;&gt;"",IF(VLOOKUP(A78,Ergebnis_je_Aktie_verwässert!A$3:AK$103,13,FALSE)&lt;=0,2,IF(VLOOKUP(A78,Dividende_je_Aktie!A$3:AM$103,13,FALSE)/VLOOKUP(A78,Ergebnis_je_Aktie_verwässert!A$3:AK$103,13,FALSE)&gt;=2,2,VLOOKUP(A78,Dividende_je_Aktie!A$3:AM$103,13,FALSE)/VLOOKUP(A78,Ergebnis_je_Aktie_verwässert!A$3:AK$103,13,FALSE))),""),"")</f>
        <v>#N/A</v>
      </c>
      <c r="N78" s="5" t="e">
        <f>IF(VLOOKUP(A78,Dividende_je_Aktie!A$3:AM$103,14,FALSE)&lt;&gt;"",IF(VLOOKUP(A78,Ergebnis_je_Aktie_verwässert!A$3:AK$103,14,FALSE)&lt;&gt;"",IF(VLOOKUP(A78,Ergebnis_je_Aktie_verwässert!A$3:AK$103,14,FALSE)&lt;=0,2,IF(VLOOKUP(A78,Dividende_je_Aktie!A$3:AM$103,14,FALSE)/VLOOKUP(A78,Ergebnis_je_Aktie_verwässert!A$3:AK$103,14,FALSE)&gt;=2,2,VLOOKUP(A78,Dividende_je_Aktie!A$3:AM$103,14,FALSE)/VLOOKUP(A78,Ergebnis_je_Aktie_verwässert!A$3:AK$103,14,FALSE))),""),"")</f>
        <v>#N/A</v>
      </c>
      <c r="O78" s="5" t="e">
        <f>IF(VLOOKUP(A78,Dividende_je_Aktie!A$3:AM$103,15,FALSE)&lt;&gt;"",IF(VLOOKUP(A78,Ergebnis_je_Aktie_verwässert!A$3:AK$103,15,FALSE)&lt;&gt;"",IF(VLOOKUP(A78,Ergebnis_je_Aktie_verwässert!A$3:AK$103,15,FALSE)&lt;=0,2,IF(VLOOKUP(A78,Dividende_je_Aktie!A$3:AM$103,15,FALSE)/VLOOKUP(A78,Ergebnis_je_Aktie_verwässert!A$3:AK$103,15,FALSE)&gt;=2,2,VLOOKUP(A78,Dividende_je_Aktie!A$3:AM$103,15,FALSE)/VLOOKUP(A78,Ergebnis_je_Aktie_verwässert!A$3:AK$103,15,FALSE))),""),"")</f>
        <v>#N/A</v>
      </c>
      <c r="P78" s="5" t="e">
        <f>IF(VLOOKUP(A78,Dividende_je_Aktie!A$3:AM$103,16,FALSE)&lt;&gt;"",IF(VLOOKUP(A78,Ergebnis_je_Aktie_verwässert!A$3:AK$103,16,FALSE)&lt;&gt;"",IF(VLOOKUP(A78,Ergebnis_je_Aktie_verwässert!A$3:AK$103,16,FALSE)&lt;=0,2,IF(VLOOKUP(A78,Dividende_je_Aktie!A$3:AM$103,16,FALSE)/VLOOKUP(A78,Ergebnis_je_Aktie_verwässert!A$3:AK$103,16,FALSE)&gt;=2,2,VLOOKUP(A78,Dividende_je_Aktie!A$3:AM$103,16,FALSE)/VLOOKUP(A78,Ergebnis_je_Aktie_verwässert!A$3:AK$103,16,FALSE))),""),"")</f>
        <v>#N/A</v>
      </c>
      <c r="Q78" s="5" t="e">
        <f>IF(VLOOKUP(A78,Dividende_je_Aktie!A$3:AM$103,17,FALSE)&lt;&gt;"",IF(VLOOKUP(A78,Ergebnis_je_Aktie_verwässert!A$3:AK$103,17,FALSE)&lt;&gt;"",IF(VLOOKUP(A78,Ergebnis_je_Aktie_verwässert!A$3:AK$103,17,FALSE)&lt;=0,2,IF(VLOOKUP(A78,Dividende_je_Aktie!A$3:AM$103,17,FALSE)/VLOOKUP(A78,Ergebnis_je_Aktie_verwässert!A$3:AK$103,17,FALSE)&gt;=2,2,VLOOKUP(A78,Dividende_je_Aktie!A$3:AM$103,17,FALSE)/VLOOKUP(A78,Ergebnis_je_Aktie_verwässert!A$3:AK$103,17,FALSE))),""),"")</f>
        <v>#N/A</v>
      </c>
      <c r="R78" s="5" t="e">
        <f>IF(VLOOKUP(A78,Dividende_je_Aktie!A$3:AM$103,18,FALSE)&lt;&gt;"",IF(VLOOKUP(A78,Ergebnis_je_Aktie_verwässert!A$3:AK$103,18,FALSE)&lt;&gt;"",IF(VLOOKUP(A78,Ergebnis_je_Aktie_verwässert!A$3:AK$103,18,FALSE)&lt;=0,2,IF(VLOOKUP(A78,Dividende_je_Aktie!A$3:AM$103,18,FALSE)/VLOOKUP(A78,Ergebnis_je_Aktie_verwässert!A$3:AK$103,18,FALSE)&gt;=2,2,VLOOKUP(A78,Dividende_je_Aktie!A$3:AM$103,18,FALSE)/VLOOKUP(A78,Ergebnis_je_Aktie_verwässert!A$3:AK$103,18,FALSE))),""),"")</f>
        <v>#N/A</v>
      </c>
      <c r="S78" s="10" t="e">
        <f t="shared" si="6"/>
        <v>#N/A</v>
      </c>
      <c r="T78" s="4">
        <f t="shared" ca="1" si="7"/>
        <v>41553</v>
      </c>
      <c r="U78" s="4">
        <f t="shared" ca="1" si="8"/>
        <v>-41193</v>
      </c>
      <c r="V78" s="4" t="e">
        <f t="shared" ca="1" si="9"/>
        <v>#NUM!</v>
      </c>
      <c r="W78" s="10" t="e">
        <f t="shared" ca="1" si="10"/>
        <v>#N/A</v>
      </c>
      <c r="X78" s="5" t="e">
        <f t="shared" ca="1" si="11"/>
        <v>#N/A</v>
      </c>
    </row>
    <row r="79" spans="1:24" x14ac:dyDescent="0.25">
      <c r="C79" s="56"/>
      <c r="D79" s="56"/>
      <c r="E79" s="56"/>
      <c r="F79" s="5" t="e">
        <f>IF(VLOOKUP(A79,Dividende_je_Aktie!A$3:AM$103,6,FALSE)&lt;&gt;"",IF(VLOOKUP(A79,Ergebnis_je_Aktie_verwässert!A$3:AK$103,6,FALSE)&lt;&gt;"",IF(VLOOKUP(A79,Ergebnis_je_Aktie_verwässert!A$3:AK$103,6,FALSE)&lt;=0,2,IF(VLOOKUP(A79,Dividende_je_Aktie!A$3:AM$103,6,FALSE)/VLOOKUP(A79,Ergebnis_je_Aktie_verwässert!A$3:AK$103,6,FALSE)&gt;=2,2,VLOOKUP(A79,Dividende_je_Aktie!A$3:AM$103,6,FALSE)/VLOOKUP(A79,Ergebnis_je_Aktie_verwässert!A$3:AK$103,6,FALSE))),""),"")</f>
        <v>#N/A</v>
      </c>
      <c r="G79" s="5" t="e">
        <f>IF(VLOOKUP(A79,Dividende_je_Aktie!A$3:AM$103,7,FALSE)&lt;&gt;"",IF(VLOOKUP(A79,Ergebnis_je_Aktie_verwässert!A$3:AK$103,7,FALSE)&lt;&gt;"",IF(VLOOKUP(A79,Ergebnis_je_Aktie_verwässert!A$3:AK$103,7,FALSE)&lt;=0,2,IF(VLOOKUP(A79,Dividende_je_Aktie!A$3:AM$103,7,FALSE)/VLOOKUP(A79,Ergebnis_je_Aktie_verwässert!A$3:AK$103,7,FALSE)&gt;=2,2,VLOOKUP(A79,Dividende_je_Aktie!A$3:AM$103,7,FALSE)/VLOOKUP(A79,Ergebnis_je_Aktie_verwässert!A$3:AK$103,7,FALSE))),""),"")</f>
        <v>#N/A</v>
      </c>
      <c r="H79" s="5" t="e">
        <f>IF(VLOOKUP(A79,Dividende_je_Aktie!A$3:AM$103,8,FALSE)&lt;&gt;"",IF(VLOOKUP(A79,Ergebnis_je_Aktie_verwässert!A$3:AK$103,8,FALSE)&lt;&gt;"",IF(VLOOKUP(A79,Ergebnis_je_Aktie_verwässert!A$3:AK$103,8,FALSE)&lt;=0,2,IF(VLOOKUP(A79,Dividende_je_Aktie!A$3:AM$103,8,FALSE)/VLOOKUP(A79,Ergebnis_je_Aktie_verwässert!A$3:AK$103,8,FALSE)&gt;=2,2,VLOOKUP(A79,Dividende_je_Aktie!A$3:AM$103,8,FALSE)/VLOOKUP(A79,Ergebnis_je_Aktie_verwässert!A$3:AK$103,8,FALSE))),""),"")</f>
        <v>#N/A</v>
      </c>
      <c r="I79" s="5" t="e">
        <f>IF(VLOOKUP(A79,Dividende_je_Aktie!A$3:AM$103,9,FALSE)&lt;&gt;"",IF(VLOOKUP(A79,Ergebnis_je_Aktie_verwässert!A$3:AK$103,9,FALSE)&lt;&gt;"",IF(VLOOKUP(A79,Ergebnis_je_Aktie_verwässert!A$3:AK$103,9,FALSE)&lt;=0,2,IF(VLOOKUP(A79,Dividende_je_Aktie!A$3:AM$103,9,FALSE)/VLOOKUP(A79,Ergebnis_je_Aktie_verwässert!A$3:AK$103,9,FALSE)&gt;=2,2,VLOOKUP(A79,Dividende_je_Aktie!A$3:AM$103,9,FALSE)/VLOOKUP(A79,Ergebnis_je_Aktie_verwässert!A$3:AK$103,9,FALSE))),""),"")</f>
        <v>#N/A</v>
      </c>
      <c r="J79" s="5" t="e">
        <f>IF(VLOOKUP(A79,Dividende_je_Aktie!A$3:AM$103,10,FALSE)&lt;&gt;"",IF(VLOOKUP(A79,Ergebnis_je_Aktie_verwässert!A$3:AK$103,10,FALSE)&lt;&gt;"",IF(VLOOKUP(A79,Ergebnis_je_Aktie_verwässert!A$3:AK$103,10,FALSE)&lt;=0,2,IF(VLOOKUP(A79,Dividende_je_Aktie!A$3:AM$103,10,FALSE)/VLOOKUP(A79,Ergebnis_je_Aktie_verwässert!A$3:AK$103,10,FALSE)&gt;=2,2,VLOOKUP(A79,Dividende_je_Aktie!A$3:AM$103,10,FALSE)/VLOOKUP(A79,Ergebnis_je_Aktie_verwässert!A$3:AK$103,10,FALSE))),""),"")</f>
        <v>#N/A</v>
      </c>
      <c r="K79" s="5" t="e">
        <f>IF(VLOOKUP(A79,Dividende_je_Aktie!A$3:AM$103,11,FALSE)&lt;&gt;"",IF(VLOOKUP(A79,Ergebnis_je_Aktie_verwässert!A$3:AK$103,11,FALSE)&lt;&gt;"",IF(VLOOKUP(A79,Ergebnis_je_Aktie_verwässert!A$3:AK$103,11,FALSE)&lt;=0,2,IF(VLOOKUP(A79,Dividende_je_Aktie!A$3:AM$103,11,FALSE)/VLOOKUP(A79,Ergebnis_je_Aktie_verwässert!A$3:AK$103,11,FALSE)&gt;=2,2,VLOOKUP(A79,Dividende_je_Aktie!A$3:AM$103,11,FALSE)/VLOOKUP(A79,Ergebnis_je_Aktie_verwässert!A$3:AK$103,11,FALSE))),""),"")</f>
        <v>#N/A</v>
      </c>
      <c r="L79" s="5" t="e">
        <f>IF(VLOOKUP(A79,Dividende_je_Aktie!A$3:AM$103,12,FALSE)&lt;&gt;"",IF(VLOOKUP(A79,Ergebnis_je_Aktie_verwässert!A$3:AK$103,12,FALSE)&lt;&gt;"",IF(VLOOKUP(A79,Ergebnis_je_Aktie_verwässert!A$3:AK$103,12,FALSE)&lt;=0,2,IF(VLOOKUP(A79,Dividende_je_Aktie!A$3:AM$103,12,FALSE)/VLOOKUP(A79,Ergebnis_je_Aktie_verwässert!A$3:AK$103,12,FALSE)&gt;=2,2,VLOOKUP(A79,Dividende_je_Aktie!A$3:AM$103,12,FALSE)/VLOOKUP(A79,Ergebnis_je_Aktie_verwässert!A$3:AK$103,12,FALSE))),""),"")</f>
        <v>#N/A</v>
      </c>
      <c r="M79" s="5" t="e">
        <f>IF(VLOOKUP(A79,Dividende_je_Aktie!A$3:AM$103,13,FALSE)&lt;&gt;"",IF(VLOOKUP(A79,Ergebnis_je_Aktie_verwässert!A$3:AK$103,13,FALSE)&lt;&gt;"",IF(VLOOKUP(A79,Ergebnis_je_Aktie_verwässert!A$3:AK$103,13,FALSE)&lt;=0,2,IF(VLOOKUP(A79,Dividende_je_Aktie!A$3:AM$103,13,FALSE)/VLOOKUP(A79,Ergebnis_je_Aktie_verwässert!A$3:AK$103,13,FALSE)&gt;=2,2,VLOOKUP(A79,Dividende_je_Aktie!A$3:AM$103,13,FALSE)/VLOOKUP(A79,Ergebnis_je_Aktie_verwässert!A$3:AK$103,13,FALSE))),""),"")</f>
        <v>#N/A</v>
      </c>
      <c r="N79" s="5" t="e">
        <f>IF(VLOOKUP(A79,Dividende_je_Aktie!A$3:AM$103,14,FALSE)&lt;&gt;"",IF(VLOOKUP(A79,Ergebnis_je_Aktie_verwässert!A$3:AK$103,14,FALSE)&lt;&gt;"",IF(VLOOKUP(A79,Ergebnis_je_Aktie_verwässert!A$3:AK$103,14,FALSE)&lt;=0,2,IF(VLOOKUP(A79,Dividende_je_Aktie!A$3:AM$103,14,FALSE)/VLOOKUP(A79,Ergebnis_je_Aktie_verwässert!A$3:AK$103,14,FALSE)&gt;=2,2,VLOOKUP(A79,Dividende_je_Aktie!A$3:AM$103,14,FALSE)/VLOOKUP(A79,Ergebnis_je_Aktie_verwässert!A$3:AK$103,14,FALSE))),""),"")</f>
        <v>#N/A</v>
      </c>
      <c r="O79" s="5" t="e">
        <f>IF(VLOOKUP(A79,Dividende_je_Aktie!A$3:AM$103,15,FALSE)&lt;&gt;"",IF(VLOOKUP(A79,Ergebnis_je_Aktie_verwässert!A$3:AK$103,15,FALSE)&lt;&gt;"",IF(VLOOKUP(A79,Ergebnis_je_Aktie_verwässert!A$3:AK$103,15,FALSE)&lt;=0,2,IF(VLOOKUP(A79,Dividende_je_Aktie!A$3:AM$103,15,FALSE)/VLOOKUP(A79,Ergebnis_je_Aktie_verwässert!A$3:AK$103,15,FALSE)&gt;=2,2,VLOOKUP(A79,Dividende_je_Aktie!A$3:AM$103,15,FALSE)/VLOOKUP(A79,Ergebnis_je_Aktie_verwässert!A$3:AK$103,15,FALSE))),""),"")</f>
        <v>#N/A</v>
      </c>
      <c r="P79" s="5" t="e">
        <f>IF(VLOOKUP(A79,Dividende_je_Aktie!A$3:AM$103,16,FALSE)&lt;&gt;"",IF(VLOOKUP(A79,Ergebnis_je_Aktie_verwässert!A$3:AK$103,16,FALSE)&lt;&gt;"",IF(VLOOKUP(A79,Ergebnis_je_Aktie_verwässert!A$3:AK$103,16,FALSE)&lt;=0,2,IF(VLOOKUP(A79,Dividende_je_Aktie!A$3:AM$103,16,FALSE)/VLOOKUP(A79,Ergebnis_je_Aktie_verwässert!A$3:AK$103,16,FALSE)&gt;=2,2,VLOOKUP(A79,Dividende_je_Aktie!A$3:AM$103,16,FALSE)/VLOOKUP(A79,Ergebnis_je_Aktie_verwässert!A$3:AK$103,16,FALSE))),""),"")</f>
        <v>#N/A</v>
      </c>
      <c r="Q79" s="5" t="e">
        <f>IF(VLOOKUP(A79,Dividende_je_Aktie!A$3:AM$103,17,FALSE)&lt;&gt;"",IF(VLOOKUP(A79,Ergebnis_je_Aktie_verwässert!A$3:AK$103,17,FALSE)&lt;&gt;"",IF(VLOOKUP(A79,Ergebnis_je_Aktie_verwässert!A$3:AK$103,17,FALSE)&lt;=0,2,IF(VLOOKUP(A79,Dividende_je_Aktie!A$3:AM$103,17,FALSE)/VLOOKUP(A79,Ergebnis_je_Aktie_verwässert!A$3:AK$103,17,FALSE)&gt;=2,2,VLOOKUP(A79,Dividende_je_Aktie!A$3:AM$103,17,FALSE)/VLOOKUP(A79,Ergebnis_je_Aktie_verwässert!A$3:AK$103,17,FALSE))),""),"")</f>
        <v>#N/A</v>
      </c>
      <c r="R79" s="5" t="e">
        <f>IF(VLOOKUP(A79,Dividende_je_Aktie!A$3:AM$103,18,FALSE)&lt;&gt;"",IF(VLOOKUP(A79,Ergebnis_je_Aktie_verwässert!A$3:AK$103,18,FALSE)&lt;&gt;"",IF(VLOOKUP(A79,Ergebnis_je_Aktie_verwässert!A$3:AK$103,18,FALSE)&lt;=0,2,IF(VLOOKUP(A79,Dividende_je_Aktie!A$3:AM$103,18,FALSE)/VLOOKUP(A79,Ergebnis_je_Aktie_verwässert!A$3:AK$103,18,FALSE)&gt;=2,2,VLOOKUP(A79,Dividende_je_Aktie!A$3:AM$103,18,FALSE)/VLOOKUP(A79,Ergebnis_je_Aktie_verwässert!A$3:AK$103,18,FALSE))),""),"")</f>
        <v>#N/A</v>
      </c>
      <c r="S79" s="10" t="e">
        <f t="shared" si="6"/>
        <v>#N/A</v>
      </c>
      <c r="T79" s="4">
        <f t="shared" ca="1" si="7"/>
        <v>41553</v>
      </c>
      <c r="U79" s="4">
        <f t="shared" ca="1" si="8"/>
        <v>-41193</v>
      </c>
      <c r="V79" s="4" t="e">
        <f t="shared" ca="1" si="9"/>
        <v>#NUM!</v>
      </c>
      <c r="W79" s="10" t="e">
        <f t="shared" ca="1" si="10"/>
        <v>#N/A</v>
      </c>
      <c r="X79" s="5" t="e">
        <f t="shared" ca="1" si="11"/>
        <v>#N/A</v>
      </c>
    </row>
    <row r="80" spans="1:24" x14ac:dyDescent="0.25">
      <c r="C80" s="56"/>
      <c r="D80" s="56"/>
      <c r="E80" s="56"/>
      <c r="F80" s="5" t="e">
        <f>IF(VLOOKUP(A80,Dividende_je_Aktie!A$3:AM$103,6,FALSE)&lt;&gt;"",IF(VLOOKUP(A80,Ergebnis_je_Aktie_verwässert!A$3:AK$103,6,FALSE)&lt;&gt;"",IF(VLOOKUP(A80,Ergebnis_je_Aktie_verwässert!A$3:AK$103,6,FALSE)&lt;=0,2,IF(VLOOKUP(A80,Dividende_je_Aktie!A$3:AM$103,6,FALSE)/VLOOKUP(A80,Ergebnis_je_Aktie_verwässert!A$3:AK$103,6,FALSE)&gt;=2,2,VLOOKUP(A80,Dividende_je_Aktie!A$3:AM$103,6,FALSE)/VLOOKUP(A80,Ergebnis_je_Aktie_verwässert!A$3:AK$103,6,FALSE))),""),"")</f>
        <v>#N/A</v>
      </c>
      <c r="G80" s="5" t="e">
        <f>IF(VLOOKUP(A80,Dividende_je_Aktie!A$3:AM$103,7,FALSE)&lt;&gt;"",IF(VLOOKUP(A80,Ergebnis_je_Aktie_verwässert!A$3:AK$103,7,FALSE)&lt;&gt;"",IF(VLOOKUP(A80,Ergebnis_je_Aktie_verwässert!A$3:AK$103,7,FALSE)&lt;=0,2,IF(VLOOKUP(A80,Dividende_je_Aktie!A$3:AM$103,7,FALSE)/VLOOKUP(A80,Ergebnis_je_Aktie_verwässert!A$3:AK$103,7,FALSE)&gt;=2,2,VLOOKUP(A80,Dividende_je_Aktie!A$3:AM$103,7,FALSE)/VLOOKUP(A80,Ergebnis_je_Aktie_verwässert!A$3:AK$103,7,FALSE))),""),"")</f>
        <v>#N/A</v>
      </c>
      <c r="H80" s="5" t="e">
        <f>IF(VLOOKUP(A80,Dividende_je_Aktie!A$3:AM$103,8,FALSE)&lt;&gt;"",IF(VLOOKUP(A80,Ergebnis_je_Aktie_verwässert!A$3:AK$103,8,FALSE)&lt;&gt;"",IF(VLOOKUP(A80,Ergebnis_je_Aktie_verwässert!A$3:AK$103,8,FALSE)&lt;=0,2,IF(VLOOKUP(A80,Dividende_je_Aktie!A$3:AM$103,8,FALSE)/VLOOKUP(A80,Ergebnis_je_Aktie_verwässert!A$3:AK$103,8,FALSE)&gt;=2,2,VLOOKUP(A80,Dividende_je_Aktie!A$3:AM$103,8,FALSE)/VLOOKUP(A80,Ergebnis_je_Aktie_verwässert!A$3:AK$103,8,FALSE))),""),"")</f>
        <v>#N/A</v>
      </c>
      <c r="I80" s="5" t="e">
        <f>IF(VLOOKUP(A80,Dividende_je_Aktie!A$3:AM$103,9,FALSE)&lt;&gt;"",IF(VLOOKUP(A80,Ergebnis_je_Aktie_verwässert!A$3:AK$103,9,FALSE)&lt;&gt;"",IF(VLOOKUP(A80,Ergebnis_je_Aktie_verwässert!A$3:AK$103,9,FALSE)&lt;=0,2,IF(VLOOKUP(A80,Dividende_je_Aktie!A$3:AM$103,9,FALSE)/VLOOKUP(A80,Ergebnis_je_Aktie_verwässert!A$3:AK$103,9,FALSE)&gt;=2,2,VLOOKUP(A80,Dividende_je_Aktie!A$3:AM$103,9,FALSE)/VLOOKUP(A80,Ergebnis_je_Aktie_verwässert!A$3:AK$103,9,FALSE))),""),"")</f>
        <v>#N/A</v>
      </c>
      <c r="J80" s="5" t="e">
        <f>IF(VLOOKUP(A80,Dividende_je_Aktie!A$3:AM$103,10,FALSE)&lt;&gt;"",IF(VLOOKUP(A80,Ergebnis_je_Aktie_verwässert!A$3:AK$103,10,FALSE)&lt;&gt;"",IF(VLOOKUP(A80,Ergebnis_je_Aktie_verwässert!A$3:AK$103,10,FALSE)&lt;=0,2,IF(VLOOKUP(A80,Dividende_je_Aktie!A$3:AM$103,10,FALSE)/VLOOKUP(A80,Ergebnis_je_Aktie_verwässert!A$3:AK$103,10,FALSE)&gt;=2,2,VLOOKUP(A80,Dividende_je_Aktie!A$3:AM$103,10,FALSE)/VLOOKUP(A80,Ergebnis_je_Aktie_verwässert!A$3:AK$103,10,FALSE))),""),"")</f>
        <v>#N/A</v>
      </c>
      <c r="K80" s="5" t="e">
        <f>IF(VLOOKUP(A80,Dividende_je_Aktie!A$3:AM$103,11,FALSE)&lt;&gt;"",IF(VLOOKUP(A80,Ergebnis_je_Aktie_verwässert!A$3:AK$103,11,FALSE)&lt;&gt;"",IF(VLOOKUP(A80,Ergebnis_je_Aktie_verwässert!A$3:AK$103,11,FALSE)&lt;=0,2,IF(VLOOKUP(A80,Dividende_je_Aktie!A$3:AM$103,11,FALSE)/VLOOKUP(A80,Ergebnis_je_Aktie_verwässert!A$3:AK$103,11,FALSE)&gt;=2,2,VLOOKUP(A80,Dividende_je_Aktie!A$3:AM$103,11,FALSE)/VLOOKUP(A80,Ergebnis_je_Aktie_verwässert!A$3:AK$103,11,FALSE))),""),"")</f>
        <v>#N/A</v>
      </c>
      <c r="L80" s="5" t="e">
        <f>IF(VLOOKUP(A80,Dividende_je_Aktie!A$3:AM$103,12,FALSE)&lt;&gt;"",IF(VLOOKUP(A80,Ergebnis_je_Aktie_verwässert!A$3:AK$103,12,FALSE)&lt;&gt;"",IF(VLOOKUP(A80,Ergebnis_je_Aktie_verwässert!A$3:AK$103,12,FALSE)&lt;=0,2,IF(VLOOKUP(A80,Dividende_je_Aktie!A$3:AM$103,12,FALSE)/VLOOKUP(A80,Ergebnis_je_Aktie_verwässert!A$3:AK$103,12,FALSE)&gt;=2,2,VLOOKUP(A80,Dividende_je_Aktie!A$3:AM$103,12,FALSE)/VLOOKUP(A80,Ergebnis_je_Aktie_verwässert!A$3:AK$103,12,FALSE))),""),"")</f>
        <v>#N/A</v>
      </c>
      <c r="M80" s="5" t="e">
        <f>IF(VLOOKUP(A80,Dividende_je_Aktie!A$3:AM$103,13,FALSE)&lt;&gt;"",IF(VLOOKUP(A80,Ergebnis_je_Aktie_verwässert!A$3:AK$103,13,FALSE)&lt;&gt;"",IF(VLOOKUP(A80,Ergebnis_je_Aktie_verwässert!A$3:AK$103,13,FALSE)&lt;=0,2,IF(VLOOKUP(A80,Dividende_je_Aktie!A$3:AM$103,13,FALSE)/VLOOKUP(A80,Ergebnis_je_Aktie_verwässert!A$3:AK$103,13,FALSE)&gt;=2,2,VLOOKUP(A80,Dividende_je_Aktie!A$3:AM$103,13,FALSE)/VLOOKUP(A80,Ergebnis_je_Aktie_verwässert!A$3:AK$103,13,FALSE))),""),"")</f>
        <v>#N/A</v>
      </c>
      <c r="N80" s="5" t="e">
        <f>IF(VLOOKUP(A80,Dividende_je_Aktie!A$3:AM$103,14,FALSE)&lt;&gt;"",IF(VLOOKUP(A80,Ergebnis_je_Aktie_verwässert!A$3:AK$103,14,FALSE)&lt;&gt;"",IF(VLOOKUP(A80,Ergebnis_je_Aktie_verwässert!A$3:AK$103,14,FALSE)&lt;=0,2,IF(VLOOKUP(A80,Dividende_je_Aktie!A$3:AM$103,14,FALSE)/VLOOKUP(A80,Ergebnis_je_Aktie_verwässert!A$3:AK$103,14,FALSE)&gt;=2,2,VLOOKUP(A80,Dividende_je_Aktie!A$3:AM$103,14,FALSE)/VLOOKUP(A80,Ergebnis_je_Aktie_verwässert!A$3:AK$103,14,FALSE))),""),"")</f>
        <v>#N/A</v>
      </c>
      <c r="O80" s="5" t="e">
        <f>IF(VLOOKUP(A80,Dividende_je_Aktie!A$3:AM$103,15,FALSE)&lt;&gt;"",IF(VLOOKUP(A80,Ergebnis_je_Aktie_verwässert!A$3:AK$103,15,FALSE)&lt;&gt;"",IF(VLOOKUP(A80,Ergebnis_je_Aktie_verwässert!A$3:AK$103,15,FALSE)&lt;=0,2,IF(VLOOKUP(A80,Dividende_je_Aktie!A$3:AM$103,15,FALSE)/VLOOKUP(A80,Ergebnis_je_Aktie_verwässert!A$3:AK$103,15,FALSE)&gt;=2,2,VLOOKUP(A80,Dividende_je_Aktie!A$3:AM$103,15,FALSE)/VLOOKUP(A80,Ergebnis_je_Aktie_verwässert!A$3:AK$103,15,FALSE))),""),"")</f>
        <v>#N/A</v>
      </c>
      <c r="P80" s="5" t="e">
        <f>IF(VLOOKUP(A80,Dividende_je_Aktie!A$3:AM$103,16,FALSE)&lt;&gt;"",IF(VLOOKUP(A80,Ergebnis_je_Aktie_verwässert!A$3:AK$103,16,FALSE)&lt;&gt;"",IF(VLOOKUP(A80,Ergebnis_je_Aktie_verwässert!A$3:AK$103,16,FALSE)&lt;=0,2,IF(VLOOKUP(A80,Dividende_je_Aktie!A$3:AM$103,16,FALSE)/VLOOKUP(A80,Ergebnis_je_Aktie_verwässert!A$3:AK$103,16,FALSE)&gt;=2,2,VLOOKUP(A80,Dividende_je_Aktie!A$3:AM$103,16,FALSE)/VLOOKUP(A80,Ergebnis_je_Aktie_verwässert!A$3:AK$103,16,FALSE))),""),"")</f>
        <v>#N/A</v>
      </c>
      <c r="Q80" s="5" t="e">
        <f>IF(VLOOKUP(A80,Dividende_je_Aktie!A$3:AM$103,17,FALSE)&lt;&gt;"",IF(VLOOKUP(A80,Ergebnis_je_Aktie_verwässert!A$3:AK$103,17,FALSE)&lt;&gt;"",IF(VLOOKUP(A80,Ergebnis_je_Aktie_verwässert!A$3:AK$103,17,FALSE)&lt;=0,2,IF(VLOOKUP(A80,Dividende_je_Aktie!A$3:AM$103,17,FALSE)/VLOOKUP(A80,Ergebnis_je_Aktie_verwässert!A$3:AK$103,17,FALSE)&gt;=2,2,VLOOKUP(A80,Dividende_je_Aktie!A$3:AM$103,17,FALSE)/VLOOKUP(A80,Ergebnis_je_Aktie_verwässert!A$3:AK$103,17,FALSE))),""),"")</f>
        <v>#N/A</v>
      </c>
      <c r="R80" s="5" t="e">
        <f>IF(VLOOKUP(A80,Dividende_je_Aktie!A$3:AM$103,18,FALSE)&lt;&gt;"",IF(VLOOKUP(A80,Ergebnis_je_Aktie_verwässert!A$3:AK$103,18,FALSE)&lt;&gt;"",IF(VLOOKUP(A80,Ergebnis_je_Aktie_verwässert!A$3:AK$103,18,FALSE)&lt;=0,2,IF(VLOOKUP(A80,Dividende_je_Aktie!A$3:AM$103,18,FALSE)/VLOOKUP(A80,Ergebnis_je_Aktie_verwässert!A$3:AK$103,18,FALSE)&gt;=2,2,VLOOKUP(A80,Dividende_je_Aktie!A$3:AM$103,18,FALSE)/VLOOKUP(A80,Ergebnis_je_Aktie_verwässert!A$3:AK$103,18,FALSE))),""),"")</f>
        <v>#N/A</v>
      </c>
      <c r="S80" s="10" t="e">
        <f t="shared" si="6"/>
        <v>#N/A</v>
      </c>
      <c r="T80" s="4">
        <f t="shared" ca="1" si="7"/>
        <v>41553</v>
      </c>
      <c r="U80" s="4">
        <f t="shared" ca="1" si="8"/>
        <v>-41193</v>
      </c>
      <c r="V80" s="4" t="e">
        <f t="shared" ca="1" si="9"/>
        <v>#NUM!</v>
      </c>
      <c r="W80" s="10" t="e">
        <f t="shared" ca="1" si="10"/>
        <v>#N/A</v>
      </c>
      <c r="X80" s="5" t="e">
        <f t="shared" ca="1" si="11"/>
        <v>#N/A</v>
      </c>
    </row>
    <row r="81" spans="3:24" x14ac:dyDescent="0.25">
      <c r="C81" s="56"/>
      <c r="D81" s="56"/>
      <c r="E81" s="56"/>
      <c r="F81" s="5" t="e">
        <f>IF(VLOOKUP(A81,Dividende_je_Aktie!A$3:AM$103,6,FALSE)&lt;&gt;"",IF(VLOOKUP(A81,Ergebnis_je_Aktie_verwässert!A$3:AK$103,6,FALSE)&lt;&gt;"",IF(VLOOKUP(A81,Ergebnis_je_Aktie_verwässert!A$3:AK$103,6,FALSE)&lt;=0,2,IF(VLOOKUP(A81,Dividende_je_Aktie!A$3:AM$103,6,FALSE)/VLOOKUP(A81,Ergebnis_je_Aktie_verwässert!A$3:AK$103,6,FALSE)&gt;=2,2,VLOOKUP(A81,Dividende_je_Aktie!A$3:AM$103,6,FALSE)/VLOOKUP(A81,Ergebnis_je_Aktie_verwässert!A$3:AK$103,6,FALSE))),""),"")</f>
        <v>#N/A</v>
      </c>
      <c r="G81" s="5" t="e">
        <f>IF(VLOOKUP(A81,Dividende_je_Aktie!A$3:AM$103,7,FALSE)&lt;&gt;"",IF(VLOOKUP(A81,Ergebnis_je_Aktie_verwässert!A$3:AK$103,7,FALSE)&lt;&gt;"",IF(VLOOKUP(A81,Ergebnis_je_Aktie_verwässert!A$3:AK$103,7,FALSE)&lt;=0,2,IF(VLOOKUP(A81,Dividende_je_Aktie!A$3:AM$103,7,FALSE)/VLOOKUP(A81,Ergebnis_je_Aktie_verwässert!A$3:AK$103,7,FALSE)&gt;=2,2,VLOOKUP(A81,Dividende_je_Aktie!A$3:AM$103,7,FALSE)/VLOOKUP(A81,Ergebnis_je_Aktie_verwässert!A$3:AK$103,7,FALSE))),""),"")</f>
        <v>#N/A</v>
      </c>
      <c r="H81" s="5" t="e">
        <f>IF(VLOOKUP(A81,Dividende_je_Aktie!A$3:AM$103,8,FALSE)&lt;&gt;"",IF(VLOOKUP(A81,Ergebnis_je_Aktie_verwässert!A$3:AK$103,8,FALSE)&lt;&gt;"",IF(VLOOKUP(A81,Ergebnis_je_Aktie_verwässert!A$3:AK$103,8,FALSE)&lt;=0,2,IF(VLOOKUP(A81,Dividende_je_Aktie!A$3:AM$103,8,FALSE)/VLOOKUP(A81,Ergebnis_je_Aktie_verwässert!A$3:AK$103,8,FALSE)&gt;=2,2,VLOOKUP(A81,Dividende_je_Aktie!A$3:AM$103,8,FALSE)/VLOOKUP(A81,Ergebnis_je_Aktie_verwässert!A$3:AK$103,8,FALSE))),""),"")</f>
        <v>#N/A</v>
      </c>
      <c r="I81" s="5" t="e">
        <f>IF(VLOOKUP(A81,Dividende_je_Aktie!A$3:AM$103,9,FALSE)&lt;&gt;"",IF(VLOOKUP(A81,Ergebnis_je_Aktie_verwässert!A$3:AK$103,9,FALSE)&lt;&gt;"",IF(VLOOKUP(A81,Ergebnis_je_Aktie_verwässert!A$3:AK$103,9,FALSE)&lt;=0,2,IF(VLOOKUP(A81,Dividende_je_Aktie!A$3:AM$103,9,FALSE)/VLOOKUP(A81,Ergebnis_je_Aktie_verwässert!A$3:AK$103,9,FALSE)&gt;=2,2,VLOOKUP(A81,Dividende_je_Aktie!A$3:AM$103,9,FALSE)/VLOOKUP(A81,Ergebnis_je_Aktie_verwässert!A$3:AK$103,9,FALSE))),""),"")</f>
        <v>#N/A</v>
      </c>
      <c r="J81" s="5" t="e">
        <f>IF(VLOOKUP(A81,Dividende_je_Aktie!A$3:AM$103,10,FALSE)&lt;&gt;"",IF(VLOOKUP(A81,Ergebnis_je_Aktie_verwässert!A$3:AK$103,10,FALSE)&lt;&gt;"",IF(VLOOKUP(A81,Ergebnis_je_Aktie_verwässert!A$3:AK$103,10,FALSE)&lt;=0,2,IF(VLOOKUP(A81,Dividende_je_Aktie!A$3:AM$103,10,FALSE)/VLOOKUP(A81,Ergebnis_je_Aktie_verwässert!A$3:AK$103,10,FALSE)&gt;=2,2,VLOOKUP(A81,Dividende_je_Aktie!A$3:AM$103,10,FALSE)/VLOOKUP(A81,Ergebnis_je_Aktie_verwässert!A$3:AK$103,10,FALSE))),""),"")</f>
        <v>#N/A</v>
      </c>
      <c r="K81" s="5" t="e">
        <f>IF(VLOOKUP(A81,Dividende_je_Aktie!A$3:AM$103,11,FALSE)&lt;&gt;"",IF(VLOOKUP(A81,Ergebnis_je_Aktie_verwässert!A$3:AK$103,11,FALSE)&lt;&gt;"",IF(VLOOKUP(A81,Ergebnis_je_Aktie_verwässert!A$3:AK$103,11,FALSE)&lt;=0,2,IF(VLOOKUP(A81,Dividende_je_Aktie!A$3:AM$103,11,FALSE)/VLOOKUP(A81,Ergebnis_je_Aktie_verwässert!A$3:AK$103,11,FALSE)&gt;=2,2,VLOOKUP(A81,Dividende_je_Aktie!A$3:AM$103,11,FALSE)/VLOOKUP(A81,Ergebnis_je_Aktie_verwässert!A$3:AK$103,11,FALSE))),""),"")</f>
        <v>#N/A</v>
      </c>
      <c r="L81" s="5" t="e">
        <f>IF(VLOOKUP(A81,Dividende_je_Aktie!A$3:AM$103,12,FALSE)&lt;&gt;"",IF(VLOOKUP(A81,Ergebnis_je_Aktie_verwässert!A$3:AK$103,12,FALSE)&lt;&gt;"",IF(VLOOKUP(A81,Ergebnis_je_Aktie_verwässert!A$3:AK$103,12,FALSE)&lt;=0,2,IF(VLOOKUP(A81,Dividende_je_Aktie!A$3:AM$103,12,FALSE)/VLOOKUP(A81,Ergebnis_je_Aktie_verwässert!A$3:AK$103,12,FALSE)&gt;=2,2,VLOOKUP(A81,Dividende_je_Aktie!A$3:AM$103,12,FALSE)/VLOOKUP(A81,Ergebnis_je_Aktie_verwässert!A$3:AK$103,12,FALSE))),""),"")</f>
        <v>#N/A</v>
      </c>
      <c r="M81" s="5" t="e">
        <f>IF(VLOOKUP(A81,Dividende_je_Aktie!A$3:AM$103,13,FALSE)&lt;&gt;"",IF(VLOOKUP(A81,Ergebnis_je_Aktie_verwässert!A$3:AK$103,13,FALSE)&lt;&gt;"",IF(VLOOKUP(A81,Ergebnis_je_Aktie_verwässert!A$3:AK$103,13,FALSE)&lt;=0,2,IF(VLOOKUP(A81,Dividende_je_Aktie!A$3:AM$103,13,FALSE)/VLOOKUP(A81,Ergebnis_je_Aktie_verwässert!A$3:AK$103,13,FALSE)&gt;=2,2,VLOOKUP(A81,Dividende_je_Aktie!A$3:AM$103,13,FALSE)/VLOOKUP(A81,Ergebnis_je_Aktie_verwässert!A$3:AK$103,13,FALSE))),""),"")</f>
        <v>#N/A</v>
      </c>
      <c r="N81" s="5" t="e">
        <f>IF(VLOOKUP(A81,Dividende_je_Aktie!A$3:AM$103,14,FALSE)&lt;&gt;"",IF(VLOOKUP(A81,Ergebnis_je_Aktie_verwässert!A$3:AK$103,14,FALSE)&lt;&gt;"",IF(VLOOKUP(A81,Ergebnis_je_Aktie_verwässert!A$3:AK$103,14,FALSE)&lt;=0,2,IF(VLOOKUP(A81,Dividende_je_Aktie!A$3:AM$103,14,FALSE)/VLOOKUP(A81,Ergebnis_je_Aktie_verwässert!A$3:AK$103,14,FALSE)&gt;=2,2,VLOOKUP(A81,Dividende_je_Aktie!A$3:AM$103,14,FALSE)/VLOOKUP(A81,Ergebnis_je_Aktie_verwässert!A$3:AK$103,14,FALSE))),""),"")</f>
        <v>#N/A</v>
      </c>
      <c r="O81" s="5" t="e">
        <f>IF(VLOOKUP(A81,Dividende_je_Aktie!A$3:AM$103,15,FALSE)&lt;&gt;"",IF(VLOOKUP(A81,Ergebnis_je_Aktie_verwässert!A$3:AK$103,15,FALSE)&lt;&gt;"",IF(VLOOKUP(A81,Ergebnis_je_Aktie_verwässert!A$3:AK$103,15,FALSE)&lt;=0,2,IF(VLOOKUP(A81,Dividende_je_Aktie!A$3:AM$103,15,FALSE)/VLOOKUP(A81,Ergebnis_je_Aktie_verwässert!A$3:AK$103,15,FALSE)&gt;=2,2,VLOOKUP(A81,Dividende_je_Aktie!A$3:AM$103,15,FALSE)/VLOOKUP(A81,Ergebnis_je_Aktie_verwässert!A$3:AK$103,15,FALSE))),""),"")</f>
        <v>#N/A</v>
      </c>
      <c r="P81" s="5" t="e">
        <f>IF(VLOOKUP(A81,Dividende_je_Aktie!A$3:AM$103,16,FALSE)&lt;&gt;"",IF(VLOOKUP(A81,Ergebnis_je_Aktie_verwässert!A$3:AK$103,16,FALSE)&lt;&gt;"",IF(VLOOKUP(A81,Ergebnis_je_Aktie_verwässert!A$3:AK$103,16,FALSE)&lt;=0,2,IF(VLOOKUP(A81,Dividende_je_Aktie!A$3:AM$103,16,FALSE)/VLOOKUP(A81,Ergebnis_je_Aktie_verwässert!A$3:AK$103,16,FALSE)&gt;=2,2,VLOOKUP(A81,Dividende_je_Aktie!A$3:AM$103,16,FALSE)/VLOOKUP(A81,Ergebnis_je_Aktie_verwässert!A$3:AK$103,16,FALSE))),""),"")</f>
        <v>#N/A</v>
      </c>
      <c r="Q81" s="5" t="e">
        <f>IF(VLOOKUP(A81,Dividende_je_Aktie!A$3:AM$103,17,FALSE)&lt;&gt;"",IF(VLOOKUP(A81,Ergebnis_je_Aktie_verwässert!A$3:AK$103,17,FALSE)&lt;&gt;"",IF(VLOOKUP(A81,Ergebnis_je_Aktie_verwässert!A$3:AK$103,17,FALSE)&lt;=0,2,IF(VLOOKUP(A81,Dividende_je_Aktie!A$3:AM$103,17,FALSE)/VLOOKUP(A81,Ergebnis_je_Aktie_verwässert!A$3:AK$103,17,FALSE)&gt;=2,2,VLOOKUP(A81,Dividende_je_Aktie!A$3:AM$103,17,FALSE)/VLOOKUP(A81,Ergebnis_je_Aktie_verwässert!A$3:AK$103,17,FALSE))),""),"")</f>
        <v>#N/A</v>
      </c>
      <c r="R81" s="5" t="e">
        <f>IF(VLOOKUP(A81,Dividende_je_Aktie!A$3:AM$103,18,FALSE)&lt;&gt;"",IF(VLOOKUP(A81,Ergebnis_je_Aktie_verwässert!A$3:AK$103,18,FALSE)&lt;&gt;"",IF(VLOOKUP(A81,Ergebnis_je_Aktie_verwässert!A$3:AK$103,18,FALSE)&lt;=0,2,IF(VLOOKUP(A81,Dividende_je_Aktie!A$3:AM$103,18,FALSE)/VLOOKUP(A81,Ergebnis_je_Aktie_verwässert!A$3:AK$103,18,FALSE)&gt;=2,2,VLOOKUP(A81,Dividende_je_Aktie!A$3:AM$103,18,FALSE)/VLOOKUP(A81,Ergebnis_je_Aktie_verwässert!A$3:AK$103,18,FALSE))),""),"")</f>
        <v>#N/A</v>
      </c>
      <c r="S81" s="10" t="e">
        <f t="shared" si="6"/>
        <v>#N/A</v>
      </c>
      <c r="T81" s="4">
        <f t="shared" ca="1" si="7"/>
        <v>41553</v>
      </c>
      <c r="U81" s="4">
        <f t="shared" ca="1" si="8"/>
        <v>-41193</v>
      </c>
      <c r="V81" s="4" t="e">
        <f t="shared" ca="1" si="9"/>
        <v>#NUM!</v>
      </c>
      <c r="W81" s="10" t="e">
        <f t="shared" ca="1" si="10"/>
        <v>#N/A</v>
      </c>
      <c r="X81" s="5" t="e">
        <f t="shared" ca="1" si="11"/>
        <v>#N/A</v>
      </c>
    </row>
    <row r="82" spans="3:24" x14ac:dyDescent="0.25">
      <c r="C82" s="56"/>
      <c r="D82" s="56"/>
      <c r="E82" s="56"/>
      <c r="F82" s="5" t="e">
        <f>IF(VLOOKUP(A82,Dividende_je_Aktie!A$3:AM$103,6,FALSE)&lt;&gt;"",IF(VLOOKUP(A82,Ergebnis_je_Aktie_verwässert!A$3:AK$103,6,FALSE)&lt;&gt;"",IF(VLOOKUP(A82,Ergebnis_je_Aktie_verwässert!A$3:AK$103,6,FALSE)&lt;=0,2,IF(VLOOKUP(A82,Dividende_je_Aktie!A$3:AM$103,6,FALSE)/VLOOKUP(A82,Ergebnis_je_Aktie_verwässert!A$3:AK$103,6,FALSE)&gt;=2,2,VLOOKUP(A82,Dividende_je_Aktie!A$3:AM$103,6,FALSE)/VLOOKUP(A82,Ergebnis_je_Aktie_verwässert!A$3:AK$103,6,FALSE))),""),"")</f>
        <v>#N/A</v>
      </c>
      <c r="G82" s="5" t="e">
        <f>IF(VLOOKUP(A82,Dividende_je_Aktie!A$3:AM$103,7,FALSE)&lt;&gt;"",IF(VLOOKUP(A82,Ergebnis_je_Aktie_verwässert!A$3:AK$103,7,FALSE)&lt;&gt;"",IF(VLOOKUP(A82,Ergebnis_je_Aktie_verwässert!A$3:AK$103,7,FALSE)&lt;=0,2,IF(VLOOKUP(A82,Dividende_je_Aktie!A$3:AM$103,7,FALSE)/VLOOKUP(A82,Ergebnis_je_Aktie_verwässert!A$3:AK$103,7,FALSE)&gt;=2,2,VLOOKUP(A82,Dividende_je_Aktie!A$3:AM$103,7,FALSE)/VLOOKUP(A82,Ergebnis_je_Aktie_verwässert!A$3:AK$103,7,FALSE))),""),"")</f>
        <v>#N/A</v>
      </c>
      <c r="H82" s="5" t="e">
        <f>IF(VLOOKUP(A82,Dividende_je_Aktie!A$3:AM$103,8,FALSE)&lt;&gt;"",IF(VLOOKUP(A82,Ergebnis_je_Aktie_verwässert!A$3:AK$103,8,FALSE)&lt;&gt;"",IF(VLOOKUP(A82,Ergebnis_je_Aktie_verwässert!A$3:AK$103,8,FALSE)&lt;=0,2,IF(VLOOKUP(A82,Dividende_je_Aktie!A$3:AM$103,8,FALSE)/VLOOKUP(A82,Ergebnis_je_Aktie_verwässert!A$3:AK$103,8,FALSE)&gt;=2,2,VLOOKUP(A82,Dividende_je_Aktie!A$3:AM$103,8,FALSE)/VLOOKUP(A82,Ergebnis_je_Aktie_verwässert!A$3:AK$103,8,FALSE))),""),"")</f>
        <v>#N/A</v>
      </c>
      <c r="I82" s="5" t="e">
        <f>IF(VLOOKUP(A82,Dividende_je_Aktie!A$3:AM$103,9,FALSE)&lt;&gt;"",IF(VLOOKUP(A82,Ergebnis_je_Aktie_verwässert!A$3:AK$103,9,FALSE)&lt;&gt;"",IF(VLOOKUP(A82,Ergebnis_je_Aktie_verwässert!A$3:AK$103,9,FALSE)&lt;=0,2,IF(VLOOKUP(A82,Dividende_je_Aktie!A$3:AM$103,9,FALSE)/VLOOKUP(A82,Ergebnis_je_Aktie_verwässert!A$3:AK$103,9,FALSE)&gt;=2,2,VLOOKUP(A82,Dividende_je_Aktie!A$3:AM$103,9,FALSE)/VLOOKUP(A82,Ergebnis_je_Aktie_verwässert!A$3:AK$103,9,FALSE))),""),"")</f>
        <v>#N/A</v>
      </c>
      <c r="J82" s="5" t="e">
        <f>IF(VLOOKUP(A82,Dividende_je_Aktie!A$3:AM$103,10,FALSE)&lt;&gt;"",IF(VLOOKUP(A82,Ergebnis_je_Aktie_verwässert!A$3:AK$103,10,FALSE)&lt;&gt;"",IF(VLOOKUP(A82,Ergebnis_je_Aktie_verwässert!A$3:AK$103,10,FALSE)&lt;=0,2,IF(VLOOKUP(A82,Dividende_je_Aktie!A$3:AM$103,10,FALSE)/VLOOKUP(A82,Ergebnis_je_Aktie_verwässert!A$3:AK$103,10,FALSE)&gt;=2,2,VLOOKUP(A82,Dividende_je_Aktie!A$3:AM$103,10,FALSE)/VLOOKUP(A82,Ergebnis_je_Aktie_verwässert!A$3:AK$103,10,FALSE))),""),"")</f>
        <v>#N/A</v>
      </c>
      <c r="K82" s="5" t="e">
        <f>IF(VLOOKUP(A82,Dividende_je_Aktie!A$3:AM$103,11,FALSE)&lt;&gt;"",IF(VLOOKUP(A82,Ergebnis_je_Aktie_verwässert!A$3:AK$103,11,FALSE)&lt;&gt;"",IF(VLOOKUP(A82,Ergebnis_je_Aktie_verwässert!A$3:AK$103,11,FALSE)&lt;=0,2,IF(VLOOKUP(A82,Dividende_je_Aktie!A$3:AM$103,11,FALSE)/VLOOKUP(A82,Ergebnis_je_Aktie_verwässert!A$3:AK$103,11,FALSE)&gt;=2,2,VLOOKUP(A82,Dividende_je_Aktie!A$3:AM$103,11,FALSE)/VLOOKUP(A82,Ergebnis_je_Aktie_verwässert!A$3:AK$103,11,FALSE))),""),"")</f>
        <v>#N/A</v>
      </c>
      <c r="L82" s="5" t="e">
        <f>IF(VLOOKUP(A82,Dividende_je_Aktie!A$3:AM$103,12,FALSE)&lt;&gt;"",IF(VLOOKUP(A82,Ergebnis_je_Aktie_verwässert!A$3:AK$103,12,FALSE)&lt;&gt;"",IF(VLOOKUP(A82,Ergebnis_je_Aktie_verwässert!A$3:AK$103,12,FALSE)&lt;=0,2,IF(VLOOKUP(A82,Dividende_je_Aktie!A$3:AM$103,12,FALSE)/VLOOKUP(A82,Ergebnis_je_Aktie_verwässert!A$3:AK$103,12,FALSE)&gt;=2,2,VLOOKUP(A82,Dividende_je_Aktie!A$3:AM$103,12,FALSE)/VLOOKUP(A82,Ergebnis_je_Aktie_verwässert!A$3:AK$103,12,FALSE))),""),"")</f>
        <v>#N/A</v>
      </c>
      <c r="M82" s="5" t="e">
        <f>IF(VLOOKUP(A82,Dividende_je_Aktie!A$3:AM$103,13,FALSE)&lt;&gt;"",IF(VLOOKUP(A82,Ergebnis_je_Aktie_verwässert!A$3:AK$103,13,FALSE)&lt;&gt;"",IF(VLOOKUP(A82,Ergebnis_je_Aktie_verwässert!A$3:AK$103,13,FALSE)&lt;=0,2,IF(VLOOKUP(A82,Dividende_je_Aktie!A$3:AM$103,13,FALSE)/VLOOKUP(A82,Ergebnis_je_Aktie_verwässert!A$3:AK$103,13,FALSE)&gt;=2,2,VLOOKUP(A82,Dividende_je_Aktie!A$3:AM$103,13,FALSE)/VLOOKUP(A82,Ergebnis_je_Aktie_verwässert!A$3:AK$103,13,FALSE))),""),"")</f>
        <v>#N/A</v>
      </c>
      <c r="N82" s="5" t="e">
        <f>IF(VLOOKUP(A82,Dividende_je_Aktie!A$3:AM$103,14,FALSE)&lt;&gt;"",IF(VLOOKUP(A82,Ergebnis_je_Aktie_verwässert!A$3:AK$103,14,FALSE)&lt;&gt;"",IF(VLOOKUP(A82,Ergebnis_je_Aktie_verwässert!A$3:AK$103,14,FALSE)&lt;=0,2,IF(VLOOKUP(A82,Dividende_je_Aktie!A$3:AM$103,14,FALSE)/VLOOKUP(A82,Ergebnis_je_Aktie_verwässert!A$3:AK$103,14,FALSE)&gt;=2,2,VLOOKUP(A82,Dividende_je_Aktie!A$3:AM$103,14,FALSE)/VLOOKUP(A82,Ergebnis_je_Aktie_verwässert!A$3:AK$103,14,FALSE))),""),"")</f>
        <v>#N/A</v>
      </c>
      <c r="O82" s="5" t="e">
        <f>IF(VLOOKUP(A82,Dividende_je_Aktie!A$3:AM$103,15,FALSE)&lt;&gt;"",IF(VLOOKUP(A82,Ergebnis_je_Aktie_verwässert!A$3:AK$103,15,FALSE)&lt;&gt;"",IF(VLOOKUP(A82,Ergebnis_je_Aktie_verwässert!A$3:AK$103,15,FALSE)&lt;=0,2,IF(VLOOKUP(A82,Dividende_je_Aktie!A$3:AM$103,15,FALSE)/VLOOKUP(A82,Ergebnis_je_Aktie_verwässert!A$3:AK$103,15,FALSE)&gt;=2,2,VLOOKUP(A82,Dividende_je_Aktie!A$3:AM$103,15,FALSE)/VLOOKUP(A82,Ergebnis_je_Aktie_verwässert!A$3:AK$103,15,FALSE))),""),"")</f>
        <v>#N/A</v>
      </c>
      <c r="P82" s="5" t="e">
        <f>IF(VLOOKUP(A82,Dividende_je_Aktie!A$3:AM$103,16,FALSE)&lt;&gt;"",IF(VLOOKUP(A82,Ergebnis_je_Aktie_verwässert!A$3:AK$103,16,FALSE)&lt;&gt;"",IF(VLOOKUP(A82,Ergebnis_je_Aktie_verwässert!A$3:AK$103,16,FALSE)&lt;=0,2,IF(VLOOKUP(A82,Dividende_je_Aktie!A$3:AM$103,16,FALSE)/VLOOKUP(A82,Ergebnis_je_Aktie_verwässert!A$3:AK$103,16,FALSE)&gt;=2,2,VLOOKUP(A82,Dividende_je_Aktie!A$3:AM$103,16,FALSE)/VLOOKUP(A82,Ergebnis_je_Aktie_verwässert!A$3:AK$103,16,FALSE))),""),"")</f>
        <v>#N/A</v>
      </c>
      <c r="Q82" s="5" t="e">
        <f>IF(VLOOKUP(A82,Dividende_je_Aktie!A$3:AM$103,17,FALSE)&lt;&gt;"",IF(VLOOKUP(A82,Ergebnis_je_Aktie_verwässert!A$3:AK$103,17,FALSE)&lt;&gt;"",IF(VLOOKUP(A82,Ergebnis_je_Aktie_verwässert!A$3:AK$103,17,FALSE)&lt;=0,2,IF(VLOOKUP(A82,Dividende_je_Aktie!A$3:AM$103,17,FALSE)/VLOOKUP(A82,Ergebnis_je_Aktie_verwässert!A$3:AK$103,17,FALSE)&gt;=2,2,VLOOKUP(A82,Dividende_je_Aktie!A$3:AM$103,17,FALSE)/VLOOKUP(A82,Ergebnis_je_Aktie_verwässert!A$3:AK$103,17,FALSE))),""),"")</f>
        <v>#N/A</v>
      </c>
      <c r="R82" s="5" t="e">
        <f>IF(VLOOKUP(A82,Dividende_je_Aktie!A$3:AM$103,18,FALSE)&lt;&gt;"",IF(VLOOKUP(A82,Ergebnis_je_Aktie_verwässert!A$3:AK$103,18,FALSE)&lt;&gt;"",IF(VLOOKUP(A82,Ergebnis_je_Aktie_verwässert!A$3:AK$103,18,FALSE)&lt;=0,2,IF(VLOOKUP(A82,Dividende_je_Aktie!A$3:AM$103,18,FALSE)/VLOOKUP(A82,Ergebnis_je_Aktie_verwässert!A$3:AK$103,18,FALSE)&gt;=2,2,VLOOKUP(A82,Dividende_je_Aktie!A$3:AM$103,18,FALSE)/VLOOKUP(A82,Ergebnis_je_Aktie_verwässert!A$3:AK$103,18,FALSE))),""),"")</f>
        <v>#N/A</v>
      </c>
      <c r="S82" s="10" t="e">
        <f t="shared" si="6"/>
        <v>#N/A</v>
      </c>
      <c r="T82" s="4">
        <f t="shared" ca="1" si="7"/>
        <v>41553</v>
      </c>
      <c r="U82" s="4">
        <f t="shared" ca="1" si="8"/>
        <v>-41193</v>
      </c>
      <c r="V82" s="4" t="e">
        <f t="shared" ca="1" si="9"/>
        <v>#NUM!</v>
      </c>
      <c r="W82" s="10" t="e">
        <f t="shared" ca="1" si="10"/>
        <v>#N/A</v>
      </c>
      <c r="X82" s="5" t="e">
        <f t="shared" ca="1" si="11"/>
        <v>#N/A</v>
      </c>
    </row>
    <row r="83" spans="3:24" x14ac:dyDescent="0.25">
      <c r="C83" s="56"/>
      <c r="D83" s="56"/>
      <c r="E83" s="56"/>
      <c r="F83" s="5" t="e">
        <f>IF(VLOOKUP(A83,Dividende_je_Aktie!A$3:AM$103,6,FALSE)&lt;&gt;"",IF(VLOOKUP(A83,Ergebnis_je_Aktie_verwässert!A$3:AK$103,6,FALSE)&lt;&gt;"",IF(VLOOKUP(A83,Ergebnis_je_Aktie_verwässert!A$3:AK$103,6,FALSE)&lt;=0,2,IF(VLOOKUP(A83,Dividende_je_Aktie!A$3:AM$103,6,FALSE)/VLOOKUP(A83,Ergebnis_je_Aktie_verwässert!A$3:AK$103,6,FALSE)&gt;=2,2,VLOOKUP(A83,Dividende_je_Aktie!A$3:AM$103,6,FALSE)/VLOOKUP(A83,Ergebnis_je_Aktie_verwässert!A$3:AK$103,6,FALSE))),""),"")</f>
        <v>#N/A</v>
      </c>
      <c r="G83" s="5" t="e">
        <f>IF(VLOOKUP(A83,Dividende_je_Aktie!A$3:AM$103,7,FALSE)&lt;&gt;"",IF(VLOOKUP(A83,Ergebnis_je_Aktie_verwässert!A$3:AK$103,7,FALSE)&lt;&gt;"",IF(VLOOKUP(A83,Ergebnis_je_Aktie_verwässert!A$3:AK$103,7,FALSE)&lt;=0,2,IF(VLOOKUP(A83,Dividende_je_Aktie!A$3:AM$103,7,FALSE)/VLOOKUP(A83,Ergebnis_je_Aktie_verwässert!A$3:AK$103,7,FALSE)&gt;=2,2,VLOOKUP(A83,Dividende_je_Aktie!A$3:AM$103,7,FALSE)/VLOOKUP(A83,Ergebnis_je_Aktie_verwässert!A$3:AK$103,7,FALSE))),""),"")</f>
        <v>#N/A</v>
      </c>
      <c r="H83" s="5" t="e">
        <f>IF(VLOOKUP(A83,Dividende_je_Aktie!A$3:AM$103,8,FALSE)&lt;&gt;"",IF(VLOOKUP(A83,Ergebnis_je_Aktie_verwässert!A$3:AK$103,8,FALSE)&lt;&gt;"",IF(VLOOKUP(A83,Ergebnis_je_Aktie_verwässert!A$3:AK$103,8,FALSE)&lt;=0,2,IF(VLOOKUP(A83,Dividende_je_Aktie!A$3:AM$103,8,FALSE)/VLOOKUP(A83,Ergebnis_je_Aktie_verwässert!A$3:AK$103,8,FALSE)&gt;=2,2,VLOOKUP(A83,Dividende_je_Aktie!A$3:AM$103,8,FALSE)/VLOOKUP(A83,Ergebnis_je_Aktie_verwässert!A$3:AK$103,8,FALSE))),""),"")</f>
        <v>#N/A</v>
      </c>
      <c r="I83" s="5" t="e">
        <f>IF(VLOOKUP(A83,Dividende_je_Aktie!A$3:AM$103,9,FALSE)&lt;&gt;"",IF(VLOOKUP(A83,Ergebnis_je_Aktie_verwässert!A$3:AK$103,9,FALSE)&lt;&gt;"",IF(VLOOKUP(A83,Ergebnis_je_Aktie_verwässert!A$3:AK$103,9,FALSE)&lt;=0,2,IF(VLOOKUP(A83,Dividende_je_Aktie!A$3:AM$103,9,FALSE)/VLOOKUP(A83,Ergebnis_je_Aktie_verwässert!A$3:AK$103,9,FALSE)&gt;=2,2,VLOOKUP(A83,Dividende_je_Aktie!A$3:AM$103,9,FALSE)/VLOOKUP(A83,Ergebnis_je_Aktie_verwässert!A$3:AK$103,9,FALSE))),""),"")</f>
        <v>#N/A</v>
      </c>
      <c r="J83" s="5" t="e">
        <f>IF(VLOOKUP(A83,Dividende_je_Aktie!A$3:AM$103,10,FALSE)&lt;&gt;"",IF(VLOOKUP(A83,Ergebnis_je_Aktie_verwässert!A$3:AK$103,10,FALSE)&lt;&gt;"",IF(VLOOKUP(A83,Ergebnis_je_Aktie_verwässert!A$3:AK$103,10,FALSE)&lt;=0,2,IF(VLOOKUP(A83,Dividende_je_Aktie!A$3:AM$103,10,FALSE)/VLOOKUP(A83,Ergebnis_je_Aktie_verwässert!A$3:AK$103,10,FALSE)&gt;=2,2,VLOOKUP(A83,Dividende_je_Aktie!A$3:AM$103,10,FALSE)/VLOOKUP(A83,Ergebnis_je_Aktie_verwässert!A$3:AK$103,10,FALSE))),""),"")</f>
        <v>#N/A</v>
      </c>
      <c r="K83" s="5" t="e">
        <f>IF(VLOOKUP(A83,Dividende_je_Aktie!A$3:AM$103,11,FALSE)&lt;&gt;"",IF(VLOOKUP(A83,Ergebnis_je_Aktie_verwässert!A$3:AK$103,11,FALSE)&lt;&gt;"",IF(VLOOKUP(A83,Ergebnis_je_Aktie_verwässert!A$3:AK$103,11,FALSE)&lt;=0,2,IF(VLOOKUP(A83,Dividende_je_Aktie!A$3:AM$103,11,FALSE)/VLOOKUP(A83,Ergebnis_je_Aktie_verwässert!A$3:AK$103,11,FALSE)&gt;=2,2,VLOOKUP(A83,Dividende_je_Aktie!A$3:AM$103,11,FALSE)/VLOOKUP(A83,Ergebnis_je_Aktie_verwässert!A$3:AK$103,11,FALSE))),""),"")</f>
        <v>#N/A</v>
      </c>
      <c r="L83" s="5" t="e">
        <f>IF(VLOOKUP(A83,Dividende_je_Aktie!A$3:AM$103,12,FALSE)&lt;&gt;"",IF(VLOOKUP(A83,Ergebnis_je_Aktie_verwässert!A$3:AK$103,12,FALSE)&lt;&gt;"",IF(VLOOKUP(A83,Ergebnis_je_Aktie_verwässert!A$3:AK$103,12,FALSE)&lt;=0,2,IF(VLOOKUP(A83,Dividende_je_Aktie!A$3:AM$103,12,FALSE)/VLOOKUP(A83,Ergebnis_je_Aktie_verwässert!A$3:AK$103,12,FALSE)&gt;=2,2,VLOOKUP(A83,Dividende_je_Aktie!A$3:AM$103,12,FALSE)/VLOOKUP(A83,Ergebnis_je_Aktie_verwässert!A$3:AK$103,12,FALSE))),""),"")</f>
        <v>#N/A</v>
      </c>
      <c r="M83" s="5" t="e">
        <f>IF(VLOOKUP(A83,Dividende_je_Aktie!A$3:AM$103,13,FALSE)&lt;&gt;"",IF(VLOOKUP(A83,Ergebnis_je_Aktie_verwässert!A$3:AK$103,13,FALSE)&lt;&gt;"",IF(VLOOKUP(A83,Ergebnis_je_Aktie_verwässert!A$3:AK$103,13,FALSE)&lt;=0,2,IF(VLOOKUP(A83,Dividende_je_Aktie!A$3:AM$103,13,FALSE)/VLOOKUP(A83,Ergebnis_je_Aktie_verwässert!A$3:AK$103,13,FALSE)&gt;=2,2,VLOOKUP(A83,Dividende_je_Aktie!A$3:AM$103,13,FALSE)/VLOOKUP(A83,Ergebnis_je_Aktie_verwässert!A$3:AK$103,13,FALSE))),""),"")</f>
        <v>#N/A</v>
      </c>
      <c r="N83" s="5" t="e">
        <f>IF(VLOOKUP(A83,Dividende_je_Aktie!A$3:AM$103,14,FALSE)&lt;&gt;"",IF(VLOOKUP(A83,Ergebnis_je_Aktie_verwässert!A$3:AK$103,14,FALSE)&lt;&gt;"",IF(VLOOKUP(A83,Ergebnis_je_Aktie_verwässert!A$3:AK$103,14,FALSE)&lt;=0,2,IF(VLOOKUP(A83,Dividende_je_Aktie!A$3:AM$103,14,FALSE)/VLOOKUP(A83,Ergebnis_je_Aktie_verwässert!A$3:AK$103,14,FALSE)&gt;=2,2,VLOOKUP(A83,Dividende_je_Aktie!A$3:AM$103,14,FALSE)/VLOOKUP(A83,Ergebnis_je_Aktie_verwässert!A$3:AK$103,14,FALSE))),""),"")</f>
        <v>#N/A</v>
      </c>
      <c r="O83" s="5" t="e">
        <f>IF(VLOOKUP(A83,Dividende_je_Aktie!A$3:AM$103,15,FALSE)&lt;&gt;"",IF(VLOOKUP(A83,Ergebnis_je_Aktie_verwässert!A$3:AK$103,15,FALSE)&lt;&gt;"",IF(VLOOKUP(A83,Ergebnis_je_Aktie_verwässert!A$3:AK$103,15,FALSE)&lt;=0,2,IF(VLOOKUP(A83,Dividende_je_Aktie!A$3:AM$103,15,FALSE)/VLOOKUP(A83,Ergebnis_je_Aktie_verwässert!A$3:AK$103,15,FALSE)&gt;=2,2,VLOOKUP(A83,Dividende_je_Aktie!A$3:AM$103,15,FALSE)/VLOOKUP(A83,Ergebnis_je_Aktie_verwässert!A$3:AK$103,15,FALSE))),""),"")</f>
        <v>#N/A</v>
      </c>
      <c r="P83" s="5" t="e">
        <f>IF(VLOOKUP(A83,Dividende_je_Aktie!A$3:AM$103,16,FALSE)&lt;&gt;"",IF(VLOOKUP(A83,Ergebnis_je_Aktie_verwässert!A$3:AK$103,16,FALSE)&lt;&gt;"",IF(VLOOKUP(A83,Ergebnis_je_Aktie_verwässert!A$3:AK$103,16,FALSE)&lt;=0,2,IF(VLOOKUP(A83,Dividende_je_Aktie!A$3:AM$103,16,FALSE)/VLOOKUP(A83,Ergebnis_je_Aktie_verwässert!A$3:AK$103,16,FALSE)&gt;=2,2,VLOOKUP(A83,Dividende_je_Aktie!A$3:AM$103,16,FALSE)/VLOOKUP(A83,Ergebnis_je_Aktie_verwässert!A$3:AK$103,16,FALSE))),""),"")</f>
        <v>#N/A</v>
      </c>
      <c r="Q83" s="5" t="e">
        <f>IF(VLOOKUP(A83,Dividende_je_Aktie!A$3:AM$103,17,FALSE)&lt;&gt;"",IF(VLOOKUP(A83,Ergebnis_je_Aktie_verwässert!A$3:AK$103,17,FALSE)&lt;&gt;"",IF(VLOOKUP(A83,Ergebnis_je_Aktie_verwässert!A$3:AK$103,17,FALSE)&lt;=0,2,IF(VLOOKUP(A83,Dividende_je_Aktie!A$3:AM$103,17,FALSE)/VLOOKUP(A83,Ergebnis_je_Aktie_verwässert!A$3:AK$103,17,FALSE)&gt;=2,2,VLOOKUP(A83,Dividende_je_Aktie!A$3:AM$103,17,FALSE)/VLOOKUP(A83,Ergebnis_je_Aktie_verwässert!A$3:AK$103,17,FALSE))),""),"")</f>
        <v>#N/A</v>
      </c>
      <c r="R83" s="5" t="e">
        <f>IF(VLOOKUP(A83,Dividende_je_Aktie!A$3:AM$103,18,FALSE)&lt;&gt;"",IF(VLOOKUP(A83,Ergebnis_je_Aktie_verwässert!A$3:AK$103,18,FALSE)&lt;&gt;"",IF(VLOOKUP(A83,Ergebnis_je_Aktie_verwässert!A$3:AK$103,18,FALSE)&lt;=0,2,IF(VLOOKUP(A83,Dividende_je_Aktie!A$3:AM$103,18,FALSE)/VLOOKUP(A83,Ergebnis_je_Aktie_verwässert!A$3:AK$103,18,FALSE)&gt;=2,2,VLOOKUP(A83,Dividende_je_Aktie!A$3:AM$103,18,FALSE)/VLOOKUP(A83,Ergebnis_je_Aktie_verwässert!A$3:AK$103,18,FALSE))),""),"")</f>
        <v>#N/A</v>
      </c>
      <c r="S83" s="10" t="e">
        <f t="shared" si="6"/>
        <v>#N/A</v>
      </c>
      <c r="T83" s="4">
        <f t="shared" ca="1" si="7"/>
        <v>41553</v>
      </c>
      <c r="U83" s="4">
        <f t="shared" ca="1" si="8"/>
        <v>-41193</v>
      </c>
      <c r="V83" s="4" t="e">
        <f t="shared" ca="1" si="9"/>
        <v>#NUM!</v>
      </c>
      <c r="W83" s="10" t="e">
        <f t="shared" ca="1" si="10"/>
        <v>#N/A</v>
      </c>
      <c r="X83" s="5" t="e">
        <f t="shared" ca="1" si="11"/>
        <v>#N/A</v>
      </c>
    </row>
    <row r="84" spans="3:24" x14ac:dyDescent="0.25">
      <c r="C84" s="56"/>
      <c r="D84" s="56"/>
      <c r="E84" s="56"/>
      <c r="F84" s="5" t="e">
        <f>IF(VLOOKUP(A84,Dividende_je_Aktie!A$3:AM$103,6,FALSE)&lt;&gt;"",IF(VLOOKUP(A84,Ergebnis_je_Aktie_verwässert!A$3:AK$103,6,FALSE)&lt;&gt;"",IF(VLOOKUP(A84,Ergebnis_je_Aktie_verwässert!A$3:AK$103,6,FALSE)&lt;=0,2,IF(VLOOKUP(A84,Dividende_je_Aktie!A$3:AM$103,6,FALSE)/VLOOKUP(A84,Ergebnis_je_Aktie_verwässert!A$3:AK$103,6,FALSE)&gt;=2,2,VLOOKUP(A84,Dividende_je_Aktie!A$3:AM$103,6,FALSE)/VLOOKUP(A84,Ergebnis_je_Aktie_verwässert!A$3:AK$103,6,FALSE))),""),"")</f>
        <v>#N/A</v>
      </c>
      <c r="G84" s="5" t="e">
        <f>IF(VLOOKUP(A84,Dividende_je_Aktie!A$3:AM$103,7,FALSE)&lt;&gt;"",IF(VLOOKUP(A84,Ergebnis_je_Aktie_verwässert!A$3:AK$103,7,FALSE)&lt;&gt;"",IF(VLOOKUP(A84,Ergebnis_je_Aktie_verwässert!A$3:AK$103,7,FALSE)&lt;=0,2,IF(VLOOKUP(A84,Dividende_je_Aktie!A$3:AM$103,7,FALSE)/VLOOKUP(A84,Ergebnis_je_Aktie_verwässert!A$3:AK$103,7,FALSE)&gt;=2,2,VLOOKUP(A84,Dividende_je_Aktie!A$3:AM$103,7,FALSE)/VLOOKUP(A84,Ergebnis_je_Aktie_verwässert!A$3:AK$103,7,FALSE))),""),"")</f>
        <v>#N/A</v>
      </c>
      <c r="H84" s="5" t="e">
        <f>IF(VLOOKUP(A84,Dividende_je_Aktie!A$3:AM$103,8,FALSE)&lt;&gt;"",IF(VLOOKUP(A84,Ergebnis_je_Aktie_verwässert!A$3:AK$103,8,FALSE)&lt;&gt;"",IF(VLOOKUP(A84,Ergebnis_je_Aktie_verwässert!A$3:AK$103,8,FALSE)&lt;=0,2,IF(VLOOKUP(A84,Dividende_je_Aktie!A$3:AM$103,8,FALSE)/VLOOKUP(A84,Ergebnis_je_Aktie_verwässert!A$3:AK$103,8,FALSE)&gt;=2,2,VLOOKUP(A84,Dividende_je_Aktie!A$3:AM$103,8,FALSE)/VLOOKUP(A84,Ergebnis_je_Aktie_verwässert!A$3:AK$103,8,FALSE))),""),"")</f>
        <v>#N/A</v>
      </c>
      <c r="I84" s="5" t="e">
        <f>IF(VLOOKUP(A84,Dividende_je_Aktie!A$3:AM$103,9,FALSE)&lt;&gt;"",IF(VLOOKUP(A84,Ergebnis_je_Aktie_verwässert!A$3:AK$103,9,FALSE)&lt;&gt;"",IF(VLOOKUP(A84,Ergebnis_je_Aktie_verwässert!A$3:AK$103,9,FALSE)&lt;=0,2,IF(VLOOKUP(A84,Dividende_je_Aktie!A$3:AM$103,9,FALSE)/VLOOKUP(A84,Ergebnis_je_Aktie_verwässert!A$3:AK$103,9,FALSE)&gt;=2,2,VLOOKUP(A84,Dividende_je_Aktie!A$3:AM$103,9,FALSE)/VLOOKUP(A84,Ergebnis_je_Aktie_verwässert!A$3:AK$103,9,FALSE))),""),"")</f>
        <v>#N/A</v>
      </c>
      <c r="J84" s="5" t="e">
        <f>IF(VLOOKUP(A84,Dividende_je_Aktie!A$3:AM$103,10,FALSE)&lt;&gt;"",IF(VLOOKUP(A84,Ergebnis_je_Aktie_verwässert!A$3:AK$103,10,FALSE)&lt;&gt;"",IF(VLOOKUP(A84,Ergebnis_je_Aktie_verwässert!A$3:AK$103,10,FALSE)&lt;=0,2,IF(VLOOKUP(A84,Dividende_je_Aktie!A$3:AM$103,10,FALSE)/VLOOKUP(A84,Ergebnis_je_Aktie_verwässert!A$3:AK$103,10,FALSE)&gt;=2,2,VLOOKUP(A84,Dividende_je_Aktie!A$3:AM$103,10,FALSE)/VLOOKUP(A84,Ergebnis_je_Aktie_verwässert!A$3:AK$103,10,FALSE))),""),"")</f>
        <v>#N/A</v>
      </c>
      <c r="K84" s="5" t="e">
        <f>IF(VLOOKUP(A84,Dividende_je_Aktie!A$3:AM$103,11,FALSE)&lt;&gt;"",IF(VLOOKUP(A84,Ergebnis_je_Aktie_verwässert!A$3:AK$103,11,FALSE)&lt;&gt;"",IF(VLOOKUP(A84,Ergebnis_je_Aktie_verwässert!A$3:AK$103,11,FALSE)&lt;=0,2,IF(VLOOKUP(A84,Dividende_je_Aktie!A$3:AM$103,11,FALSE)/VLOOKUP(A84,Ergebnis_je_Aktie_verwässert!A$3:AK$103,11,FALSE)&gt;=2,2,VLOOKUP(A84,Dividende_je_Aktie!A$3:AM$103,11,FALSE)/VLOOKUP(A84,Ergebnis_je_Aktie_verwässert!A$3:AK$103,11,FALSE))),""),"")</f>
        <v>#N/A</v>
      </c>
      <c r="L84" s="5" t="e">
        <f>IF(VLOOKUP(A84,Dividende_je_Aktie!A$3:AM$103,12,FALSE)&lt;&gt;"",IF(VLOOKUP(A84,Ergebnis_je_Aktie_verwässert!A$3:AK$103,12,FALSE)&lt;&gt;"",IF(VLOOKUP(A84,Ergebnis_je_Aktie_verwässert!A$3:AK$103,12,FALSE)&lt;=0,2,IF(VLOOKUP(A84,Dividende_je_Aktie!A$3:AM$103,12,FALSE)/VLOOKUP(A84,Ergebnis_je_Aktie_verwässert!A$3:AK$103,12,FALSE)&gt;=2,2,VLOOKUP(A84,Dividende_je_Aktie!A$3:AM$103,12,FALSE)/VLOOKUP(A84,Ergebnis_je_Aktie_verwässert!A$3:AK$103,12,FALSE))),""),"")</f>
        <v>#N/A</v>
      </c>
      <c r="M84" s="5" t="e">
        <f>IF(VLOOKUP(A84,Dividende_je_Aktie!A$3:AM$103,13,FALSE)&lt;&gt;"",IF(VLOOKUP(A84,Ergebnis_je_Aktie_verwässert!A$3:AK$103,13,FALSE)&lt;&gt;"",IF(VLOOKUP(A84,Ergebnis_je_Aktie_verwässert!A$3:AK$103,13,FALSE)&lt;=0,2,IF(VLOOKUP(A84,Dividende_je_Aktie!A$3:AM$103,13,FALSE)/VLOOKUP(A84,Ergebnis_je_Aktie_verwässert!A$3:AK$103,13,FALSE)&gt;=2,2,VLOOKUP(A84,Dividende_je_Aktie!A$3:AM$103,13,FALSE)/VLOOKUP(A84,Ergebnis_je_Aktie_verwässert!A$3:AK$103,13,FALSE))),""),"")</f>
        <v>#N/A</v>
      </c>
      <c r="N84" s="5" t="e">
        <f>IF(VLOOKUP(A84,Dividende_je_Aktie!A$3:AM$103,14,FALSE)&lt;&gt;"",IF(VLOOKUP(A84,Ergebnis_je_Aktie_verwässert!A$3:AK$103,14,FALSE)&lt;&gt;"",IF(VLOOKUP(A84,Ergebnis_je_Aktie_verwässert!A$3:AK$103,14,FALSE)&lt;=0,2,IF(VLOOKUP(A84,Dividende_je_Aktie!A$3:AM$103,14,FALSE)/VLOOKUP(A84,Ergebnis_je_Aktie_verwässert!A$3:AK$103,14,FALSE)&gt;=2,2,VLOOKUP(A84,Dividende_je_Aktie!A$3:AM$103,14,FALSE)/VLOOKUP(A84,Ergebnis_je_Aktie_verwässert!A$3:AK$103,14,FALSE))),""),"")</f>
        <v>#N/A</v>
      </c>
      <c r="O84" s="5" t="e">
        <f>IF(VLOOKUP(A84,Dividende_je_Aktie!A$3:AM$103,15,FALSE)&lt;&gt;"",IF(VLOOKUP(A84,Ergebnis_je_Aktie_verwässert!A$3:AK$103,15,FALSE)&lt;&gt;"",IF(VLOOKUP(A84,Ergebnis_je_Aktie_verwässert!A$3:AK$103,15,FALSE)&lt;=0,2,IF(VLOOKUP(A84,Dividende_je_Aktie!A$3:AM$103,15,FALSE)/VLOOKUP(A84,Ergebnis_je_Aktie_verwässert!A$3:AK$103,15,FALSE)&gt;=2,2,VLOOKUP(A84,Dividende_je_Aktie!A$3:AM$103,15,FALSE)/VLOOKUP(A84,Ergebnis_je_Aktie_verwässert!A$3:AK$103,15,FALSE))),""),"")</f>
        <v>#N/A</v>
      </c>
      <c r="P84" s="5" t="e">
        <f>IF(VLOOKUP(A84,Dividende_je_Aktie!A$3:AM$103,16,FALSE)&lt;&gt;"",IF(VLOOKUP(A84,Ergebnis_je_Aktie_verwässert!A$3:AK$103,16,FALSE)&lt;&gt;"",IF(VLOOKUP(A84,Ergebnis_je_Aktie_verwässert!A$3:AK$103,16,FALSE)&lt;=0,2,IF(VLOOKUP(A84,Dividende_je_Aktie!A$3:AM$103,16,FALSE)/VLOOKUP(A84,Ergebnis_je_Aktie_verwässert!A$3:AK$103,16,FALSE)&gt;=2,2,VLOOKUP(A84,Dividende_je_Aktie!A$3:AM$103,16,FALSE)/VLOOKUP(A84,Ergebnis_je_Aktie_verwässert!A$3:AK$103,16,FALSE))),""),"")</f>
        <v>#N/A</v>
      </c>
      <c r="Q84" s="5" t="e">
        <f>IF(VLOOKUP(A84,Dividende_je_Aktie!A$3:AM$103,17,FALSE)&lt;&gt;"",IF(VLOOKUP(A84,Ergebnis_je_Aktie_verwässert!A$3:AK$103,17,FALSE)&lt;&gt;"",IF(VLOOKUP(A84,Ergebnis_je_Aktie_verwässert!A$3:AK$103,17,FALSE)&lt;=0,2,IF(VLOOKUP(A84,Dividende_je_Aktie!A$3:AM$103,17,FALSE)/VLOOKUP(A84,Ergebnis_je_Aktie_verwässert!A$3:AK$103,17,FALSE)&gt;=2,2,VLOOKUP(A84,Dividende_je_Aktie!A$3:AM$103,17,FALSE)/VLOOKUP(A84,Ergebnis_je_Aktie_verwässert!A$3:AK$103,17,FALSE))),""),"")</f>
        <v>#N/A</v>
      </c>
      <c r="R84" s="5" t="e">
        <f>IF(VLOOKUP(A84,Dividende_je_Aktie!A$3:AM$103,18,FALSE)&lt;&gt;"",IF(VLOOKUP(A84,Ergebnis_je_Aktie_verwässert!A$3:AK$103,18,FALSE)&lt;&gt;"",IF(VLOOKUP(A84,Ergebnis_je_Aktie_verwässert!A$3:AK$103,18,FALSE)&lt;=0,2,IF(VLOOKUP(A84,Dividende_je_Aktie!A$3:AM$103,18,FALSE)/VLOOKUP(A84,Ergebnis_je_Aktie_verwässert!A$3:AK$103,18,FALSE)&gt;=2,2,VLOOKUP(A84,Dividende_je_Aktie!A$3:AM$103,18,FALSE)/VLOOKUP(A84,Ergebnis_je_Aktie_verwässert!A$3:AK$103,18,FALSE))),""),"")</f>
        <v>#N/A</v>
      </c>
      <c r="S84" s="10" t="e">
        <f t="shared" si="6"/>
        <v>#N/A</v>
      </c>
      <c r="T84" s="4">
        <f t="shared" ca="1" si="7"/>
        <v>41553</v>
      </c>
      <c r="U84" s="4">
        <f t="shared" ca="1" si="8"/>
        <v>-41193</v>
      </c>
      <c r="V84" s="4" t="e">
        <f t="shared" ca="1" si="9"/>
        <v>#NUM!</v>
      </c>
      <c r="W84" s="10" t="e">
        <f t="shared" ca="1" si="10"/>
        <v>#N/A</v>
      </c>
      <c r="X84" s="5" t="e">
        <f t="shared" ca="1" si="11"/>
        <v>#N/A</v>
      </c>
    </row>
    <row r="85" spans="3:24" x14ac:dyDescent="0.25">
      <c r="C85" s="56"/>
      <c r="D85" s="56"/>
      <c r="E85" s="56"/>
      <c r="F85" s="5" t="e">
        <f>IF(VLOOKUP(A85,Dividende_je_Aktie!A$3:AM$103,6,FALSE)&lt;&gt;"",IF(VLOOKUP(A85,Ergebnis_je_Aktie_verwässert!A$3:AK$103,6,FALSE)&lt;&gt;"",IF(VLOOKUP(A85,Ergebnis_je_Aktie_verwässert!A$3:AK$103,6,FALSE)&lt;=0,2,IF(VLOOKUP(A85,Dividende_je_Aktie!A$3:AM$103,6,FALSE)/VLOOKUP(A85,Ergebnis_je_Aktie_verwässert!A$3:AK$103,6,FALSE)&gt;=2,2,VLOOKUP(A85,Dividende_je_Aktie!A$3:AM$103,6,FALSE)/VLOOKUP(A85,Ergebnis_je_Aktie_verwässert!A$3:AK$103,6,FALSE))),""),"")</f>
        <v>#N/A</v>
      </c>
      <c r="G85" s="5" t="e">
        <f>IF(VLOOKUP(A85,Dividende_je_Aktie!A$3:AM$103,7,FALSE)&lt;&gt;"",IF(VLOOKUP(A85,Ergebnis_je_Aktie_verwässert!A$3:AK$103,7,FALSE)&lt;&gt;"",IF(VLOOKUP(A85,Ergebnis_je_Aktie_verwässert!A$3:AK$103,7,FALSE)&lt;=0,2,IF(VLOOKUP(A85,Dividende_je_Aktie!A$3:AM$103,7,FALSE)/VLOOKUP(A85,Ergebnis_je_Aktie_verwässert!A$3:AK$103,7,FALSE)&gt;=2,2,VLOOKUP(A85,Dividende_je_Aktie!A$3:AM$103,7,FALSE)/VLOOKUP(A85,Ergebnis_je_Aktie_verwässert!A$3:AK$103,7,FALSE))),""),"")</f>
        <v>#N/A</v>
      </c>
      <c r="H85" s="5" t="e">
        <f>IF(VLOOKUP(A85,Dividende_je_Aktie!A$3:AM$103,8,FALSE)&lt;&gt;"",IF(VLOOKUP(A85,Ergebnis_je_Aktie_verwässert!A$3:AK$103,8,FALSE)&lt;&gt;"",IF(VLOOKUP(A85,Ergebnis_je_Aktie_verwässert!A$3:AK$103,8,FALSE)&lt;=0,2,IF(VLOOKUP(A85,Dividende_je_Aktie!A$3:AM$103,8,FALSE)/VLOOKUP(A85,Ergebnis_je_Aktie_verwässert!A$3:AK$103,8,FALSE)&gt;=2,2,VLOOKUP(A85,Dividende_je_Aktie!A$3:AM$103,8,FALSE)/VLOOKUP(A85,Ergebnis_je_Aktie_verwässert!A$3:AK$103,8,FALSE))),""),"")</f>
        <v>#N/A</v>
      </c>
      <c r="I85" s="5" t="e">
        <f>IF(VLOOKUP(A85,Dividende_je_Aktie!A$3:AM$103,9,FALSE)&lt;&gt;"",IF(VLOOKUP(A85,Ergebnis_je_Aktie_verwässert!A$3:AK$103,9,FALSE)&lt;&gt;"",IF(VLOOKUP(A85,Ergebnis_je_Aktie_verwässert!A$3:AK$103,9,FALSE)&lt;=0,2,IF(VLOOKUP(A85,Dividende_je_Aktie!A$3:AM$103,9,FALSE)/VLOOKUP(A85,Ergebnis_je_Aktie_verwässert!A$3:AK$103,9,FALSE)&gt;=2,2,VLOOKUP(A85,Dividende_je_Aktie!A$3:AM$103,9,FALSE)/VLOOKUP(A85,Ergebnis_je_Aktie_verwässert!A$3:AK$103,9,FALSE))),""),"")</f>
        <v>#N/A</v>
      </c>
      <c r="J85" s="5" t="e">
        <f>IF(VLOOKUP(A85,Dividende_je_Aktie!A$3:AM$103,10,FALSE)&lt;&gt;"",IF(VLOOKUP(A85,Ergebnis_je_Aktie_verwässert!A$3:AK$103,10,FALSE)&lt;&gt;"",IF(VLOOKUP(A85,Ergebnis_je_Aktie_verwässert!A$3:AK$103,10,FALSE)&lt;=0,2,IF(VLOOKUP(A85,Dividende_je_Aktie!A$3:AM$103,10,FALSE)/VLOOKUP(A85,Ergebnis_je_Aktie_verwässert!A$3:AK$103,10,FALSE)&gt;=2,2,VLOOKUP(A85,Dividende_je_Aktie!A$3:AM$103,10,FALSE)/VLOOKUP(A85,Ergebnis_je_Aktie_verwässert!A$3:AK$103,10,FALSE))),""),"")</f>
        <v>#N/A</v>
      </c>
      <c r="K85" s="5" t="e">
        <f>IF(VLOOKUP(A85,Dividende_je_Aktie!A$3:AM$103,11,FALSE)&lt;&gt;"",IF(VLOOKUP(A85,Ergebnis_je_Aktie_verwässert!A$3:AK$103,11,FALSE)&lt;&gt;"",IF(VLOOKUP(A85,Ergebnis_je_Aktie_verwässert!A$3:AK$103,11,FALSE)&lt;=0,2,IF(VLOOKUP(A85,Dividende_je_Aktie!A$3:AM$103,11,FALSE)/VLOOKUP(A85,Ergebnis_je_Aktie_verwässert!A$3:AK$103,11,FALSE)&gt;=2,2,VLOOKUP(A85,Dividende_je_Aktie!A$3:AM$103,11,FALSE)/VLOOKUP(A85,Ergebnis_je_Aktie_verwässert!A$3:AK$103,11,FALSE))),""),"")</f>
        <v>#N/A</v>
      </c>
      <c r="L85" s="5" t="e">
        <f>IF(VLOOKUP(A85,Dividende_je_Aktie!A$3:AM$103,12,FALSE)&lt;&gt;"",IF(VLOOKUP(A85,Ergebnis_je_Aktie_verwässert!A$3:AK$103,12,FALSE)&lt;&gt;"",IF(VLOOKUP(A85,Ergebnis_je_Aktie_verwässert!A$3:AK$103,12,FALSE)&lt;=0,2,IF(VLOOKUP(A85,Dividende_je_Aktie!A$3:AM$103,12,FALSE)/VLOOKUP(A85,Ergebnis_je_Aktie_verwässert!A$3:AK$103,12,FALSE)&gt;=2,2,VLOOKUP(A85,Dividende_je_Aktie!A$3:AM$103,12,FALSE)/VLOOKUP(A85,Ergebnis_je_Aktie_verwässert!A$3:AK$103,12,FALSE))),""),"")</f>
        <v>#N/A</v>
      </c>
      <c r="M85" s="5" t="e">
        <f>IF(VLOOKUP(A85,Dividende_je_Aktie!A$3:AM$103,13,FALSE)&lt;&gt;"",IF(VLOOKUP(A85,Ergebnis_je_Aktie_verwässert!A$3:AK$103,13,FALSE)&lt;&gt;"",IF(VLOOKUP(A85,Ergebnis_je_Aktie_verwässert!A$3:AK$103,13,FALSE)&lt;=0,2,IF(VLOOKUP(A85,Dividende_je_Aktie!A$3:AM$103,13,FALSE)/VLOOKUP(A85,Ergebnis_je_Aktie_verwässert!A$3:AK$103,13,FALSE)&gt;=2,2,VLOOKUP(A85,Dividende_je_Aktie!A$3:AM$103,13,FALSE)/VLOOKUP(A85,Ergebnis_je_Aktie_verwässert!A$3:AK$103,13,FALSE))),""),"")</f>
        <v>#N/A</v>
      </c>
      <c r="N85" s="5" t="e">
        <f>IF(VLOOKUP(A85,Dividende_je_Aktie!A$3:AM$103,14,FALSE)&lt;&gt;"",IF(VLOOKUP(A85,Ergebnis_je_Aktie_verwässert!A$3:AK$103,14,FALSE)&lt;&gt;"",IF(VLOOKUP(A85,Ergebnis_je_Aktie_verwässert!A$3:AK$103,14,FALSE)&lt;=0,2,IF(VLOOKUP(A85,Dividende_je_Aktie!A$3:AM$103,14,FALSE)/VLOOKUP(A85,Ergebnis_je_Aktie_verwässert!A$3:AK$103,14,FALSE)&gt;=2,2,VLOOKUP(A85,Dividende_je_Aktie!A$3:AM$103,14,FALSE)/VLOOKUP(A85,Ergebnis_je_Aktie_verwässert!A$3:AK$103,14,FALSE))),""),"")</f>
        <v>#N/A</v>
      </c>
      <c r="O85" s="5" t="e">
        <f>IF(VLOOKUP(A85,Dividende_je_Aktie!A$3:AM$103,15,FALSE)&lt;&gt;"",IF(VLOOKUP(A85,Ergebnis_je_Aktie_verwässert!A$3:AK$103,15,FALSE)&lt;&gt;"",IF(VLOOKUP(A85,Ergebnis_je_Aktie_verwässert!A$3:AK$103,15,FALSE)&lt;=0,2,IF(VLOOKUP(A85,Dividende_je_Aktie!A$3:AM$103,15,FALSE)/VLOOKUP(A85,Ergebnis_je_Aktie_verwässert!A$3:AK$103,15,FALSE)&gt;=2,2,VLOOKUP(A85,Dividende_je_Aktie!A$3:AM$103,15,FALSE)/VLOOKUP(A85,Ergebnis_je_Aktie_verwässert!A$3:AK$103,15,FALSE))),""),"")</f>
        <v>#N/A</v>
      </c>
      <c r="P85" s="5" t="e">
        <f>IF(VLOOKUP(A85,Dividende_je_Aktie!A$3:AM$103,16,FALSE)&lt;&gt;"",IF(VLOOKUP(A85,Ergebnis_je_Aktie_verwässert!A$3:AK$103,16,FALSE)&lt;&gt;"",IF(VLOOKUP(A85,Ergebnis_je_Aktie_verwässert!A$3:AK$103,16,FALSE)&lt;=0,2,IF(VLOOKUP(A85,Dividende_je_Aktie!A$3:AM$103,16,FALSE)/VLOOKUP(A85,Ergebnis_je_Aktie_verwässert!A$3:AK$103,16,FALSE)&gt;=2,2,VLOOKUP(A85,Dividende_je_Aktie!A$3:AM$103,16,FALSE)/VLOOKUP(A85,Ergebnis_je_Aktie_verwässert!A$3:AK$103,16,FALSE))),""),"")</f>
        <v>#N/A</v>
      </c>
      <c r="Q85" s="5" t="e">
        <f>IF(VLOOKUP(A85,Dividende_je_Aktie!A$3:AM$103,17,FALSE)&lt;&gt;"",IF(VLOOKUP(A85,Ergebnis_je_Aktie_verwässert!A$3:AK$103,17,FALSE)&lt;&gt;"",IF(VLOOKUP(A85,Ergebnis_je_Aktie_verwässert!A$3:AK$103,17,FALSE)&lt;=0,2,IF(VLOOKUP(A85,Dividende_je_Aktie!A$3:AM$103,17,FALSE)/VLOOKUP(A85,Ergebnis_je_Aktie_verwässert!A$3:AK$103,17,FALSE)&gt;=2,2,VLOOKUP(A85,Dividende_je_Aktie!A$3:AM$103,17,FALSE)/VLOOKUP(A85,Ergebnis_je_Aktie_verwässert!A$3:AK$103,17,FALSE))),""),"")</f>
        <v>#N/A</v>
      </c>
      <c r="R85" s="5" t="e">
        <f>IF(VLOOKUP(A85,Dividende_je_Aktie!A$3:AM$103,18,FALSE)&lt;&gt;"",IF(VLOOKUP(A85,Ergebnis_je_Aktie_verwässert!A$3:AK$103,18,FALSE)&lt;&gt;"",IF(VLOOKUP(A85,Ergebnis_je_Aktie_verwässert!A$3:AK$103,18,FALSE)&lt;=0,2,IF(VLOOKUP(A85,Dividende_je_Aktie!A$3:AM$103,18,FALSE)/VLOOKUP(A85,Ergebnis_je_Aktie_verwässert!A$3:AK$103,18,FALSE)&gt;=2,2,VLOOKUP(A85,Dividende_je_Aktie!A$3:AM$103,18,FALSE)/VLOOKUP(A85,Ergebnis_je_Aktie_verwässert!A$3:AK$103,18,FALSE))),""),"")</f>
        <v>#N/A</v>
      </c>
      <c r="S85" s="10" t="e">
        <f t="shared" si="6"/>
        <v>#N/A</v>
      </c>
      <c r="T85" s="4">
        <f t="shared" ca="1" si="7"/>
        <v>41553</v>
      </c>
      <c r="U85" s="4">
        <f t="shared" ca="1" si="8"/>
        <v>-41193</v>
      </c>
      <c r="V85" s="4" t="e">
        <f t="shared" ca="1" si="9"/>
        <v>#NUM!</v>
      </c>
      <c r="W85" s="10" t="e">
        <f t="shared" ca="1" si="10"/>
        <v>#N/A</v>
      </c>
      <c r="X85" s="5" t="e">
        <f t="shared" ca="1" si="11"/>
        <v>#N/A</v>
      </c>
    </row>
    <row r="86" spans="3:24" x14ac:dyDescent="0.25">
      <c r="C86" s="56"/>
      <c r="D86" s="56"/>
      <c r="E86" s="56"/>
      <c r="F86" s="5" t="e">
        <f>IF(VLOOKUP(A86,Dividende_je_Aktie!A$3:AM$103,6,FALSE)&lt;&gt;"",IF(VLOOKUP(A86,Ergebnis_je_Aktie_verwässert!A$3:AK$103,6,FALSE)&lt;&gt;"",IF(VLOOKUP(A86,Ergebnis_je_Aktie_verwässert!A$3:AK$103,6,FALSE)&lt;=0,2,IF(VLOOKUP(A86,Dividende_je_Aktie!A$3:AM$103,6,FALSE)/VLOOKUP(A86,Ergebnis_je_Aktie_verwässert!A$3:AK$103,6,FALSE)&gt;=2,2,VLOOKUP(A86,Dividende_je_Aktie!A$3:AM$103,6,FALSE)/VLOOKUP(A86,Ergebnis_je_Aktie_verwässert!A$3:AK$103,6,FALSE))),""),"")</f>
        <v>#N/A</v>
      </c>
      <c r="G86" s="5" t="e">
        <f>IF(VLOOKUP(A86,Dividende_je_Aktie!A$3:AM$103,7,FALSE)&lt;&gt;"",IF(VLOOKUP(A86,Ergebnis_je_Aktie_verwässert!A$3:AK$103,7,FALSE)&lt;&gt;"",IF(VLOOKUP(A86,Ergebnis_je_Aktie_verwässert!A$3:AK$103,7,FALSE)&lt;=0,2,IF(VLOOKUP(A86,Dividende_je_Aktie!A$3:AM$103,7,FALSE)/VLOOKUP(A86,Ergebnis_je_Aktie_verwässert!A$3:AK$103,7,FALSE)&gt;=2,2,VLOOKUP(A86,Dividende_je_Aktie!A$3:AM$103,7,FALSE)/VLOOKUP(A86,Ergebnis_je_Aktie_verwässert!A$3:AK$103,7,FALSE))),""),"")</f>
        <v>#N/A</v>
      </c>
      <c r="H86" s="5" t="e">
        <f>IF(VLOOKUP(A86,Dividende_je_Aktie!A$3:AM$103,8,FALSE)&lt;&gt;"",IF(VLOOKUP(A86,Ergebnis_je_Aktie_verwässert!A$3:AK$103,8,FALSE)&lt;&gt;"",IF(VLOOKUP(A86,Ergebnis_je_Aktie_verwässert!A$3:AK$103,8,FALSE)&lt;=0,2,IF(VLOOKUP(A86,Dividende_je_Aktie!A$3:AM$103,8,FALSE)/VLOOKUP(A86,Ergebnis_je_Aktie_verwässert!A$3:AK$103,8,FALSE)&gt;=2,2,VLOOKUP(A86,Dividende_je_Aktie!A$3:AM$103,8,FALSE)/VLOOKUP(A86,Ergebnis_je_Aktie_verwässert!A$3:AK$103,8,FALSE))),""),"")</f>
        <v>#N/A</v>
      </c>
      <c r="I86" s="5" t="e">
        <f>IF(VLOOKUP(A86,Dividende_je_Aktie!A$3:AM$103,9,FALSE)&lt;&gt;"",IF(VLOOKUP(A86,Ergebnis_je_Aktie_verwässert!A$3:AK$103,9,FALSE)&lt;&gt;"",IF(VLOOKUP(A86,Ergebnis_je_Aktie_verwässert!A$3:AK$103,9,FALSE)&lt;=0,2,IF(VLOOKUP(A86,Dividende_je_Aktie!A$3:AM$103,9,FALSE)/VLOOKUP(A86,Ergebnis_je_Aktie_verwässert!A$3:AK$103,9,FALSE)&gt;=2,2,VLOOKUP(A86,Dividende_je_Aktie!A$3:AM$103,9,FALSE)/VLOOKUP(A86,Ergebnis_je_Aktie_verwässert!A$3:AK$103,9,FALSE))),""),"")</f>
        <v>#N/A</v>
      </c>
      <c r="J86" s="5" t="e">
        <f>IF(VLOOKUP(A86,Dividende_je_Aktie!A$3:AM$103,10,FALSE)&lt;&gt;"",IF(VLOOKUP(A86,Ergebnis_je_Aktie_verwässert!A$3:AK$103,10,FALSE)&lt;&gt;"",IF(VLOOKUP(A86,Ergebnis_je_Aktie_verwässert!A$3:AK$103,10,FALSE)&lt;=0,2,IF(VLOOKUP(A86,Dividende_je_Aktie!A$3:AM$103,10,FALSE)/VLOOKUP(A86,Ergebnis_je_Aktie_verwässert!A$3:AK$103,10,FALSE)&gt;=2,2,VLOOKUP(A86,Dividende_je_Aktie!A$3:AM$103,10,FALSE)/VLOOKUP(A86,Ergebnis_je_Aktie_verwässert!A$3:AK$103,10,FALSE))),""),"")</f>
        <v>#N/A</v>
      </c>
      <c r="K86" s="5" t="e">
        <f>IF(VLOOKUP(A86,Dividende_je_Aktie!A$3:AM$103,11,FALSE)&lt;&gt;"",IF(VLOOKUP(A86,Ergebnis_je_Aktie_verwässert!A$3:AK$103,11,FALSE)&lt;&gt;"",IF(VLOOKUP(A86,Ergebnis_je_Aktie_verwässert!A$3:AK$103,11,FALSE)&lt;=0,2,IF(VLOOKUP(A86,Dividende_je_Aktie!A$3:AM$103,11,FALSE)/VLOOKUP(A86,Ergebnis_je_Aktie_verwässert!A$3:AK$103,11,FALSE)&gt;=2,2,VLOOKUP(A86,Dividende_je_Aktie!A$3:AM$103,11,FALSE)/VLOOKUP(A86,Ergebnis_je_Aktie_verwässert!A$3:AK$103,11,FALSE))),""),"")</f>
        <v>#N/A</v>
      </c>
      <c r="L86" s="5" t="e">
        <f>IF(VLOOKUP(A86,Dividende_je_Aktie!A$3:AM$103,12,FALSE)&lt;&gt;"",IF(VLOOKUP(A86,Ergebnis_je_Aktie_verwässert!A$3:AK$103,12,FALSE)&lt;&gt;"",IF(VLOOKUP(A86,Ergebnis_je_Aktie_verwässert!A$3:AK$103,12,FALSE)&lt;=0,2,IF(VLOOKUP(A86,Dividende_je_Aktie!A$3:AM$103,12,FALSE)/VLOOKUP(A86,Ergebnis_je_Aktie_verwässert!A$3:AK$103,12,FALSE)&gt;=2,2,VLOOKUP(A86,Dividende_je_Aktie!A$3:AM$103,12,FALSE)/VLOOKUP(A86,Ergebnis_je_Aktie_verwässert!A$3:AK$103,12,FALSE))),""),"")</f>
        <v>#N/A</v>
      </c>
      <c r="M86" s="5" t="e">
        <f>IF(VLOOKUP(A86,Dividende_je_Aktie!A$3:AM$103,13,FALSE)&lt;&gt;"",IF(VLOOKUP(A86,Ergebnis_je_Aktie_verwässert!A$3:AK$103,13,FALSE)&lt;&gt;"",IF(VLOOKUP(A86,Ergebnis_je_Aktie_verwässert!A$3:AK$103,13,FALSE)&lt;=0,2,IF(VLOOKUP(A86,Dividende_je_Aktie!A$3:AM$103,13,FALSE)/VLOOKUP(A86,Ergebnis_je_Aktie_verwässert!A$3:AK$103,13,FALSE)&gt;=2,2,VLOOKUP(A86,Dividende_je_Aktie!A$3:AM$103,13,FALSE)/VLOOKUP(A86,Ergebnis_je_Aktie_verwässert!A$3:AK$103,13,FALSE))),""),"")</f>
        <v>#N/A</v>
      </c>
      <c r="N86" s="5" t="e">
        <f>IF(VLOOKUP(A86,Dividende_je_Aktie!A$3:AM$103,14,FALSE)&lt;&gt;"",IF(VLOOKUP(A86,Ergebnis_je_Aktie_verwässert!A$3:AK$103,14,FALSE)&lt;&gt;"",IF(VLOOKUP(A86,Ergebnis_je_Aktie_verwässert!A$3:AK$103,14,FALSE)&lt;=0,2,IF(VLOOKUP(A86,Dividende_je_Aktie!A$3:AM$103,14,FALSE)/VLOOKUP(A86,Ergebnis_je_Aktie_verwässert!A$3:AK$103,14,FALSE)&gt;=2,2,VLOOKUP(A86,Dividende_je_Aktie!A$3:AM$103,14,FALSE)/VLOOKUP(A86,Ergebnis_je_Aktie_verwässert!A$3:AK$103,14,FALSE))),""),"")</f>
        <v>#N/A</v>
      </c>
      <c r="O86" s="5" t="e">
        <f>IF(VLOOKUP(A86,Dividende_je_Aktie!A$3:AM$103,15,FALSE)&lt;&gt;"",IF(VLOOKUP(A86,Ergebnis_je_Aktie_verwässert!A$3:AK$103,15,FALSE)&lt;&gt;"",IF(VLOOKUP(A86,Ergebnis_je_Aktie_verwässert!A$3:AK$103,15,FALSE)&lt;=0,2,IF(VLOOKUP(A86,Dividende_je_Aktie!A$3:AM$103,15,FALSE)/VLOOKUP(A86,Ergebnis_je_Aktie_verwässert!A$3:AK$103,15,FALSE)&gt;=2,2,VLOOKUP(A86,Dividende_je_Aktie!A$3:AM$103,15,FALSE)/VLOOKUP(A86,Ergebnis_je_Aktie_verwässert!A$3:AK$103,15,FALSE))),""),"")</f>
        <v>#N/A</v>
      </c>
      <c r="P86" s="5" t="e">
        <f>IF(VLOOKUP(A86,Dividende_je_Aktie!A$3:AM$103,16,FALSE)&lt;&gt;"",IF(VLOOKUP(A86,Ergebnis_je_Aktie_verwässert!A$3:AK$103,16,FALSE)&lt;&gt;"",IF(VLOOKUP(A86,Ergebnis_je_Aktie_verwässert!A$3:AK$103,16,FALSE)&lt;=0,2,IF(VLOOKUP(A86,Dividende_je_Aktie!A$3:AM$103,16,FALSE)/VLOOKUP(A86,Ergebnis_je_Aktie_verwässert!A$3:AK$103,16,FALSE)&gt;=2,2,VLOOKUP(A86,Dividende_je_Aktie!A$3:AM$103,16,FALSE)/VLOOKUP(A86,Ergebnis_je_Aktie_verwässert!A$3:AK$103,16,FALSE))),""),"")</f>
        <v>#N/A</v>
      </c>
      <c r="Q86" s="5" t="e">
        <f>IF(VLOOKUP(A86,Dividende_je_Aktie!A$3:AM$103,17,FALSE)&lt;&gt;"",IF(VLOOKUP(A86,Ergebnis_je_Aktie_verwässert!A$3:AK$103,17,FALSE)&lt;&gt;"",IF(VLOOKUP(A86,Ergebnis_je_Aktie_verwässert!A$3:AK$103,17,FALSE)&lt;=0,2,IF(VLOOKUP(A86,Dividende_je_Aktie!A$3:AM$103,17,FALSE)/VLOOKUP(A86,Ergebnis_je_Aktie_verwässert!A$3:AK$103,17,FALSE)&gt;=2,2,VLOOKUP(A86,Dividende_je_Aktie!A$3:AM$103,17,FALSE)/VLOOKUP(A86,Ergebnis_je_Aktie_verwässert!A$3:AK$103,17,FALSE))),""),"")</f>
        <v>#N/A</v>
      </c>
      <c r="R86" s="5" t="e">
        <f>IF(VLOOKUP(A86,Dividende_je_Aktie!A$3:AM$103,18,FALSE)&lt;&gt;"",IF(VLOOKUP(A86,Ergebnis_je_Aktie_verwässert!A$3:AK$103,18,FALSE)&lt;&gt;"",IF(VLOOKUP(A86,Ergebnis_je_Aktie_verwässert!A$3:AK$103,18,FALSE)&lt;=0,2,IF(VLOOKUP(A86,Dividende_je_Aktie!A$3:AM$103,18,FALSE)/VLOOKUP(A86,Ergebnis_je_Aktie_verwässert!A$3:AK$103,18,FALSE)&gt;=2,2,VLOOKUP(A86,Dividende_je_Aktie!A$3:AM$103,18,FALSE)/VLOOKUP(A86,Ergebnis_je_Aktie_verwässert!A$3:AK$103,18,FALSE))),""),"")</f>
        <v>#N/A</v>
      </c>
      <c r="S86" s="10" t="e">
        <f t="shared" si="6"/>
        <v>#N/A</v>
      </c>
      <c r="T86" s="4">
        <f t="shared" ca="1" si="7"/>
        <v>41553</v>
      </c>
      <c r="U86" s="4">
        <f t="shared" ca="1" si="8"/>
        <v>-41193</v>
      </c>
      <c r="V86" s="4" t="e">
        <f t="shared" ca="1" si="9"/>
        <v>#NUM!</v>
      </c>
      <c r="W86" s="10" t="e">
        <f t="shared" ca="1" si="10"/>
        <v>#N/A</v>
      </c>
      <c r="X86" s="5" t="e">
        <f t="shared" ca="1" si="11"/>
        <v>#N/A</v>
      </c>
    </row>
    <row r="87" spans="3:24" x14ac:dyDescent="0.25">
      <c r="C87" s="56"/>
      <c r="D87" s="56"/>
      <c r="E87" s="56"/>
      <c r="F87" s="5" t="e">
        <f>IF(VLOOKUP(A87,Dividende_je_Aktie!A$3:AM$103,6,FALSE)&lt;&gt;"",IF(VLOOKUP(A87,Ergebnis_je_Aktie_verwässert!A$3:AK$103,6,FALSE)&lt;&gt;"",IF(VLOOKUP(A87,Ergebnis_je_Aktie_verwässert!A$3:AK$103,6,FALSE)&lt;=0,2,IF(VLOOKUP(A87,Dividende_je_Aktie!A$3:AM$103,6,FALSE)/VLOOKUP(A87,Ergebnis_je_Aktie_verwässert!A$3:AK$103,6,FALSE)&gt;=2,2,VLOOKUP(A87,Dividende_je_Aktie!A$3:AM$103,6,FALSE)/VLOOKUP(A87,Ergebnis_je_Aktie_verwässert!A$3:AK$103,6,FALSE))),""),"")</f>
        <v>#N/A</v>
      </c>
      <c r="G87" s="5" t="e">
        <f>IF(VLOOKUP(A87,Dividende_je_Aktie!A$3:AM$103,7,FALSE)&lt;&gt;"",IF(VLOOKUP(A87,Ergebnis_je_Aktie_verwässert!A$3:AK$103,7,FALSE)&lt;&gt;"",IF(VLOOKUP(A87,Ergebnis_je_Aktie_verwässert!A$3:AK$103,7,FALSE)&lt;=0,2,IF(VLOOKUP(A87,Dividende_je_Aktie!A$3:AM$103,7,FALSE)/VLOOKUP(A87,Ergebnis_je_Aktie_verwässert!A$3:AK$103,7,FALSE)&gt;=2,2,VLOOKUP(A87,Dividende_je_Aktie!A$3:AM$103,7,FALSE)/VLOOKUP(A87,Ergebnis_je_Aktie_verwässert!A$3:AK$103,7,FALSE))),""),"")</f>
        <v>#N/A</v>
      </c>
      <c r="H87" s="5" t="e">
        <f>IF(VLOOKUP(A87,Dividende_je_Aktie!A$3:AM$103,8,FALSE)&lt;&gt;"",IF(VLOOKUP(A87,Ergebnis_je_Aktie_verwässert!A$3:AK$103,8,FALSE)&lt;&gt;"",IF(VLOOKUP(A87,Ergebnis_je_Aktie_verwässert!A$3:AK$103,8,FALSE)&lt;=0,2,IF(VLOOKUP(A87,Dividende_je_Aktie!A$3:AM$103,8,FALSE)/VLOOKUP(A87,Ergebnis_je_Aktie_verwässert!A$3:AK$103,8,FALSE)&gt;=2,2,VLOOKUP(A87,Dividende_je_Aktie!A$3:AM$103,8,FALSE)/VLOOKUP(A87,Ergebnis_je_Aktie_verwässert!A$3:AK$103,8,FALSE))),""),"")</f>
        <v>#N/A</v>
      </c>
      <c r="I87" s="5" t="e">
        <f>IF(VLOOKUP(A87,Dividende_je_Aktie!A$3:AM$103,9,FALSE)&lt;&gt;"",IF(VLOOKUP(A87,Ergebnis_je_Aktie_verwässert!A$3:AK$103,9,FALSE)&lt;&gt;"",IF(VLOOKUP(A87,Ergebnis_je_Aktie_verwässert!A$3:AK$103,9,FALSE)&lt;=0,2,IF(VLOOKUP(A87,Dividende_je_Aktie!A$3:AM$103,9,FALSE)/VLOOKUP(A87,Ergebnis_je_Aktie_verwässert!A$3:AK$103,9,FALSE)&gt;=2,2,VLOOKUP(A87,Dividende_je_Aktie!A$3:AM$103,9,FALSE)/VLOOKUP(A87,Ergebnis_je_Aktie_verwässert!A$3:AK$103,9,FALSE))),""),"")</f>
        <v>#N/A</v>
      </c>
      <c r="J87" s="5" t="e">
        <f>IF(VLOOKUP(A87,Dividende_je_Aktie!A$3:AM$103,10,FALSE)&lt;&gt;"",IF(VLOOKUP(A87,Ergebnis_je_Aktie_verwässert!A$3:AK$103,10,FALSE)&lt;&gt;"",IF(VLOOKUP(A87,Ergebnis_je_Aktie_verwässert!A$3:AK$103,10,FALSE)&lt;=0,2,IF(VLOOKUP(A87,Dividende_je_Aktie!A$3:AM$103,10,FALSE)/VLOOKUP(A87,Ergebnis_je_Aktie_verwässert!A$3:AK$103,10,FALSE)&gt;=2,2,VLOOKUP(A87,Dividende_je_Aktie!A$3:AM$103,10,FALSE)/VLOOKUP(A87,Ergebnis_je_Aktie_verwässert!A$3:AK$103,10,FALSE))),""),"")</f>
        <v>#N/A</v>
      </c>
      <c r="K87" s="5" t="e">
        <f>IF(VLOOKUP(A87,Dividende_je_Aktie!A$3:AM$103,11,FALSE)&lt;&gt;"",IF(VLOOKUP(A87,Ergebnis_je_Aktie_verwässert!A$3:AK$103,11,FALSE)&lt;&gt;"",IF(VLOOKUP(A87,Ergebnis_je_Aktie_verwässert!A$3:AK$103,11,FALSE)&lt;=0,2,IF(VLOOKUP(A87,Dividende_je_Aktie!A$3:AM$103,11,FALSE)/VLOOKUP(A87,Ergebnis_je_Aktie_verwässert!A$3:AK$103,11,FALSE)&gt;=2,2,VLOOKUP(A87,Dividende_je_Aktie!A$3:AM$103,11,FALSE)/VLOOKUP(A87,Ergebnis_je_Aktie_verwässert!A$3:AK$103,11,FALSE))),""),"")</f>
        <v>#N/A</v>
      </c>
      <c r="L87" s="5" t="e">
        <f>IF(VLOOKUP(A87,Dividende_je_Aktie!A$3:AM$103,12,FALSE)&lt;&gt;"",IF(VLOOKUP(A87,Ergebnis_je_Aktie_verwässert!A$3:AK$103,12,FALSE)&lt;&gt;"",IF(VLOOKUP(A87,Ergebnis_je_Aktie_verwässert!A$3:AK$103,12,FALSE)&lt;=0,2,IF(VLOOKUP(A87,Dividende_je_Aktie!A$3:AM$103,12,FALSE)/VLOOKUP(A87,Ergebnis_je_Aktie_verwässert!A$3:AK$103,12,FALSE)&gt;=2,2,VLOOKUP(A87,Dividende_je_Aktie!A$3:AM$103,12,FALSE)/VLOOKUP(A87,Ergebnis_je_Aktie_verwässert!A$3:AK$103,12,FALSE))),""),"")</f>
        <v>#N/A</v>
      </c>
      <c r="M87" s="5" t="e">
        <f>IF(VLOOKUP(A87,Dividende_je_Aktie!A$3:AM$103,13,FALSE)&lt;&gt;"",IF(VLOOKUP(A87,Ergebnis_je_Aktie_verwässert!A$3:AK$103,13,FALSE)&lt;&gt;"",IF(VLOOKUP(A87,Ergebnis_je_Aktie_verwässert!A$3:AK$103,13,FALSE)&lt;=0,2,IF(VLOOKUP(A87,Dividende_je_Aktie!A$3:AM$103,13,FALSE)/VLOOKUP(A87,Ergebnis_je_Aktie_verwässert!A$3:AK$103,13,FALSE)&gt;=2,2,VLOOKUP(A87,Dividende_je_Aktie!A$3:AM$103,13,FALSE)/VLOOKUP(A87,Ergebnis_je_Aktie_verwässert!A$3:AK$103,13,FALSE))),""),"")</f>
        <v>#N/A</v>
      </c>
      <c r="N87" s="5" t="e">
        <f>IF(VLOOKUP(A87,Dividende_je_Aktie!A$3:AM$103,14,FALSE)&lt;&gt;"",IF(VLOOKUP(A87,Ergebnis_je_Aktie_verwässert!A$3:AK$103,14,FALSE)&lt;&gt;"",IF(VLOOKUP(A87,Ergebnis_je_Aktie_verwässert!A$3:AK$103,14,FALSE)&lt;=0,2,IF(VLOOKUP(A87,Dividende_je_Aktie!A$3:AM$103,14,FALSE)/VLOOKUP(A87,Ergebnis_je_Aktie_verwässert!A$3:AK$103,14,FALSE)&gt;=2,2,VLOOKUP(A87,Dividende_je_Aktie!A$3:AM$103,14,FALSE)/VLOOKUP(A87,Ergebnis_je_Aktie_verwässert!A$3:AK$103,14,FALSE))),""),"")</f>
        <v>#N/A</v>
      </c>
      <c r="O87" s="5" t="e">
        <f>IF(VLOOKUP(A87,Dividende_je_Aktie!A$3:AM$103,15,FALSE)&lt;&gt;"",IF(VLOOKUP(A87,Ergebnis_je_Aktie_verwässert!A$3:AK$103,15,FALSE)&lt;&gt;"",IF(VLOOKUP(A87,Ergebnis_je_Aktie_verwässert!A$3:AK$103,15,FALSE)&lt;=0,2,IF(VLOOKUP(A87,Dividende_je_Aktie!A$3:AM$103,15,FALSE)/VLOOKUP(A87,Ergebnis_je_Aktie_verwässert!A$3:AK$103,15,FALSE)&gt;=2,2,VLOOKUP(A87,Dividende_je_Aktie!A$3:AM$103,15,FALSE)/VLOOKUP(A87,Ergebnis_je_Aktie_verwässert!A$3:AK$103,15,FALSE))),""),"")</f>
        <v>#N/A</v>
      </c>
      <c r="P87" s="5" t="e">
        <f>IF(VLOOKUP(A87,Dividende_je_Aktie!A$3:AM$103,16,FALSE)&lt;&gt;"",IF(VLOOKUP(A87,Ergebnis_je_Aktie_verwässert!A$3:AK$103,16,FALSE)&lt;&gt;"",IF(VLOOKUP(A87,Ergebnis_je_Aktie_verwässert!A$3:AK$103,16,FALSE)&lt;=0,2,IF(VLOOKUP(A87,Dividende_je_Aktie!A$3:AM$103,16,FALSE)/VLOOKUP(A87,Ergebnis_je_Aktie_verwässert!A$3:AK$103,16,FALSE)&gt;=2,2,VLOOKUP(A87,Dividende_je_Aktie!A$3:AM$103,16,FALSE)/VLOOKUP(A87,Ergebnis_je_Aktie_verwässert!A$3:AK$103,16,FALSE))),""),"")</f>
        <v>#N/A</v>
      </c>
      <c r="Q87" s="5" t="e">
        <f>IF(VLOOKUP(A87,Dividende_je_Aktie!A$3:AM$103,17,FALSE)&lt;&gt;"",IF(VLOOKUP(A87,Ergebnis_je_Aktie_verwässert!A$3:AK$103,17,FALSE)&lt;&gt;"",IF(VLOOKUP(A87,Ergebnis_je_Aktie_verwässert!A$3:AK$103,17,FALSE)&lt;=0,2,IF(VLOOKUP(A87,Dividende_je_Aktie!A$3:AM$103,17,FALSE)/VLOOKUP(A87,Ergebnis_je_Aktie_verwässert!A$3:AK$103,17,FALSE)&gt;=2,2,VLOOKUP(A87,Dividende_je_Aktie!A$3:AM$103,17,FALSE)/VLOOKUP(A87,Ergebnis_je_Aktie_verwässert!A$3:AK$103,17,FALSE))),""),"")</f>
        <v>#N/A</v>
      </c>
      <c r="R87" s="5" t="e">
        <f>IF(VLOOKUP(A87,Dividende_je_Aktie!A$3:AM$103,18,FALSE)&lt;&gt;"",IF(VLOOKUP(A87,Ergebnis_je_Aktie_verwässert!A$3:AK$103,18,FALSE)&lt;&gt;"",IF(VLOOKUP(A87,Ergebnis_je_Aktie_verwässert!A$3:AK$103,18,FALSE)&lt;=0,2,IF(VLOOKUP(A87,Dividende_je_Aktie!A$3:AM$103,18,FALSE)/VLOOKUP(A87,Ergebnis_je_Aktie_verwässert!A$3:AK$103,18,FALSE)&gt;=2,2,VLOOKUP(A87,Dividende_je_Aktie!A$3:AM$103,18,FALSE)/VLOOKUP(A87,Ergebnis_je_Aktie_verwässert!A$3:AK$103,18,FALSE))),""),"")</f>
        <v>#N/A</v>
      </c>
      <c r="S87" s="10" t="e">
        <f t="shared" si="6"/>
        <v>#N/A</v>
      </c>
      <c r="T87" s="4">
        <f t="shared" ca="1" si="7"/>
        <v>41553</v>
      </c>
      <c r="U87" s="4">
        <f t="shared" ca="1" si="8"/>
        <v>-41193</v>
      </c>
      <c r="V87" s="4" t="e">
        <f t="shared" ca="1" si="9"/>
        <v>#NUM!</v>
      </c>
      <c r="W87" s="10" t="e">
        <f t="shared" ca="1" si="10"/>
        <v>#N/A</v>
      </c>
      <c r="X87" s="5" t="e">
        <f t="shared" ca="1" si="11"/>
        <v>#N/A</v>
      </c>
    </row>
    <row r="88" spans="3:24" x14ac:dyDescent="0.25">
      <c r="C88" s="56"/>
      <c r="D88" s="56"/>
      <c r="E88" s="56"/>
      <c r="F88" s="5" t="e">
        <f>IF(VLOOKUP(A88,Dividende_je_Aktie!A$3:AM$103,6,FALSE)&lt;&gt;"",IF(VLOOKUP(A88,Ergebnis_je_Aktie_verwässert!A$3:AK$103,6,FALSE)&lt;&gt;"",IF(VLOOKUP(A88,Ergebnis_je_Aktie_verwässert!A$3:AK$103,6,FALSE)&lt;=0,2,IF(VLOOKUP(A88,Dividende_je_Aktie!A$3:AM$103,6,FALSE)/VLOOKUP(A88,Ergebnis_je_Aktie_verwässert!A$3:AK$103,6,FALSE)&gt;=2,2,VLOOKUP(A88,Dividende_je_Aktie!A$3:AM$103,6,FALSE)/VLOOKUP(A88,Ergebnis_je_Aktie_verwässert!A$3:AK$103,6,FALSE))),""),"")</f>
        <v>#N/A</v>
      </c>
      <c r="G88" s="5" t="e">
        <f>IF(VLOOKUP(A88,Dividende_je_Aktie!A$3:AM$103,7,FALSE)&lt;&gt;"",IF(VLOOKUP(A88,Ergebnis_je_Aktie_verwässert!A$3:AK$103,7,FALSE)&lt;&gt;"",IF(VLOOKUP(A88,Ergebnis_je_Aktie_verwässert!A$3:AK$103,7,FALSE)&lt;=0,2,IF(VLOOKUP(A88,Dividende_je_Aktie!A$3:AM$103,7,FALSE)/VLOOKUP(A88,Ergebnis_je_Aktie_verwässert!A$3:AK$103,7,FALSE)&gt;=2,2,VLOOKUP(A88,Dividende_je_Aktie!A$3:AM$103,7,FALSE)/VLOOKUP(A88,Ergebnis_je_Aktie_verwässert!A$3:AK$103,7,FALSE))),""),"")</f>
        <v>#N/A</v>
      </c>
      <c r="H88" s="5" t="e">
        <f>IF(VLOOKUP(A88,Dividende_je_Aktie!A$3:AM$103,8,FALSE)&lt;&gt;"",IF(VLOOKUP(A88,Ergebnis_je_Aktie_verwässert!A$3:AK$103,8,FALSE)&lt;&gt;"",IF(VLOOKUP(A88,Ergebnis_je_Aktie_verwässert!A$3:AK$103,8,FALSE)&lt;=0,2,IF(VLOOKUP(A88,Dividende_je_Aktie!A$3:AM$103,8,FALSE)/VLOOKUP(A88,Ergebnis_je_Aktie_verwässert!A$3:AK$103,8,FALSE)&gt;=2,2,VLOOKUP(A88,Dividende_je_Aktie!A$3:AM$103,8,FALSE)/VLOOKUP(A88,Ergebnis_je_Aktie_verwässert!A$3:AK$103,8,FALSE))),""),"")</f>
        <v>#N/A</v>
      </c>
      <c r="I88" s="5" t="e">
        <f>IF(VLOOKUP(A88,Dividende_je_Aktie!A$3:AM$103,9,FALSE)&lt;&gt;"",IF(VLOOKUP(A88,Ergebnis_je_Aktie_verwässert!A$3:AK$103,9,FALSE)&lt;&gt;"",IF(VLOOKUP(A88,Ergebnis_je_Aktie_verwässert!A$3:AK$103,9,FALSE)&lt;=0,2,IF(VLOOKUP(A88,Dividende_je_Aktie!A$3:AM$103,9,FALSE)/VLOOKUP(A88,Ergebnis_je_Aktie_verwässert!A$3:AK$103,9,FALSE)&gt;=2,2,VLOOKUP(A88,Dividende_je_Aktie!A$3:AM$103,9,FALSE)/VLOOKUP(A88,Ergebnis_je_Aktie_verwässert!A$3:AK$103,9,FALSE))),""),"")</f>
        <v>#N/A</v>
      </c>
      <c r="J88" s="5" t="e">
        <f>IF(VLOOKUP(A88,Dividende_je_Aktie!A$3:AM$103,10,FALSE)&lt;&gt;"",IF(VLOOKUP(A88,Ergebnis_je_Aktie_verwässert!A$3:AK$103,10,FALSE)&lt;&gt;"",IF(VLOOKUP(A88,Ergebnis_je_Aktie_verwässert!A$3:AK$103,10,FALSE)&lt;=0,2,IF(VLOOKUP(A88,Dividende_je_Aktie!A$3:AM$103,10,FALSE)/VLOOKUP(A88,Ergebnis_je_Aktie_verwässert!A$3:AK$103,10,FALSE)&gt;=2,2,VLOOKUP(A88,Dividende_je_Aktie!A$3:AM$103,10,FALSE)/VLOOKUP(A88,Ergebnis_je_Aktie_verwässert!A$3:AK$103,10,FALSE))),""),"")</f>
        <v>#N/A</v>
      </c>
      <c r="K88" s="5" t="e">
        <f>IF(VLOOKUP(A88,Dividende_je_Aktie!A$3:AM$103,11,FALSE)&lt;&gt;"",IF(VLOOKUP(A88,Ergebnis_je_Aktie_verwässert!A$3:AK$103,11,FALSE)&lt;&gt;"",IF(VLOOKUP(A88,Ergebnis_je_Aktie_verwässert!A$3:AK$103,11,FALSE)&lt;=0,2,IF(VLOOKUP(A88,Dividende_je_Aktie!A$3:AM$103,11,FALSE)/VLOOKUP(A88,Ergebnis_je_Aktie_verwässert!A$3:AK$103,11,FALSE)&gt;=2,2,VLOOKUP(A88,Dividende_je_Aktie!A$3:AM$103,11,FALSE)/VLOOKUP(A88,Ergebnis_je_Aktie_verwässert!A$3:AK$103,11,FALSE))),""),"")</f>
        <v>#N/A</v>
      </c>
      <c r="L88" s="5" t="e">
        <f>IF(VLOOKUP(A88,Dividende_je_Aktie!A$3:AM$103,12,FALSE)&lt;&gt;"",IF(VLOOKUP(A88,Ergebnis_je_Aktie_verwässert!A$3:AK$103,12,FALSE)&lt;&gt;"",IF(VLOOKUP(A88,Ergebnis_je_Aktie_verwässert!A$3:AK$103,12,FALSE)&lt;=0,2,IF(VLOOKUP(A88,Dividende_je_Aktie!A$3:AM$103,12,FALSE)/VLOOKUP(A88,Ergebnis_je_Aktie_verwässert!A$3:AK$103,12,FALSE)&gt;=2,2,VLOOKUP(A88,Dividende_je_Aktie!A$3:AM$103,12,FALSE)/VLOOKUP(A88,Ergebnis_je_Aktie_verwässert!A$3:AK$103,12,FALSE))),""),"")</f>
        <v>#N/A</v>
      </c>
      <c r="M88" s="5" t="e">
        <f>IF(VLOOKUP(A88,Dividende_je_Aktie!A$3:AM$103,13,FALSE)&lt;&gt;"",IF(VLOOKUP(A88,Ergebnis_je_Aktie_verwässert!A$3:AK$103,13,FALSE)&lt;&gt;"",IF(VLOOKUP(A88,Ergebnis_je_Aktie_verwässert!A$3:AK$103,13,FALSE)&lt;=0,2,IF(VLOOKUP(A88,Dividende_je_Aktie!A$3:AM$103,13,FALSE)/VLOOKUP(A88,Ergebnis_je_Aktie_verwässert!A$3:AK$103,13,FALSE)&gt;=2,2,VLOOKUP(A88,Dividende_je_Aktie!A$3:AM$103,13,FALSE)/VLOOKUP(A88,Ergebnis_je_Aktie_verwässert!A$3:AK$103,13,FALSE))),""),"")</f>
        <v>#N/A</v>
      </c>
      <c r="N88" s="5" t="e">
        <f>IF(VLOOKUP(A88,Dividende_je_Aktie!A$3:AM$103,14,FALSE)&lt;&gt;"",IF(VLOOKUP(A88,Ergebnis_je_Aktie_verwässert!A$3:AK$103,14,FALSE)&lt;&gt;"",IF(VLOOKUP(A88,Ergebnis_je_Aktie_verwässert!A$3:AK$103,14,FALSE)&lt;=0,2,IF(VLOOKUP(A88,Dividende_je_Aktie!A$3:AM$103,14,FALSE)/VLOOKUP(A88,Ergebnis_je_Aktie_verwässert!A$3:AK$103,14,FALSE)&gt;=2,2,VLOOKUP(A88,Dividende_je_Aktie!A$3:AM$103,14,FALSE)/VLOOKUP(A88,Ergebnis_je_Aktie_verwässert!A$3:AK$103,14,FALSE))),""),"")</f>
        <v>#N/A</v>
      </c>
      <c r="O88" s="5" t="e">
        <f>IF(VLOOKUP(A88,Dividende_je_Aktie!A$3:AM$103,15,FALSE)&lt;&gt;"",IF(VLOOKUP(A88,Ergebnis_je_Aktie_verwässert!A$3:AK$103,15,FALSE)&lt;&gt;"",IF(VLOOKUP(A88,Ergebnis_je_Aktie_verwässert!A$3:AK$103,15,FALSE)&lt;=0,2,IF(VLOOKUP(A88,Dividende_je_Aktie!A$3:AM$103,15,FALSE)/VLOOKUP(A88,Ergebnis_je_Aktie_verwässert!A$3:AK$103,15,FALSE)&gt;=2,2,VLOOKUP(A88,Dividende_je_Aktie!A$3:AM$103,15,FALSE)/VLOOKUP(A88,Ergebnis_je_Aktie_verwässert!A$3:AK$103,15,FALSE))),""),"")</f>
        <v>#N/A</v>
      </c>
      <c r="P88" s="5" t="e">
        <f>IF(VLOOKUP(A88,Dividende_je_Aktie!A$3:AM$103,16,FALSE)&lt;&gt;"",IF(VLOOKUP(A88,Ergebnis_je_Aktie_verwässert!A$3:AK$103,16,FALSE)&lt;&gt;"",IF(VLOOKUP(A88,Ergebnis_je_Aktie_verwässert!A$3:AK$103,16,FALSE)&lt;=0,2,IF(VLOOKUP(A88,Dividende_je_Aktie!A$3:AM$103,16,FALSE)/VLOOKUP(A88,Ergebnis_je_Aktie_verwässert!A$3:AK$103,16,FALSE)&gt;=2,2,VLOOKUP(A88,Dividende_je_Aktie!A$3:AM$103,16,FALSE)/VLOOKUP(A88,Ergebnis_je_Aktie_verwässert!A$3:AK$103,16,FALSE))),""),"")</f>
        <v>#N/A</v>
      </c>
      <c r="Q88" s="5" t="e">
        <f>IF(VLOOKUP(A88,Dividende_je_Aktie!A$3:AM$103,17,FALSE)&lt;&gt;"",IF(VLOOKUP(A88,Ergebnis_je_Aktie_verwässert!A$3:AK$103,17,FALSE)&lt;&gt;"",IF(VLOOKUP(A88,Ergebnis_je_Aktie_verwässert!A$3:AK$103,17,FALSE)&lt;=0,2,IF(VLOOKUP(A88,Dividende_je_Aktie!A$3:AM$103,17,FALSE)/VLOOKUP(A88,Ergebnis_je_Aktie_verwässert!A$3:AK$103,17,FALSE)&gt;=2,2,VLOOKUP(A88,Dividende_je_Aktie!A$3:AM$103,17,FALSE)/VLOOKUP(A88,Ergebnis_je_Aktie_verwässert!A$3:AK$103,17,FALSE))),""),"")</f>
        <v>#N/A</v>
      </c>
      <c r="R88" s="5" t="e">
        <f>IF(VLOOKUP(A88,Dividende_je_Aktie!A$3:AM$103,18,FALSE)&lt;&gt;"",IF(VLOOKUP(A88,Ergebnis_je_Aktie_verwässert!A$3:AK$103,18,FALSE)&lt;&gt;"",IF(VLOOKUP(A88,Ergebnis_je_Aktie_verwässert!A$3:AK$103,18,FALSE)&lt;=0,2,IF(VLOOKUP(A88,Dividende_je_Aktie!A$3:AM$103,18,FALSE)/VLOOKUP(A88,Ergebnis_je_Aktie_verwässert!A$3:AK$103,18,FALSE)&gt;=2,2,VLOOKUP(A88,Dividende_je_Aktie!A$3:AM$103,18,FALSE)/VLOOKUP(A88,Ergebnis_je_Aktie_verwässert!A$3:AK$103,18,FALSE))),""),"")</f>
        <v>#N/A</v>
      </c>
      <c r="S88" s="10" t="e">
        <f t="shared" si="6"/>
        <v>#N/A</v>
      </c>
      <c r="T88" s="4">
        <f t="shared" ca="1" si="7"/>
        <v>41553</v>
      </c>
      <c r="U88" s="4">
        <f t="shared" ca="1" si="8"/>
        <v>-41193</v>
      </c>
      <c r="V88" s="4" t="e">
        <f t="shared" ca="1" si="9"/>
        <v>#NUM!</v>
      </c>
      <c r="W88" s="10" t="e">
        <f t="shared" ca="1" si="10"/>
        <v>#N/A</v>
      </c>
      <c r="X88" s="5" t="e">
        <f t="shared" ca="1" si="11"/>
        <v>#N/A</v>
      </c>
    </row>
    <row r="89" spans="3:24" x14ac:dyDescent="0.25">
      <c r="C89" s="56"/>
      <c r="D89" s="56"/>
      <c r="E89" s="56"/>
      <c r="F89" s="5" t="e">
        <f>IF(VLOOKUP(A89,Dividende_je_Aktie!A$3:AM$103,6,FALSE)&lt;&gt;"",IF(VLOOKUP(A89,Ergebnis_je_Aktie_verwässert!A$3:AK$103,6,FALSE)&lt;&gt;"",IF(VLOOKUP(A89,Ergebnis_je_Aktie_verwässert!A$3:AK$103,6,FALSE)&lt;=0,2,IF(VLOOKUP(A89,Dividende_je_Aktie!A$3:AM$103,6,FALSE)/VLOOKUP(A89,Ergebnis_je_Aktie_verwässert!A$3:AK$103,6,FALSE)&gt;=2,2,VLOOKUP(A89,Dividende_je_Aktie!A$3:AM$103,6,FALSE)/VLOOKUP(A89,Ergebnis_je_Aktie_verwässert!A$3:AK$103,6,FALSE))),""),"")</f>
        <v>#N/A</v>
      </c>
      <c r="G89" s="5" t="e">
        <f>IF(VLOOKUP(A89,Dividende_je_Aktie!A$3:AM$103,7,FALSE)&lt;&gt;"",IF(VLOOKUP(A89,Ergebnis_je_Aktie_verwässert!A$3:AK$103,7,FALSE)&lt;&gt;"",IF(VLOOKUP(A89,Ergebnis_je_Aktie_verwässert!A$3:AK$103,7,FALSE)&lt;=0,2,IF(VLOOKUP(A89,Dividende_je_Aktie!A$3:AM$103,7,FALSE)/VLOOKUP(A89,Ergebnis_je_Aktie_verwässert!A$3:AK$103,7,FALSE)&gt;=2,2,VLOOKUP(A89,Dividende_je_Aktie!A$3:AM$103,7,FALSE)/VLOOKUP(A89,Ergebnis_je_Aktie_verwässert!A$3:AK$103,7,FALSE))),""),"")</f>
        <v>#N/A</v>
      </c>
      <c r="H89" s="5" t="e">
        <f>IF(VLOOKUP(A89,Dividende_je_Aktie!A$3:AM$103,8,FALSE)&lt;&gt;"",IF(VLOOKUP(A89,Ergebnis_je_Aktie_verwässert!A$3:AK$103,8,FALSE)&lt;&gt;"",IF(VLOOKUP(A89,Ergebnis_je_Aktie_verwässert!A$3:AK$103,8,FALSE)&lt;=0,2,IF(VLOOKUP(A89,Dividende_je_Aktie!A$3:AM$103,8,FALSE)/VLOOKUP(A89,Ergebnis_je_Aktie_verwässert!A$3:AK$103,8,FALSE)&gt;=2,2,VLOOKUP(A89,Dividende_je_Aktie!A$3:AM$103,8,FALSE)/VLOOKUP(A89,Ergebnis_je_Aktie_verwässert!A$3:AK$103,8,FALSE))),""),"")</f>
        <v>#N/A</v>
      </c>
      <c r="I89" s="5" t="e">
        <f>IF(VLOOKUP(A89,Dividende_je_Aktie!A$3:AM$103,9,FALSE)&lt;&gt;"",IF(VLOOKUP(A89,Ergebnis_je_Aktie_verwässert!A$3:AK$103,9,FALSE)&lt;&gt;"",IF(VLOOKUP(A89,Ergebnis_je_Aktie_verwässert!A$3:AK$103,9,FALSE)&lt;=0,2,IF(VLOOKUP(A89,Dividende_je_Aktie!A$3:AM$103,9,FALSE)/VLOOKUP(A89,Ergebnis_je_Aktie_verwässert!A$3:AK$103,9,FALSE)&gt;=2,2,VLOOKUP(A89,Dividende_je_Aktie!A$3:AM$103,9,FALSE)/VLOOKUP(A89,Ergebnis_je_Aktie_verwässert!A$3:AK$103,9,FALSE))),""),"")</f>
        <v>#N/A</v>
      </c>
      <c r="J89" s="5" t="e">
        <f>IF(VLOOKUP(A89,Dividende_je_Aktie!A$3:AM$103,10,FALSE)&lt;&gt;"",IF(VLOOKUP(A89,Ergebnis_je_Aktie_verwässert!A$3:AK$103,10,FALSE)&lt;&gt;"",IF(VLOOKUP(A89,Ergebnis_je_Aktie_verwässert!A$3:AK$103,10,FALSE)&lt;=0,2,IF(VLOOKUP(A89,Dividende_je_Aktie!A$3:AM$103,10,FALSE)/VLOOKUP(A89,Ergebnis_je_Aktie_verwässert!A$3:AK$103,10,FALSE)&gt;=2,2,VLOOKUP(A89,Dividende_je_Aktie!A$3:AM$103,10,FALSE)/VLOOKUP(A89,Ergebnis_je_Aktie_verwässert!A$3:AK$103,10,FALSE))),""),"")</f>
        <v>#N/A</v>
      </c>
      <c r="K89" s="5" t="e">
        <f>IF(VLOOKUP(A89,Dividende_je_Aktie!A$3:AM$103,11,FALSE)&lt;&gt;"",IF(VLOOKUP(A89,Ergebnis_je_Aktie_verwässert!A$3:AK$103,11,FALSE)&lt;&gt;"",IF(VLOOKUP(A89,Ergebnis_je_Aktie_verwässert!A$3:AK$103,11,FALSE)&lt;=0,2,IF(VLOOKUP(A89,Dividende_je_Aktie!A$3:AM$103,11,FALSE)/VLOOKUP(A89,Ergebnis_je_Aktie_verwässert!A$3:AK$103,11,FALSE)&gt;=2,2,VLOOKUP(A89,Dividende_je_Aktie!A$3:AM$103,11,FALSE)/VLOOKUP(A89,Ergebnis_je_Aktie_verwässert!A$3:AK$103,11,FALSE))),""),"")</f>
        <v>#N/A</v>
      </c>
      <c r="L89" s="5" t="e">
        <f>IF(VLOOKUP(A89,Dividende_je_Aktie!A$3:AM$103,12,FALSE)&lt;&gt;"",IF(VLOOKUP(A89,Ergebnis_je_Aktie_verwässert!A$3:AK$103,12,FALSE)&lt;&gt;"",IF(VLOOKUP(A89,Ergebnis_je_Aktie_verwässert!A$3:AK$103,12,FALSE)&lt;=0,2,IF(VLOOKUP(A89,Dividende_je_Aktie!A$3:AM$103,12,FALSE)/VLOOKUP(A89,Ergebnis_je_Aktie_verwässert!A$3:AK$103,12,FALSE)&gt;=2,2,VLOOKUP(A89,Dividende_je_Aktie!A$3:AM$103,12,FALSE)/VLOOKUP(A89,Ergebnis_je_Aktie_verwässert!A$3:AK$103,12,FALSE))),""),"")</f>
        <v>#N/A</v>
      </c>
      <c r="M89" s="5" t="e">
        <f>IF(VLOOKUP(A89,Dividende_je_Aktie!A$3:AM$103,13,FALSE)&lt;&gt;"",IF(VLOOKUP(A89,Ergebnis_je_Aktie_verwässert!A$3:AK$103,13,FALSE)&lt;&gt;"",IF(VLOOKUP(A89,Ergebnis_je_Aktie_verwässert!A$3:AK$103,13,FALSE)&lt;=0,2,IF(VLOOKUP(A89,Dividende_je_Aktie!A$3:AM$103,13,FALSE)/VLOOKUP(A89,Ergebnis_je_Aktie_verwässert!A$3:AK$103,13,FALSE)&gt;=2,2,VLOOKUP(A89,Dividende_je_Aktie!A$3:AM$103,13,FALSE)/VLOOKUP(A89,Ergebnis_je_Aktie_verwässert!A$3:AK$103,13,FALSE))),""),"")</f>
        <v>#N/A</v>
      </c>
      <c r="N89" s="5" t="e">
        <f>IF(VLOOKUP(A89,Dividende_je_Aktie!A$3:AM$103,14,FALSE)&lt;&gt;"",IF(VLOOKUP(A89,Ergebnis_je_Aktie_verwässert!A$3:AK$103,14,FALSE)&lt;&gt;"",IF(VLOOKUP(A89,Ergebnis_je_Aktie_verwässert!A$3:AK$103,14,FALSE)&lt;=0,2,IF(VLOOKUP(A89,Dividende_je_Aktie!A$3:AM$103,14,FALSE)/VLOOKUP(A89,Ergebnis_je_Aktie_verwässert!A$3:AK$103,14,FALSE)&gt;=2,2,VLOOKUP(A89,Dividende_je_Aktie!A$3:AM$103,14,FALSE)/VLOOKUP(A89,Ergebnis_je_Aktie_verwässert!A$3:AK$103,14,FALSE))),""),"")</f>
        <v>#N/A</v>
      </c>
      <c r="O89" s="5" t="e">
        <f>IF(VLOOKUP(A89,Dividende_je_Aktie!A$3:AM$103,15,FALSE)&lt;&gt;"",IF(VLOOKUP(A89,Ergebnis_je_Aktie_verwässert!A$3:AK$103,15,FALSE)&lt;&gt;"",IF(VLOOKUP(A89,Ergebnis_je_Aktie_verwässert!A$3:AK$103,15,FALSE)&lt;=0,2,IF(VLOOKUP(A89,Dividende_je_Aktie!A$3:AM$103,15,FALSE)/VLOOKUP(A89,Ergebnis_je_Aktie_verwässert!A$3:AK$103,15,FALSE)&gt;=2,2,VLOOKUP(A89,Dividende_je_Aktie!A$3:AM$103,15,FALSE)/VLOOKUP(A89,Ergebnis_je_Aktie_verwässert!A$3:AK$103,15,FALSE))),""),"")</f>
        <v>#N/A</v>
      </c>
      <c r="P89" s="5" t="e">
        <f>IF(VLOOKUP(A89,Dividende_je_Aktie!A$3:AM$103,16,FALSE)&lt;&gt;"",IF(VLOOKUP(A89,Ergebnis_je_Aktie_verwässert!A$3:AK$103,16,FALSE)&lt;&gt;"",IF(VLOOKUP(A89,Ergebnis_je_Aktie_verwässert!A$3:AK$103,16,FALSE)&lt;=0,2,IF(VLOOKUP(A89,Dividende_je_Aktie!A$3:AM$103,16,FALSE)/VLOOKUP(A89,Ergebnis_je_Aktie_verwässert!A$3:AK$103,16,FALSE)&gt;=2,2,VLOOKUP(A89,Dividende_je_Aktie!A$3:AM$103,16,FALSE)/VLOOKUP(A89,Ergebnis_je_Aktie_verwässert!A$3:AK$103,16,FALSE))),""),"")</f>
        <v>#N/A</v>
      </c>
      <c r="Q89" s="5" t="e">
        <f>IF(VLOOKUP(A89,Dividende_je_Aktie!A$3:AM$103,17,FALSE)&lt;&gt;"",IF(VLOOKUP(A89,Ergebnis_je_Aktie_verwässert!A$3:AK$103,17,FALSE)&lt;&gt;"",IF(VLOOKUP(A89,Ergebnis_je_Aktie_verwässert!A$3:AK$103,17,FALSE)&lt;=0,2,IF(VLOOKUP(A89,Dividende_je_Aktie!A$3:AM$103,17,FALSE)/VLOOKUP(A89,Ergebnis_je_Aktie_verwässert!A$3:AK$103,17,FALSE)&gt;=2,2,VLOOKUP(A89,Dividende_je_Aktie!A$3:AM$103,17,FALSE)/VLOOKUP(A89,Ergebnis_je_Aktie_verwässert!A$3:AK$103,17,FALSE))),""),"")</f>
        <v>#N/A</v>
      </c>
      <c r="R89" s="5" t="e">
        <f>IF(VLOOKUP(A89,Dividende_je_Aktie!A$3:AM$103,18,FALSE)&lt;&gt;"",IF(VLOOKUP(A89,Ergebnis_je_Aktie_verwässert!A$3:AK$103,18,FALSE)&lt;&gt;"",IF(VLOOKUP(A89,Ergebnis_je_Aktie_verwässert!A$3:AK$103,18,FALSE)&lt;=0,2,IF(VLOOKUP(A89,Dividende_je_Aktie!A$3:AM$103,18,FALSE)/VLOOKUP(A89,Ergebnis_je_Aktie_verwässert!A$3:AK$103,18,FALSE)&gt;=2,2,VLOOKUP(A89,Dividende_je_Aktie!A$3:AM$103,18,FALSE)/VLOOKUP(A89,Ergebnis_je_Aktie_verwässert!A$3:AK$103,18,FALSE))),""),"")</f>
        <v>#N/A</v>
      </c>
      <c r="S89" s="10" t="e">
        <f t="shared" si="6"/>
        <v>#N/A</v>
      </c>
      <c r="T89" s="4">
        <f t="shared" ca="1" si="7"/>
        <v>41553</v>
      </c>
      <c r="U89" s="4">
        <f t="shared" ca="1" si="8"/>
        <v>-41193</v>
      </c>
      <c r="V89" s="4" t="e">
        <f t="shared" ca="1" si="9"/>
        <v>#NUM!</v>
      </c>
      <c r="W89" s="10" t="e">
        <f t="shared" ca="1" si="10"/>
        <v>#N/A</v>
      </c>
      <c r="X89" s="5" t="e">
        <f t="shared" ca="1" si="11"/>
        <v>#N/A</v>
      </c>
    </row>
    <row r="90" spans="3:24" x14ac:dyDescent="0.25">
      <c r="C90" s="56"/>
      <c r="D90" s="56"/>
      <c r="E90" s="56"/>
      <c r="F90" s="5" t="e">
        <f>IF(VLOOKUP(A90,Dividende_je_Aktie!A$3:AM$103,6,FALSE)&lt;&gt;"",IF(VLOOKUP(A90,Ergebnis_je_Aktie_verwässert!A$3:AK$103,6,FALSE)&lt;&gt;"",IF(VLOOKUP(A90,Ergebnis_je_Aktie_verwässert!A$3:AK$103,6,FALSE)&lt;=0,2,IF(VLOOKUP(A90,Dividende_je_Aktie!A$3:AM$103,6,FALSE)/VLOOKUP(A90,Ergebnis_je_Aktie_verwässert!A$3:AK$103,6,FALSE)&gt;=2,2,VLOOKUP(A90,Dividende_je_Aktie!A$3:AM$103,6,FALSE)/VLOOKUP(A90,Ergebnis_je_Aktie_verwässert!A$3:AK$103,6,FALSE))),""),"")</f>
        <v>#N/A</v>
      </c>
      <c r="G90" s="5" t="e">
        <f>IF(VLOOKUP(A90,Dividende_je_Aktie!A$3:AM$103,7,FALSE)&lt;&gt;"",IF(VLOOKUP(A90,Ergebnis_je_Aktie_verwässert!A$3:AK$103,7,FALSE)&lt;&gt;"",IF(VLOOKUP(A90,Ergebnis_je_Aktie_verwässert!A$3:AK$103,7,FALSE)&lt;=0,2,IF(VLOOKUP(A90,Dividende_je_Aktie!A$3:AM$103,7,FALSE)/VLOOKUP(A90,Ergebnis_je_Aktie_verwässert!A$3:AK$103,7,FALSE)&gt;=2,2,VLOOKUP(A90,Dividende_je_Aktie!A$3:AM$103,7,FALSE)/VLOOKUP(A90,Ergebnis_je_Aktie_verwässert!A$3:AK$103,7,FALSE))),""),"")</f>
        <v>#N/A</v>
      </c>
      <c r="H90" s="5" t="e">
        <f>IF(VLOOKUP(A90,Dividende_je_Aktie!A$3:AM$103,8,FALSE)&lt;&gt;"",IF(VLOOKUP(A90,Ergebnis_je_Aktie_verwässert!A$3:AK$103,8,FALSE)&lt;&gt;"",IF(VLOOKUP(A90,Ergebnis_je_Aktie_verwässert!A$3:AK$103,8,FALSE)&lt;=0,2,IF(VLOOKUP(A90,Dividende_je_Aktie!A$3:AM$103,8,FALSE)/VLOOKUP(A90,Ergebnis_je_Aktie_verwässert!A$3:AK$103,8,FALSE)&gt;=2,2,VLOOKUP(A90,Dividende_je_Aktie!A$3:AM$103,8,FALSE)/VLOOKUP(A90,Ergebnis_je_Aktie_verwässert!A$3:AK$103,8,FALSE))),""),"")</f>
        <v>#N/A</v>
      </c>
      <c r="I90" s="5" t="e">
        <f>IF(VLOOKUP(A90,Dividende_je_Aktie!A$3:AM$103,9,FALSE)&lt;&gt;"",IF(VLOOKUP(A90,Ergebnis_je_Aktie_verwässert!A$3:AK$103,9,FALSE)&lt;&gt;"",IF(VLOOKUP(A90,Ergebnis_je_Aktie_verwässert!A$3:AK$103,9,FALSE)&lt;=0,2,IF(VLOOKUP(A90,Dividende_je_Aktie!A$3:AM$103,9,FALSE)/VLOOKUP(A90,Ergebnis_je_Aktie_verwässert!A$3:AK$103,9,FALSE)&gt;=2,2,VLOOKUP(A90,Dividende_je_Aktie!A$3:AM$103,9,FALSE)/VLOOKUP(A90,Ergebnis_je_Aktie_verwässert!A$3:AK$103,9,FALSE))),""),"")</f>
        <v>#N/A</v>
      </c>
      <c r="J90" s="5" t="e">
        <f>IF(VLOOKUP(A90,Dividende_je_Aktie!A$3:AM$103,10,FALSE)&lt;&gt;"",IF(VLOOKUP(A90,Ergebnis_je_Aktie_verwässert!A$3:AK$103,10,FALSE)&lt;&gt;"",IF(VLOOKUP(A90,Ergebnis_je_Aktie_verwässert!A$3:AK$103,10,FALSE)&lt;=0,2,IF(VLOOKUP(A90,Dividende_je_Aktie!A$3:AM$103,10,FALSE)/VLOOKUP(A90,Ergebnis_je_Aktie_verwässert!A$3:AK$103,10,FALSE)&gt;=2,2,VLOOKUP(A90,Dividende_je_Aktie!A$3:AM$103,10,FALSE)/VLOOKUP(A90,Ergebnis_je_Aktie_verwässert!A$3:AK$103,10,FALSE))),""),"")</f>
        <v>#N/A</v>
      </c>
      <c r="K90" s="5" t="e">
        <f>IF(VLOOKUP(A90,Dividende_je_Aktie!A$3:AM$103,11,FALSE)&lt;&gt;"",IF(VLOOKUP(A90,Ergebnis_je_Aktie_verwässert!A$3:AK$103,11,FALSE)&lt;&gt;"",IF(VLOOKUP(A90,Ergebnis_je_Aktie_verwässert!A$3:AK$103,11,FALSE)&lt;=0,2,IF(VLOOKUP(A90,Dividende_je_Aktie!A$3:AM$103,11,FALSE)/VLOOKUP(A90,Ergebnis_je_Aktie_verwässert!A$3:AK$103,11,FALSE)&gt;=2,2,VLOOKUP(A90,Dividende_je_Aktie!A$3:AM$103,11,FALSE)/VLOOKUP(A90,Ergebnis_je_Aktie_verwässert!A$3:AK$103,11,FALSE))),""),"")</f>
        <v>#N/A</v>
      </c>
      <c r="L90" s="5" t="e">
        <f>IF(VLOOKUP(A90,Dividende_je_Aktie!A$3:AM$103,12,FALSE)&lt;&gt;"",IF(VLOOKUP(A90,Ergebnis_je_Aktie_verwässert!A$3:AK$103,12,FALSE)&lt;&gt;"",IF(VLOOKUP(A90,Ergebnis_je_Aktie_verwässert!A$3:AK$103,12,FALSE)&lt;=0,2,IF(VLOOKUP(A90,Dividende_je_Aktie!A$3:AM$103,12,FALSE)/VLOOKUP(A90,Ergebnis_je_Aktie_verwässert!A$3:AK$103,12,FALSE)&gt;=2,2,VLOOKUP(A90,Dividende_je_Aktie!A$3:AM$103,12,FALSE)/VLOOKUP(A90,Ergebnis_je_Aktie_verwässert!A$3:AK$103,12,FALSE))),""),"")</f>
        <v>#N/A</v>
      </c>
      <c r="M90" s="5" t="e">
        <f>IF(VLOOKUP(A90,Dividende_je_Aktie!A$3:AM$103,13,FALSE)&lt;&gt;"",IF(VLOOKUP(A90,Ergebnis_je_Aktie_verwässert!A$3:AK$103,13,FALSE)&lt;&gt;"",IF(VLOOKUP(A90,Ergebnis_je_Aktie_verwässert!A$3:AK$103,13,FALSE)&lt;=0,2,IF(VLOOKUP(A90,Dividende_je_Aktie!A$3:AM$103,13,FALSE)/VLOOKUP(A90,Ergebnis_je_Aktie_verwässert!A$3:AK$103,13,FALSE)&gt;=2,2,VLOOKUP(A90,Dividende_je_Aktie!A$3:AM$103,13,FALSE)/VLOOKUP(A90,Ergebnis_je_Aktie_verwässert!A$3:AK$103,13,FALSE))),""),"")</f>
        <v>#N/A</v>
      </c>
      <c r="N90" s="5" t="e">
        <f>IF(VLOOKUP(A90,Dividende_je_Aktie!A$3:AM$103,14,FALSE)&lt;&gt;"",IF(VLOOKUP(A90,Ergebnis_je_Aktie_verwässert!A$3:AK$103,14,FALSE)&lt;&gt;"",IF(VLOOKUP(A90,Ergebnis_je_Aktie_verwässert!A$3:AK$103,14,FALSE)&lt;=0,2,IF(VLOOKUP(A90,Dividende_je_Aktie!A$3:AM$103,14,FALSE)/VLOOKUP(A90,Ergebnis_je_Aktie_verwässert!A$3:AK$103,14,FALSE)&gt;=2,2,VLOOKUP(A90,Dividende_je_Aktie!A$3:AM$103,14,FALSE)/VLOOKUP(A90,Ergebnis_je_Aktie_verwässert!A$3:AK$103,14,FALSE))),""),"")</f>
        <v>#N/A</v>
      </c>
      <c r="O90" s="5" t="e">
        <f>IF(VLOOKUP(A90,Dividende_je_Aktie!A$3:AM$103,15,FALSE)&lt;&gt;"",IF(VLOOKUP(A90,Ergebnis_je_Aktie_verwässert!A$3:AK$103,15,FALSE)&lt;&gt;"",IF(VLOOKUP(A90,Ergebnis_je_Aktie_verwässert!A$3:AK$103,15,FALSE)&lt;=0,2,IF(VLOOKUP(A90,Dividende_je_Aktie!A$3:AM$103,15,FALSE)/VLOOKUP(A90,Ergebnis_je_Aktie_verwässert!A$3:AK$103,15,FALSE)&gt;=2,2,VLOOKUP(A90,Dividende_je_Aktie!A$3:AM$103,15,FALSE)/VLOOKUP(A90,Ergebnis_je_Aktie_verwässert!A$3:AK$103,15,FALSE))),""),"")</f>
        <v>#N/A</v>
      </c>
      <c r="P90" s="5" t="e">
        <f>IF(VLOOKUP(A90,Dividende_je_Aktie!A$3:AM$103,16,FALSE)&lt;&gt;"",IF(VLOOKUP(A90,Ergebnis_je_Aktie_verwässert!A$3:AK$103,16,FALSE)&lt;&gt;"",IF(VLOOKUP(A90,Ergebnis_je_Aktie_verwässert!A$3:AK$103,16,FALSE)&lt;=0,2,IF(VLOOKUP(A90,Dividende_je_Aktie!A$3:AM$103,16,FALSE)/VLOOKUP(A90,Ergebnis_je_Aktie_verwässert!A$3:AK$103,16,FALSE)&gt;=2,2,VLOOKUP(A90,Dividende_je_Aktie!A$3:AM$103,16,FALSE)/VLOOKUP(A90,Ergebnis_je_Aktie_verwässert!A$3:AK$103,16,FALSE))),""),"")</f>
        <v>#N/A</v>
      </c>
      <c r="Q90" s="5" t="e">
        <f>IF(VLOOKUP(A90,Dividende_je_Aktie!A$3:AM$103,17,FALSE)&lt;&gt;"",IF(VLOOKUP(A90,Ergebnis_je_Aktie_verwässert!A$3:AK$103,17,FALSE)&lt;&gt;"",IF(VLOOKUP(A90,Ergebnis_je_Aktie_verwässert!A$3:AK$103,17,FALSE)&lt;=0,2,IF(VLOOKUP(A90,Dividende_je_Aktie!A$3:AM$103,17,FALSE)/VLOOKUP(A90,Ergebnis_je_Aktie_verwässert!A$3:AK$103,17,FALSE)&gt;=2,2,VLOOKUP(A90,Dividende_je_Aktie!A$3:AM$103,17,FALSE)/VLOOKUP(A90,Ergebnis_je_Aktie_verwässert!A$3:AK$103,17,FALSE))),""),"")</f>
        <v>#N/A</v>
      </c>
      <c r="R90" s="5" t="e">
        <f>IF(VLOOKUP(A90,Dividende_je_Aktie!A$3:AM$103,18,FALSE)&lt;&gt;"",IF(VLOOKUP(A90,Ergebnis_je_Aktie_verwässert!A$3:AK$103,18,FALSE)&lt;&gt;"",IF(VLOOKUP(A90,Ergebnis_je_Aktie_verwässert!A$3:AK$103,18,FALSE)&lt;=0,2,IF(VLOOKUP(A90,Dividende_je_Aktie!A$3:AM$103,18,FALSE)/VLOOKUP(A90,Ergebnis_je_Aktie_verwässert!A$3:AK$103,18,FALSE)&gt;=2,2,VLOOKUP(A90,Dividende_je_Aktie!A$3:AM$103,18,FALSE)/VLOOKUP(A90,Ergebnis_je_Aktie_verwässert!A$3:AK$103,18,FALSE))),""),"")</f>
        <v>#N/A</v>
      </c>
      <c r="S90" s="10" t="e">
        <f t="shared" si="6"/>
        <v>#N/A</v>
      </c>
      <c r="T90" s="4">
        <f t="shared" ca="1" si="7"/>
        <v>41553</v>
      </c>
      <c r="U90" s="4">
        <f t="shared" ca="1" si="8"/>
        <v>-41193</v>
      </c>
      <c r="V90" s="4" t="e">
        <f t="shared" ca="1" si="9"/>
        <v>#NUM!</v>
      </c>
      <c r="W90" s="10" t="e">
        <f t="shared" ca="1" si="10"/>
        <v>#N/A</v>
      </c>
      <c r="X90" s="5" t="e">
        <f t="shared" ca="1" si="11"/>
        <v>#N/A</v>
      </c>
    </row>
    <row r="91" spans="3:24" x14ac:dyDescent="0.25">
      <c r="C91" s="56"/>
      <c r="D91" s="56"/>
      <c r="E91" s="56"/>
      <c r="F91" s="5" t="e">
        <f>IF(VLOOKUP(A91,Dividende_je_Aktie!A$3:AM$103,6,FALSE)&lt;&gt;"",IF(VLOOKUP(A91,Ergebnis_je_Aktie_verwässert!A$3:AK$103,6,FALSE)&lt;&gt;"",IF(VLOOKUP(A91,Ergebnis_je_Aktie_verwässert!A$3:AK$103,6,FALSE)&lt;=0,2,IF(VLOOKUP(A91,Dividende_je_Aktie!A$3:AM$103,6,FALSE)/VLOOKUP(A91,Ergebnis_je_Aktie_verwässert!A$3:AK$103,6,FALSE)&gt;=2,2,VLOOKUP(A91,Dividende_je_Aktie!A$3:AM$103,6,FALSE)/VLOOKUP(A91,Ergebnis_je_Aktie_verwässert!A$3:AK$103,6,FALSE))),""),"")</f>
        <v>#N/A</v>
      </c>
      <c r="G91" s="5" t="e">
        <f>IF(VLOOKUP(A91,Dividende_je_Aktie!A$3:AM$103,7,FALSE)&lt;&gt;"",IF(VLOOKUP(A91,Ergebnis_je_Aktie_verwässert!A$3:AK$103,7,FALSE)&lt;&gt;"",IF(VLOOKUP(A91,Ergebnis_je_Aktie_verwässert!A$3:AK$103,7,FALSE)&lt;=0,2,IF(VLOOKUP(A91,Dividende_je_Aktie!A$3:AM$103,7,FALSE)/VLOOKUP(A91,Ergebnis_je_Aktie_verwässert!A$3:AK$103,7,FALSE)&gt;=2,2,VLOOKUP(A91,Dividende_je_Aktie!A$3:AM$103,7,FALSE)/VLOOKUP(A91,Ergebnis_je_Aktie_verwässert!A$3:AK$103,7,FALSE))),""),"")</f>
        <v>#N/A</v>
      </c>
      <c r="H91" s="5" t="e">
        <f>IF(VLOOKUP(A91,Dividende_je_Aktie!A$3:AM$103,8,FALSE)&lt;&gt;"",IF(VLOOKUP(A91,Ergebnis_je_Aktie_verwässert!A$3:AK$103,8,FALSE)&lt;&gt;"",IF(VLOOKUP(A91,Ergebnis_je_Aktie_verwässert!A$3:AK$103,8,FALSE)&lt;=0,2,IF(VLOOKUP(A91,Dividende_je_Aktie!A$3:AM$103,8,FALSE)/VLOOKUP(A91,Ergebnis_je_Aktie_verwässert!A$3:AK$103,8,FALSE)&gt;=2,2,VLOOKUP(A91,Dividende_je_Aktie!A$3:AM$103,8,FALSE)/VLOOKUP(A91,Ergebnis_je_Aktie_verwässert!A$3:AK$103,8,FALSE))),""),"")</f>
        <v>#N/A</v>
      </c>
      <c r="I91" s="5" t="e">
        <f>IF(VLOOKUP(A91,Dividende_je_Aktie!A$3:AM$103,9,FALSE)&lt;&gt;"",IF(VLOOKUP(A91,Ergebnis_je_Aktie_verwässert!A$3:AK$103,9,FALSE)&lt;&gt;"",IF(VLOOKUP(A91,Ergebnis_je_Aktie_verwässert!A$3:AK$103,9,FALSE)&lt;=0,2,IF(VLOOKUP(A91,Dividende_je_Aktie!A$3:AM$103,9,FALSE)/VLOOKUP(A91,Ergebnis_je_Aktie_verwässert!A$3:AK$103,9,FALSE)&gt;=2,2,VLOOKUP(A91,Dividende_je_Aktie!A$3:AM$103,9,FALSE)/VLOOKUP(A91,Ergebnis_je_Aktie_verwässert!A$3:AK$103,9,FALSE))),""),"")</f>
        <v>#N/A</v>
      </c>
      <c r="J91" s="5" t="e">
        <f>IF(VLOOKUP(A91,Dividende_je_Aktie!A$3:AM$103,10,FALSE)&lt;&gt;"",IF(VLOOKUP(A91,Ergebnis_je_Aktie_verwässert!A$3:AK$103,10,FALSE)&lt;&gt;"",IF(VLOOKUP(A91,Ergebnis_je_Aktie_verwässert!A$3:AK$103,10,FALSE)&lt;=0,2,IF(VLOOKUP(A91,Dividende_je_Aktie!A$3:AM$103,10,FALSE)/VLOOKUP(A91,Ergebnis_je_Aktie_verwässert!A$3:AK$103,10,FALSE)&gt;=2,2,VLOOKUP(A91,Dividende_je_Aktie!A$3:AM$103,10,FALSE)/VLOOKUP(A91,Ergebnis_je_Aktie_verwässert!A$3:AK$103,10,FALSE))),""),"")</f>
        <v>#N/A</v>
      </c>
      <c r="K91" s="5" t="e">
        <f>IF(VLOOKUP(A91,Dividende_je_Aktie!A$3:AM$103,11,FALSE)&lt;&gt;"",IF(VLOOKUP(A91,Ergebnis_je_Aktie_verwässert!A$3:AK$103,11,FALSE)&lt;&gt;"",IF(VLOOKUP(A91,Ergebnis_je_Aktie_verwässert!A$3:AK$103,11,FALSE)&lt;=0,2,IF(VLOOKUP(A91,Dividende_je_Aktie!A$3:AM$103,11,FALSE)/VLOOKUP(A91,Ergebnis_je_Aktie_verwässert!A$3:AK$103,11,FALSE)&gt;=2,2,VLOOKUP(A91,Dividende_je_Aktie!A$3:AM$103,11,FALSE)/VLOOKUP(A91,Ergebnis_je_Aktie_verwässert!A$3:AK$103,11,FALSE))),""),"")</f>
        <v>#N/A</v>
      </c>
      <c r="L91" s="5" t="e">
        <f>IF(VLOOKUP(A91,Dividende_je_Aktie!A$3:AM$103,12,FALSE)&lt;&gt;"",IF(VLOOKUP(A91,Ergebnis_je_Aktie_verwässert!A$3:AK$103,12,FALSE)&lt;&gt;"",IF(VLOOKUP(A91,Ergebnis_je_Aktie_verwässert!A$3:AK$103,12,FALSE)&lt;=0,2,IF(VLOOKUP(A91,Dividende_je_Aktie!A$3:AM$103,12,FALSE)/VLOOKUP(A91,Ergebnis_je_Aktie_verwässert!A$3:AK$103,12,FALSE)&gt;=2,2,VLOOKUP(A91,Dividende_je_Aktie!A$3:AM$103,12,FALSE)/VLOOKUP(A91,Ergebnis_je_Aktie_verwässert!A$3:AK$103,12,FALSE))),""),"")</f>
        <v>#N/A</v>
      </c>
      <c r="M91" s="5" t="e">
        <f>IF(VLOOKUP(A91,Dividende_je_Aktie!A$3:AM$103,13,FALSE)&lt;&gt;"",IF(VLOOKUP(A91,Ergebnis_je_Aktie_verwässert!A$3:AK$103,13,FALSE)&lt;&gt;"",IF(VLOOKUP(A91,Ergebnis_je_Aktie_verwässert!A$3:AK$103,13,FALSE)&lt;=0,2,IF(VLOOKUP(A91,Dividende_je_Aktie!A$3:AM$103,13,FALSE)/VLOOKUP(A91,Ergebnis_je_Aktie_verwässert!A$3:AK$103,13,FALSE)&gt;=2,2,VLOOKUP(A91,Dividende_je_Aktie!A$3:AM$103,13,FALSE)/VLOOKUP(A91,Ergebnis_je_Aktie_verwässert!A$3:AK$103,13,FALSE))),""),"")</f>
        <v>#N/A</v>
      </c>
      <c r="N91" s="5" t="e">
        <f>IF(VLOOKUP(A91,Dividende_je_Aktie!A$3:AM$103,14,FALSE)&lt;&gt;"",IF(VLOOKUP(A91,Ergebnis_je_Aktie_verwässert!A$3:AK$103,14,FALSE)&lt;&gt;"",IF(VLOOKUP(A91,Ergebnis_je_Aktie_verwässert!A$3:AK$103,14,FALSE)&lt;=0,2,IF(VLOOKUP(A91,Dividende_je_Aktie!A$3:AM$103,14,FALSE)/VLOOKUP(A91,Ergebnis_je_Aktie_verwässert!A$3:AK$103,14,FALSE)&gt;=2,2,VLOOKUP(A91,Dividende_je_Aktie!A$3:AM$103,14,FALSE)/VLOOKUP(A91,Ergebnis_je_Aktie_verwässert!A$3:AK$103,14,FALSE))),""),"")</f>
        <v>#N/A</v>
      </c>
      <c r="O91" s="5" t="e">
        <f>IF(VLOOKUP(A91,Dividende_je_Aktie!A$3:AM$103,15,FALSE)&lt;&gt;"",IF(VLOOKUP(A91,Ergebnis_je_Aktie_verwässert!A$3:AK$103,15,FALSE)&lt;&gt;"",IF(VLOOKUP(A91,Ergebnis_je_Aktie_verwässert!A$3:AK$103,15,FALSE)&lt;=0,2,IF(VLOOKUP(A91,Dividende_je_Aktie!A$3:AM$103,15,FALSE)/VLOOKUP(A91,Ergebnis_je_Aktie_verwässert!A$3:AK$103,15,FALSE)&gt;=2,2,VLOOKUP(A91,Dividende_je_Aktie!A$3:AM$103,15,FALSE)/VLOOKUP(A91,Ergebnis_je_Aktie_verwässert!A$3:AK$103,15,FALSE))),""),"")</f>
        <v>#N/A</v>
      </c>
      <c r="P91" s="5" t="e">
        <f>IF(VLOOKUP(A91,Dividende_je_Aktie!A$3:AM$103,16,FALSE)&lt;&gt;"",IF(VLOOKUP(A91,Ergebnis_je_Aktie_verwässert!A$3:AK$103,16,FALSE)&lt;&gt;"",IF(VLOOKUP(A91,Ergebnis_je_Aktie_verwässert!A$3:AK$103,16,FALSE)&lt;=0,2,IF(VLOOKUP(A91,Dividende_je_Aktie!A$3:AM$103,16,FALSE)/VLOOKUP(A91,Ergebnis_je_Aktie_verwässert!A$3:AK$103,16,FALSE)&gt;=2,2,VLOOKUP(A91,Dividende_je_Aktie!A$3:AM$103,16,FALSE)/VLOOKUP(A91,Ergebnis_je_Aktie_verwässert!A$3:AK$103,16,FALSE))),""),"")</f>
        <v>#N/A</v>
      </c>
      <c r="Q91" s="5" t="e">
        <f>IF(VLOOKUP(A91,Dividende_je_Aktie!A$3:AM$103,17,FALSE)&lt;&gt;"",IF(VLOOKUP(A91,Ergebnis_je_Aktie_verwässert!A$3:AK$103,17,FALSE)&lt;&gt;"",IF(VLOOKUP(A91,Ergebnis_je_Aktie_verwässert!A$3:AK$103,17,FALSE)&lt;=0,2,IF(VLOOKUP(A91,Dividende_je_Aktie!A$3:AM$103,17,FALSE)/VLOOKUP(A91,Ergebnis_je_Aktie_verwässert!A$3:AK$103,17,FALSE)&gt;=2,2,VLOOKUP(A91,Dividende_je_Aktie!A$3:AM$103,17,FALSE)/VLOOKUP(A91,Ergebnis_je_Aktie_verwässert!A$3:AK$103,17,FALSE))),""),"")</f>
        <v>#N/A</v>
      </c>
      <c r="R91" s="5" t="e">
        <f>IF(VLOOKUP(A91,Dividende_je_Aktie!A$3:AM$103,18,FALSE)&lt;&gt;"",IF(VLOOKUP(A91,Ergebnis_je_Aktie_verwässert!A$3:AK$103,18,FALSE)&lt;&gt;"",IF(VLOOKUP(A91,Ergebnis_je_Aktie_verwässert!A$3:AK$103,18,FALSE)&lt;=0,2,IF(VLOOKUP(A91,Dividende_je_Aktie!A$3:AM$103,18,FALSE)/VLOOKUP(A91,Ergebnis_je_Aktie_verwässert!A$3:AK$103,18,FALSE)&gt;=2,2,VLOOKUP(A91,Dividende_je_Aktie!A$3:AM$103,18,FALSE)/VLOOKUP(A91,Ergebnis_je_Aktie_verwässert!A$3:AK$103,18,FALSE))),""),"")</f>
        <v>#N/A</v>
      </c>
      <c r="S91" s="10" t="e">
        <f t="shared" si="6"/>
        <v>#N/A</v>
      </c>
      <c r="T91" s="4">
        <f t="shared" ca="1" si="7"/>
        <v>41553</v>
      </c>
      <c r="U91" s="4">
        <f t="shared" ca="1" si="8"/>
        <v>-41193</v>
      </c>
      <c r="V91" s="4" t="e">
        <f t="shared" ca="1" si="9"/>
        <v>#NUM!</v>
      </c>
      <c r="W91" s="10" t="e">
        <f t="shared" ca="1" si="10"/>
        <v>#N/A</v>
      </c>
      <c r="X91" s="5" t="e">
        <f t="shared" ca="1" si="11"/>
        <v>#N/A</v>
      </c>
    </row>
    <row r="92" spans="3:24" x14ac:dyDescent="0.25">
      <c r="C92" s="56"/>
      <c r="D92" s="56"/>
      <c r="E92" s="56"/>
      <c r="F92" s="5" t="e">
        <f>IF(VLOOKUP(A92,Dividende_je_Aktie!A$3:AM$103,6,FALSE)&lt;&gt;"",IF(VLOOKUP(A92,Ergebnis_je_Aktie_verwässert!A$3:AK$103,6,FALSE)&lt;&gt;"",IF(VLOOKUP(A92,Ergebnis_je_Aktie_verwässert!A$3:AK$103,6,FALSE)&lt;=0,2,IF(VLOOKUP(A92,Dividende_je_Aktie!A$3:AM$103,6,FALSE)/VLOOKUP(A92,Ergebnis_je_Aktie_verwässert!A$3:AK$103,6,FALSE)&gt;=2,2,VLOOKUP(A92,Dividende_je_Aktie!A$3:AM$103,6,FALSE)/VLOOKUP(A92,Ergebnis_je_Aktie_verwässert!A$3:AK$103,6,FALSE))),""),"")</f>
        <v>#N/A</v>
      </c>
      <c r="G92" s="5" t="e">
        <f>IF(VLOOKUP(A92,Dividende_je_Aktie!A$3:AM$103,7,FALSE)&lt;&gt;"",IF(VLOOKUP(A92,Ergebnis_je_Aktie_verwässert!A$3:AK$103,7,FALSE)&lt;&gt;"",IF(VLOOKUP(A92,Ergebnis_je_Aktie_verwässert!A$3:AK$103,7,FALSE)&lt;=0,2,IF(VLOOKUP(A92,Dividende_je_Aktie!A$3:AM$103,7,FALSE)/VLOOKUP(A92,Ergebnis_je_Aktie_verwässert!A$3:AK$103,7,FALSE)&gt;=2,2,VLOOKUP(A92,Dividende_je_Aktie!A$3:AM$103,7,FALSE)/VLOOKUP(A92,Ergebnis_je_Aktie_verwässert!A$3:AK$103,7,FALSE))),""),"")</f>
        <v>#N/A</v>
      </c>
      <c r="H92" s="5" t="e">
        <f>IF(VLOOKUP(A92,Dividende_je_Aktie!A$3:AM$103,8,FALSE)&lt;&gt;"",IF(VLOOKUP(A92,Ergebnis_je_Aktie_verwässert!A$3:AK$103,8,FALSE)&lt;&gt;"",IF(VLOOKUP(A92,Ergebnis_je_Aktie_verwässert!A$3:AK$103,8,FALSE)&lt;=0,2,IF(VLOOKUP(A92,Dividende_je_Aktie!A$3:AM$103,8,FALSE)/VLOOKUP(A92,Ergebnis_je_Aktie_verwässert!A$3:AK$103,8,FALSE)&gt;=2,2,VLOOKUP(A92,Dividende_je_Aktie!A$3:AM$103,8,FALSE)/VLOOKUP(A92,Ergebnis_je_Aktie_verwässert!A$3:AK$103,8,FALSE))),""),"")</f>
        <v>#N/A</v>
      </c>
      <c r="I92" s="5" t="e">
        <f>IF(VLOOKUP(A92,Dividende_je_Aktie!A$3:AM$103,9,FALSE)&lt;&gt;"",IF(VLOOKUP(A92,Ergebnis_je_Aktie_verwässert!A$3:AK$103,9,FALSE)&lt;&gt;"",IF(VLOOKUP(A92,Ergebnis_je_Aktie_verwässert!A$3:AK$103,9,FALSE)&lt;=0,2,IF(VLOOKUP(A92,Dividende_je_Aktie!A$3:AM$103,9,FALSE)/VLOOKUP(A92,Ergebnis_je_Aktie_verwässert!A$3:AK$103,9,FALSE)&gt;=2,2,VLOOKUP(A92,Dividende_je_Aktie!A$3:AM$103,9,FALSE)/VLOOKUP(A92,Ergebnis_je_Aktie_verwässert!A$3:AK$103,9,FALSE))),""),"")</f>
        <v>#N/A</v>
      </c>
      <c r="J92" s="5" t="e">
        <f>IF(VLOOKUP(A92,Dividende_je_Aktie!A$3:AM$103,10,FALSE)&lt;&gt;"",IF(VLOOKUP(A92,Ergebnis_je_Aktie_verwässert!A$3:AK$103,10,FALSE)&lt;&gt;"",IF(VLOOKUP(A92,Ergebnis_je_Aktie_verwässert!A$3:AK$103,10,FALSE)&lt;=0,2,IF(VLOOKUP(A92,Dividende_je_Aktie!A$3:AM$103,10,FALSE)/VLOOKUP(A92,Ergebnis_je_Aktie_verwässert!A$3:AK$103,10,FALSE)&gt;=2,2,VLOOKUP(A92,Dividende_je_Aktie!A$3:AM$103,10,FALSE)/VLOOKUP(A92,Ergebnis_je_Aktie_verwässert!A$3:AK$103,10,FALSE))),""),"")</f>
        <v>#N/A</v>
      </c>
      <c r="K92" s="5" t="e">
        <f>IF(VLOOKUP(A92,Dividende_je_Aktie!A$3:AM$103,11,FALSE)&lt;&gt;"",IF(VLOOKUP(A92,Ergebnis_je_Aktie_verwässert!A$3:AK$103,11,FALSE)&lt;&gt;"",IF(VLOOKUP(A92,Ergebnis_je_Aktie_verwässert!A$3:AK$103,11,FALSE)&lt;=0,2,IF(VLOOKUP(A92,Dividende_je_Aktie!A$3:AM$103,11,FALSE)/VLOOKUP(A92,Ergebnis_je_Aktie_verwässert!A$3:AK$103,11,FALSE)&gt;=2,2,VLOOKUP(A92,Dividende_je_Aktie!A$3:AM$103,11,FALSE)/VLOOKUP(A92,Ergebnis_je_Aktie_verwässert!A$3:AK$103,11,FALSE))),""),"")</f>
        <v>#N/A</v>
      </c>
      <c r="L92" s="5" t="e">
        <f>IF(VLOOKUP(A92,Dividende_je_Aktie!A$3:AM$103,12,FALSE)&lt;&gt;"",IF(VLOOKUP(A92,Ergebnis_je_Aktie_verwässert!A$3:AK$103,12,FALSE)&lt;&gt;"",IF(VLOOKUP(A92,Ergebnis_je_Aktie_verwässert!A$3:AK$103,12,FALSE)&lt;=0,2,IF(VLOOKUP(A92,Dividende_je_Aktie!A$3:AM$103,12,FALSE)/VLOOKUP(A92,Ergebnis_je_Aktie_verwässert!A$3:AK$103,12,FALSE)&gt;=2,2,VLOOKUP(A92,Dividende_je_Aktie!A$3:AM$103,12,FALSE)/VLOOKUP(A92,Ergebnis_je_Aktie_verwässert!A$3:AK$103,12,FALSE))),""),"")</f>
        <v>#N/A</v>
      </c>
      <c r="M92" s="5" t="e">
        <f>IF(VLOOKUP(A92,Dividende_je_Aktie!A$3:AM$103,13,FALSE)&lt;&gt;"",IF(VLOOKUP(A92,Ergebnis_je_Aktie_verwässert!A$3:AK$103,13,FALSE)&lt;&gt;"",IF(VLOOKUP(A92,Ergebnis_je_Aktie_verwässert!A$3:AK$103,13,FALSE)&lt;=0,2,IF(VLOOKUP(A92,Dividende_je_Aktie!A$3:AM$103,13,FALSE)/VLOOKUP(A92,Ergebnis_je_Aktie_verwässert!A$3:AK$103,13,FALSE)&gt;=2,2,VLOOKUP(A92,Dividende_je_Aktie!A$3:AM$103,13,FALSE)/VLOOKUP(A92,Ergebnis_je_Aktie_verwässert!A$3:AK$103,13,FALSE))),""),"")</f>
        <v>#N/A</v>
      </c>
      <c r="N92" s="5" t="e">
        <f>IF(VLOOKUP(A92,Dividende_je_Aktie!A$3:AM$103,14,FALSE)&lt;&gt;"",IF(VLOOKUP(A92,Ergebnis_je_Aktie_verwässert!A$3:AK$103,14,FALSE)&lt;&gt;"",IF(VLOOKUP(A92,Ergebnis_je_Aktie_verwässert!A$3:AK$103,14,FALSE)&lt;=0,2,IF(VLOOKUP(A92,Dividende_je_Aktie!A$3:AM$103,14,FALSE)/VLOOKUP(A92,Ergebnis_je_Aktie_verwässert!A$3:AK$103,14,FALSE)&gt;=2,2,VLOOKUP(A92,Dividende_je_Aktie!A$3:AM$103,14,FALSE)/VLOOKUP(A92,Ergebnis_je_Aktie_verwässert!A$3:AK$103,14,FALSE))),""),"")</f>
        <v>#N/A</v>
      </c>
      <c r="O92" s="5" t="e">
        <f>IF(VLOOKUP(A92,Dividende_je_Aktie!A$3:AM$103,15,FALSE)&lt;&gt;"",IF(VLOOKUP(A92,Ergebnis_je_Aktie_verwässert!A$3:AK$103,15,FALSE)&lt;&gt;"",IF(VLOOKUP(A92,Ergebnis_je_Aktie_verwässert!A$3:AK$103,15,FALSE)&lt;=0,2,IF(VLOOKUP(A92,Dividende_je_Aktie!A$3:AM$103,15,FALSE)/VLOOKUP(A92,Ergebnis_je_Aktie_verwässert!A$3:AK$103,15,FALSE)&gt;=2,2,VLOOKUP(A92,Dividende_je_Aktie!A$3:AM$103,15,FALSE)/VLOOKUP(A92,Ergebnis_je_Aktie_verwässert!A$3:AK$103,15,FALSE))),""),"")</f>
        <v>#N/A</v>
      </c>
      <c r="P92" s="5" t="e">
        <f>IF(VLOOKUP(A92,Dividende_je_Aktie!A$3:AM$103,16,FALSE)&lt;&gt;"",IF(VLOOKUP(A92,Ergebnis_je_Aktie_verwässert!A$3:AK$103,16,FALSE)&lt;&gt;"",IF(VLOOKUP(A92,Ergebnis_je_Aktie_verwässert!A$3:AK$103,16,FALSE)&lt;=0,2,IF(VLOOKUP(A92,Dividende_je_Aktie!A$3:AM$103,16,FALSE)/VLOOKUP(A92,Ergebnis_je_Aktie_verwässert!A$3:AK$103,16,FALSE)&gt;=2,2,VLOOKUP(A92,Dividende_je_Aktie!A$3:AM$103,16,FALSE)/VLOOKUP(A92,Ergebnis_je_Aktie_verwässert!A$3:AK$103,16,FALSE))),""),"")</f>
        <v>#N/A</v>
      </c>
      <c r="Q92" s="5" t="e">
        <f>IF(VLOOKUP(A92,Dividende_je_Aktie!A$3:AM$103,17,FALSE)&lt;&gt;"",IF(VLOOKUP(A92,Ergebnis_je_Aktie_verwässert!A$3:AK$103,17,FALSE)&lt;&gt;"",IF(VLOOKUP(A92,Ergebnis_je_Aktie_verwässert!A$3:AK$103,17,FALSE)&lt;=0,2,IF(VLOOKUP(A92,Dividende_je_Aktie!A$3:AM$103,17,FALSE)/VLOOKUP(A92,Ergebnis_je_Aktie_verwässert!A$3:AK$103,17,FALSE)&gt;=2,2,VLOOKUP(A92,Dividende_je_Aktie!A$3:AM$103,17,FALSE)/VLOOKUP(A92,Ergebnis_je_Aktie_verwässert!A$3:AK$103,17,FALSE))),""),"")</f>
        <v>#N/A</v>
      </c>
      <c r="R92" s="5" t="e">
        <f>IF(VLOOKUP(A92,Dividende_je_Aktie!A$3:AM$103,18,FALSE)&lt;&gt;"",IF(VLOOKUP(A92,Ergebnis_je_Aktie_verwässert!A$3:AK$103,18,FALSE)&lt;&gt;"",IF(VLOOKUP(A92,Ergebnis_je_Aktie_verwässert!A$3:AK$103,18,FALSE)&lt;=0,2,IF(VLOOKUP(A92,Dividende_je_Aktie!A$3:AM$103,18,FALSE)/VLOOKUP(A92,Ergebnis_je_Aktie_verwässert!A$3:AK$103,18,FALSE)&gt;=2,2,VLOOKUP(A92,Dividende_je_Aktie!A$3:AM$103,18,FALSE)/VLOOKUP(A92,Ergebnis_je_Aktie_verwässert!A$3:AK$103,18,FALSE))),""),"")</f>
        <v>#N/A</v>
      </c>
      <c r="S92" s="10" t="e">
        <f t="shared" si="6"/>
        <v>#N/A</v>
      </c>
      <c r="T92" s="4">
        <f t="shared" ca="1" si="7"/>
        <v>41553</v>
      </c>
      <c r="U92" s="4">
        <f t="shared" ca="1" si="8"/>
        <v>-41193</v>
      </c>
      <c r="V92" s="4" t="e">
        <f t="shared" ca="1" si="9"/>
        <v>#NUM!</v>
      </c>
      <c r="W92" s="10" t="e">
        <f t="shared" ca="1" si="10"/>
        <v>#N/A</v>
      </c>
      <c r="X92" s="5" t="e">
        <f t="shared" ca="1" si="11"/>
        <v>#N/A</v>
      </c>
    </row>
    <row r="93" spans="3:24" x14ac:dyDescent="0.25">
      <c r="C93" s="56"/>
      <c r="D93" s="56"/>
      <c r="E93" s="56"/>
      <c r="F93" s="5" t="e">
        <f>IF(VLOOKUP(A93,Dividende_je_Aktie!A$3:AM$103,6,FALSE)&lt;&gt;"",IF(VLOOKUP(A93,Ergebnis_je_Aktie_verwässert!A$3:AK$103,6,FALSE)&lt;&gt;"",IF(VLOOKUP(A93,Ergebnis_je_Aktie_verwässert!A$3:AK$103,6,FALSE)&lt;=0,2,IF(VLOOKUP(A93,Dividende_je_Aktie!A$3:AM$103,6,FALSE)/VLOOKUP(A93,Ergebnis_je_Aktie_verwässert!A$3:AK$103,6,FALSE)&gt;=2,2,VLOOKUP(A93,Dividende_je_Aktie!A$3:AM$103,6,FALSE)/VLOOKUP(A93,Ergebnis_je_Aktie_verwässert!A$3:AK$103,6,FALSE))),""),"")</f>
        <v>#N/A</v>
      </c>
      <c r="G93" s="5" t="e">
        <f>IF(VLOOKUP(A93,Dividende_je_Aktie!A$3:AM$103,7,FALSE)&lt;&gt;"",IF(VLOOKUP(A93,Ergebnis_je_Aktie_verwässert!A$3:AK$103,7,FALSE)&lt;&gt;"",IF(VLOOKUP(A93,Ergebnis_je_Aktie_verwässert!A$3:AK$103,7,FALSE)&lt;=0,2,IF(VLOOKUP(A93,Dividende_je_Aktie!A$3:AM$103,7,FALSE)/VLOOKUP(A93,Ergebnis_je_Aktie_verwässert!A$3:AK$103,7,FALSE)&gt;=2,2,VLOOKUP(A93,Dividende_je_Aktie!A$3:AM$103,7,FALSE)/VLOOKUP(A93,Ergebnis_je_Aktie_verwässert!A$3:AK$103,7,FALSE))),""),"")</f>
        <v>#N/A</v>
      </c>
      <c r="H93" s="5" t="e">
        <f>IF(VLOOKUP(A93,Dividende_je_Aktie!A$3:AM$103,8,FALSE)&lt;&gt;"",IF(VLOOKUP(A93,Ergebnis_je_Aktie_verwässert!A$3:AK$103,8,FALSE)&lt;&gt;"",IF(VLOOKUP(A93,Ergebnis_je_Aktie_verwässert!A$3:AK$103,8,FALSE)&lt;=0,2,IF(VLOOKUP(A93,Dividende_je_Aktie!A$3:AM$103,8,FALSE)/VLOOKUP(A93,Ergebnis_je_Aktie_verwässert!A$3:AK$103,8,FALSE)&gt;=2,2,VLOOKUP(A93,Dividende_je_Aktie!A$3:AM$103,8,FALSE)/VLOOKUP(A93,Ergebnis_je_Aktie_verwässert!A$3:AK$103,8,FALSE))),""),"")</f>
        <v>#N/A</v>
      </c>
      <c r="I93" s="5" t="e">
        <f>IF(VLOOKUP(A93,Dividende_je_Aktie!A$3:AM$103,9,FALSE)&lt;&gt;"",IF(VLOOKUP(A93,Ergebnis_je_Aktie_verwässert!A$3:AK$103,9,FALSE)&lt;&gt;"",IF(VLOOKUP(A93,Ergebnis_je_Aktie_verwässert!A$3:AK$103,9,FALSE)&lt;=0,2,IF(VLOOKUP(A93,Dividende_je_Aktie!A$3:AM$103,9,FALSE)/VLOOKUP(A93,Ergebnis_je_Aktie_verwässert!A$3:AK$103,9,FALSE)&gt;=2,2,VLOOKUP(A93,Dividende_je_Aktie!A$3:AM$103,9,FALSE)/VLOOKUP(A93,Ergebnis_je_Aktie_verwässert!A$3:AK$103,9,FALSE))),""),"")</f>
        <v>#N/A</v>
      </c>
      <c r="J93" s="5" t="e">
        <f>IF(VLOOKUP(A93,Dividende_je_Aktie!A$3:AM$103,10,FALSE)&lt;&gt;"",IF(VLOOKUP(A93,Ergebnis_je_Aktie_verwässert!A$3:AK$103,10,FALSE)&lt;&gt;"",IF(VLOOKUP(A93,Ergebnis_je_Aktie_verwässert!A$3:AK$103,10,FALSE)&lt;=0,2,IF(VLOOKUP(A93,Dividende_je_Aktie!A$3:AM$103,10,FALSE)/VLOOKUP(A93,Ergebnis_je_Aktie_verwässert!A$3:AK$103,10,FALSE)&gt;=2,2,VLOOKUP(A93,Dividende_je_Aktie!A$3:AM$103,10,FALSE)/VLOOKUP(A93,Ergebnis_je_Aktie_verwässert!A$3:AK$103,10,FALSE))),""),"")</f>
        <v>#N/A</v>
      </c>
      <c r="K93" s="5" t="e">
        <f>IF(VLOOKUP(A93,Dividende_je_Aktie!A$3:AM$103,11,FALSE)&lt;&gt;"",IF(VLOOKUP(A93,Ergebnis_je_Aktie_verwässert!A$3:AK$103,11,FALSE)&lt;&gt;"",IF(VLOOKUP(A93,Ergebnis_je_Aktie_verwässert!A$3:AK$103,11,FALSE)&lt;=0,2,IF(VLOOKUP(A93,Dividende_je_Aktie!A$3:AM$103,11,FALSE)/VLOOKUP(A93,Ergebnis_je_Aktie_verwässert!A$3:AK$103,11,FALSE)&gt;=2,2,VLOOKUP(A93,Dividende_je_Aktie!A$3:AM$103,11,FALSE)/VLOOKUP(A93,Ergebnis_je_Aktie_verwässert!A$3:AK$103,11,FALSE))),""),"")</f>
        <v>#N/A</v>
      </c>
      <c r="L93" s="5" t="e">
        <f>IF(VLOOKUP(A93,Dividende_je_Aktie!A$3:AM$103,12,FALSE)&lt;&gt;"",IF(VLOOKUP(A93,Ergebnis_je_Aktie_verwässert!A$3:AK$103,12,FALSE)&lt;&gt;"",IF(VLOOKUP(A93,Ergebnis_je_Aktie_verwässert!A$3:AK$103,12,FALSE)&lt;=0,2,IF(VLOOKUP(A93,Dividende_je_Aktie!A$3:AM$103,12,FALSE)/VLOOKUP(A93,Ergebnis_je_Aktie_verwässert!A$3:AK$103,12,FALSE)&gt;=2,2,VLOOKUP(A93,Dividende_je_Aktie!A$3:AM$103,12,FALSE)/VLOOKUP(A93,Ergebnis_je_Aktie_verwässert!A$3:AK$103,12,FALSE))),""),"")</f>
        <v>#N/A</v>
      </c>
      <c r="M93" s="5" t="e">
        <f>IF(VLOOKUP(A93,Dividende_je_Aktie!A$3:AM$103,13,FALSE)&lt;&gt;"",IF(VLOOKUP(A93,Ergebnis_je_Aktie_verwässert!A$3:AK$103,13,FALSE)&lt;&gt;"",IF(VLOOKUP(A93,Ergebnis_je_Aktie_verwässert!A$3:AK$103,13,FALSE)&lt;=0,2,IF(VLOOKUP(A93,Dividende_je_Aktie!A$3:AM$103,13,FALSE)/VLOOKUP(A93,Ergebnis_je_Aktie_verwässert!A$3:AK$103,13,FALSE)&gt;=2,2,VLOOKUP(A93,Dividende_je_Aktie!A$3:AM$103,13,FALSE)/VLOOKUP(A93,Ergebnis_je_Aktie_verwässert!A$3:AK$103,13,FALSE))),""),"")</f>
        <v>#N/A</v>
      </c>
      <c r="N93" s="5" t="e">
        <f>IF(VLOOKUP(A93,Dividende_je_Aktie!A$3:AM$103,14,FALSE)&lt;&gt;"",IF(VLOOKUP(A93,Ergebnis_je_Aktie_verwässert!A$3:AK$103,14,FALSE)&lt;&gt;"",IF(VLOOKUP(A93,Ergebnis_je_Aktie_verwässert!A$3:AK$103,14,FALSE)&lt;=0,2,IF(VLOOKUP(A93,Dividende_je_Aktie!A$3:AM$103,14,FALSE)/VLOOKUP(A93,Ergebnis_je_Aktie_verwässert!A$3:AK$103,14,FALSE)&gt;=2,2,VLOOKUP(A93,Dividende_je_Aktie!A$3:AM$103,14,FALSE)/VLOOKUP(A93,Ergebnis_je_Aktie_verwässert!A$3:AK$103,14,FALSE))),""),"")</f>
        <v>#N/A</v>
      </c>
      <c r="O93" s="5" t="e">
        <f>IF(VLOOKUP(A93,Dividende_je_Aktie!A$3:AM$103,15,FALSE)&lt;&gt;"",IF(VLOOKUP(A93,Ergebnis_je_Aktie_verwässert!A$3:AK$103,15,FALSE)&lt;&gt;"",IF(VLOOKUP(A93,Ergebnis_je_Aktie_verwässert!A$3:AK$103,15,FALSE)&lt;=0,2,IF(VLOOKUP(A93,Dividende_je_Aktie!A$3:AM$103,15,FALSE)/VLOOKUP(A93,Ergebnis_je_Aktie_verwässert!A$3:AK$103,15,FALSE)&gt;=2,2,VLOOKUP(A93,Dividende_je_Aktie!A$3:AM$103,15,FALSE)/VLOOKUP(A93,Ergebnis_je_Aktie_verwässert!A$3:AK$103,15,FALSE))),""),"")</f>
        <v>#N/A</v>
      </c>
      <c r="P93" s="5" t="e">
        <f>IF(VLOOKUP(A93,Dividende_je_Aktie!A$3:AM$103,16,FALSE)&lt;&gt;"",IF(VLOOKUP(A93,Ergebnis_je_Aktie_verwässert!A$3:AK$103,16,FALSE)&lt;&gt;"",IF(VLOOKUP(A93,Ergebnis_je_Aktie_verwässert!A$3:AK$103,16,FALSE)&lt;=0,2,IF(VLOOKUP(A93,Dividende_je_Aktie!A$3:AM$103,16,FALSE)/VLOOKUP(A93,Ergebnis_je_Aktie_verwässert!A$3:AK$103,16,FALSE)&gt;=2,2,VLOOKUP(A93,Dividende_je_Aktie!A$3:AM$103,16,FALSE)/VLOOKUP(A93,Ergebnis_je_Aktie_verwässert!A$3:AK$103,16,FALSE))),""),"")</f>
        <v>#N/A</v>
      </c>
      <c r="Q93" s="5" t="e">
        <f>IF(VLOOKUP(A93,Dividende_je_Aktie!A$3:AM$103,17,FALSE)&lt;&gt;"",IF(VLOOKUP(A93,Ergebnis_je_Aktie_verwässert!A$3:AK$103,17,FALSE)&lt;&gt;"",IF(VLOOKUP(A93,Ergebnis_je_Aktie_verwässert!A$3:AK$103,17,FALSE)&lt;=0,2,IF(VLOOKUP(A93,Dividende_je_Aktie!A$3:AM$103,17,FALSE)/VLOOKUP(A93,Ergebnis_je_Aktie_verwässert!A$3:AK$103,17,FALSE)&gt;=2,2,VLOOKUP(A93,Dividende_je_Aktie!A$3:AM$103,17,FALSE)/VLOOKUP(A93,Ergebnis_je_Aktie_verwässert!A$3:AK$103,17,FALSE))),""),"")</f>
        <v>#N/A</v>
      </c>
      <c r="R93" s="5" t="e">
        <f>IF(VLOOKUP(A93,Dividende_je_Aktie!A$3:AM$103,18,FALSE)&lt;&gt;"",IF(VLOOKUP(A93,Ergebnis_je_Aktie_verwässert!A$3:AK$103,18,FALSE)&lt;&gt;"",IF(VLOOKUP(A93,Ergebnis_je_Aktie_verwässert!A$3:AK$103,18,FALSE)&lt;=0,2,IF(VLOOKUP(A93,Dividende_je_Aktie!A$3:AM$103,18,FALSE)/VLOOKUP(A93,Ergebnis_je_Aktie_verwässert!A$3:AK$103,18,FALSE)&gt;=2,2,VLOOKUP(A93,Dividende_je_Aktie!A$3:AM$103,18,FALSE)/VLOOKUP(A93,Ergebnis_je_Aktie_verwässert!A$3:AK$103,18,FALSE))),""),"")</f>
        <v>#N/A</v>
      </c>
      <c r="S93" s="10" t="e">
        <f t="shared" si="6"/>
        <v>#N/A</v>
      </c>
      <c r="T93" s="4">
        <f t="shared" ca="1" si="7"/>
        <v>41553</v>
      </c>
      <c r="U93" s="4">
        <f t="shared" ca="1" si="8"/>
        <v>-41193</v>
      </c>
      <c r="V93" s="4" t="e">
        <f t="shared" ca="1" si="9"/>
        <v>#NUM!</v>
      </c>
      <c r="W93" s="10" t="e">
        <f t="shared" ca="1" si="10"/>
        <v>#N/A</v>
      </c>
      <c r="X93" s="5" t="e">
        <f t="shared" ca="1" si="11"/>
        <v>#N/A</v>
      </c>
    </row>
    <row r="94" spans="3:24" x14ac:dyDescent="0.25">
      <c r="C94" s="56"/>
      <c r="D94" s="56"/>
      <c r="E94" s="56"/>
      <c r="F94" s="5" t="e">
        <f>IF(VLOOKUP(A94,Dividende_je_Aktie!A$3:AM$103,6,FALSE)&lt;&gt;"",IF(VLOOKUP(A94,Ergebnis_je_Aktie_verwässert!A$3:AK$103,6,FALSE)&lt;&gt;"",IF(VLOOKUP(A94,Ergebnis_je_Aktie_verwässert!A$3:AK$103,6,FALSE)&lt;=0,2,IF(VLOOKUP(A94,Dividende_je_Aktie!A$3:AM$103,6,FALSE)/VLOOKUP(A94,Ergebnis_je_Aktie_verwässert!A$3:AK$103,6,FALSE)&gt;=2,2,VLOOKUP(A94,Dividende_je_Aktie!A$3:AM$103,6,FALSE)/VLOOKUP(A94,Ergebnis_je_Aktie_verwässert!A$3:AK$103,6,FALSE))),""),"")</f>
        <v>#N/A</v>
      </c>
      <c r="G94" s="5" t="e">
        <f>IF(VLOOKUP(A94,Dividende_je_Aktie!A$3:AM$103,7,FALSE)&lt;&gt;"",IF(VLOOKUP(A94,Ergebnis_je_Aktie_verwässert!A$3:AK$103,7,FALSE)&lt;&gt;"",IF(VLOOKUP(A94,Ergebnis_je_Aktie_verwässert!A$3:AK$103,7,FALSE)&lt;=0,2,IF(VLOOKUP(A94,Dividende_je_Aktie!A$3:AM$103,7,FALSE)/VLOOKUP(A94,Ergebnis_je_Aktie_verwässert!A$3:AK$103,7,FALSE)&gt;=2,2,VLOOKUP(A94,Dividende_je_Aktie!A$3:AM$103,7,FALSE)/VLOOKUP(A94,Ergebnis_je_Aktie_verwässert!A$3:AK$103,7,FALSE))),""),"")</f>
        <v>#N/A</v>
      </c>
      <c r="H94" s="5" t="e">
        <f>IF(VLOOKUP(A94,Dividende_je_Aktie!A$3:AM$103,8,FALSE)&lt;&gt;"",IF(VLOOKUP(A94,Ergebnis_je_Aktie_verwässert!A$3:AK$103,8,FALSE)&lt;&gt;"",IF(VLOOKUP(A94,Ergebnis_je_Aktie_verwässert!A$3:AK$103,8,FALSE)&lt;=0,2,IF(VLOOKUP(A94,Dividende_je_Aktie!A$3:AM$103,8,FALSE)/VLOOKUP(A94,Ergebnis_je_Aktie_verwässert!A$3:AK$103,8,FALSE)&gt;=2,2,VLOOKUP(A94,Dividende_je_Aktie!A$3:AM$103,8,FALSE)/VLOOKUP(A94,Ergebnis_je_Aktie_verwässert!A$3:AK$103,8,FALSE))),""),"")</f>
        <v>#N/A</v>
      </c>
      <c r="I94" s="5" t="e">
        <f>IF(VLOOKUP(A94,Dividende_je_Aktie!A$3:AM$103,9,FALSE)&lt;&gt;"",IF(VLOOKUP(A94,Ergebnis_je_Aktie_verwässert!A$3:AK$103,9,FALSE)&lt;&gt;"",IF(VLOOKUP(A94,Ergebnis_je_Aktie_verwässert!A$3:AK$103,9,FALSE)&lt;=0,2,IF(VLOOKUP(A94,Dividende_je_Aktie!A$3:AM$103,9,FALSE)/VLOOKUP(A94,Ergebnis_je_Aktie_verwässert!A$3:AK$103,9,FALSE)&gt;=2,2,VLOOKUP(A94,Dividende_je_Aktie!A$3:AM$103,9,FALSE)/VLOOKUP(A94,Ergebnis_je_Aktie_verwässert!A$3:AK$103,9,FALSE))),""),"")</f>
        <v>#N/A</v>
      </c>
      <c r="J94" s="5" t="e">
        <f>IF(VLOOKUP(A94,Dividende_je_Aktie!A$3:AM$103,10,FALSE)&lt;&gt;"",IF(VLOOKUP(A94,Ergebnis_je_Aktie_verwässert!A$3:AK$103,10,FALSE)&lt;&gt;"",IF(VLOOKUP(A94,Ergebnis_je_Aktie_verwässert!A$3:AK$103,10,FALSE)&lt;=0,2,IF(VLOOKUP(A94,Dividende_je_Aktie!A$3:AM$103,10,FALSE)/VLOOKUP(A94,Ergebnis_je_Aktie_verwässert!A$3:AK$103,10,FALSE)&gt;=2,2,VLOOKUP(A94,Dividende_je_Aktie!A$3:AM$103,10,FALSE)/VLOOKUP(A94,Ergebnis_je_Aktie_verwässert!A$3:AK$103,10,FALSE))),""),"")</f>
        <v>#N/A</v>
      </c>
      <c r="K94" s="5" t="e">
        <f>IF(VLOOKUP(A94,Dividende_je_Aktie!A$3:AM$103,11,FALSE)&lt;&gt;"",IF(VLOOKUP(A94,Ergebnis_je_Aktie_verwässert!A$3:AK$103,11,FALSE)&lt;&gt;"",IF(VLOOKUP(A94,Ergebnis_je_Aktie_verwässert!A$3:AK$103,11,FALSE)&lt;=0,2,IF(VLOOKUP(A94,Dividende_je_Aktie!A$3:AM$103,11,FALSE)/VLOOKUP(A94,Ergebnis_je_Aktie_verwässert!A$3:AK$103,11,FALSE)&gt;=2,2,VLOOKUP(A94,Dividende_je_Aktie!A$3:AM$103,11,FALSE)/VLOOKUP(A94,Ergebnis_je_Aktie_verwässert!A$3:AK$103,11,FALSE))),""),"")</f>
        <v>#N/A</v>
      </c>
      <c r="L94" s="5" t="e">
        <f>IF(VLOOKUP(A94,Dividende_je_Aktie!A$3:AM$103,12,FALSE)&lt;&gt;"",IF(VLOOKUP(A94,Ergebnis_je_Aktie_verwässert!A$3:AK$103,12,FALSE)&lt;&gt;"",IF(VLOOKUP(A94,Ergebnis_je_Aktie_verwässert!A$3:AK$103,12,FALSE)&lt;=0,2,IF(VLOOKUP(A94,Dividende_je_Aktie!A$3:AM$103,12,FALSE)/VLOOKUP(A94,Ergebnis_je_Aktie_verwässert!A$3:AK$103,12,FALSE)&gt;=2,2,VLOOKUP(A94,Dividende_je_Aktie!A$3:AM$103,12,FALSE)/VLOOKUP(A94,Ergebnis_je_Aktie_verwässert!A$3:AK$103,12,FALSE))),""),"")</f>
        <v>#N/A</v>
      </c>
      <c r="M94" s="5" t="e">
        <f>IF(VLOOKUP(A94,Dividende_je_Aktie!A$3:AM$103,13,FALSE)&lt;&gt;"",IF(VLOOKUP(A94,Ergebnis_je_Aktie_verwässert!A$3:AK$103,13,FALSE)&lt;&gt;"",IF(VLOOKUP(A94,Ergebnis_je_Aktie_verwässert!A$3:AK$103,13,FALSE)&lt;=0,2,IF(VLOOKUP(A94,Dividende_je_Aktie!A$3:AM$103,13,FALSE)/VLOOKUP(A94,Ergebnis_je_Aktie_verwässert!A$3:AK$103,13,FALSE)&gt;=2,2,VLOOKUP(A94,Dividende_je_Aktie!A$3:AM$103,13,FALSE)/VLOOKUP(A94,Ergebnis_je_Aktie_verwässert!A$3:AK$103,13,FALSE))),""),"")</f>
        <v>#N/A</v>
      </c>
      <c r="N94" s="5" t="e">
        <f>IF(VLOOKUP(A94,Dividende_je_Aktie!A$3:AM$103,14,FALSE)&lt;&gt;"",IF(VLOOKUP(A94,Ergebnis_je_Aktie_verwässert!A$3:AK$103,14,FALSE)&lt;&gt;"",IF(VLOOKUP(A94,Ergebnis_je_Aktie_verwässert!A$3:AK$103,14,FALSE)&lt;=0,2,IF(VLOOKUP(A94,Dividende_je_Aktie!A$3:AM$103,14,FALSE)/VLOOKUP(A94,Ergebnis_je_Aktie_verwässert!A$3:AK$103,14,FALSE)&gt;=2,2,VLOOKUP(A94,Dividende_je_Aktie!A$3:AM$103,14,FALSE)/VLOOKUP(A94,Ergebnis_je_Aktie_verwässert!A$3:AK$103,14,FALSE))),""),"")</f>
        <v>#N/A</v>
      </c>
      <c r="O94" s="5" t="e">
        <f>IF(VLOOKUP(A94,Dividende_je_Aktie!A$3:AM$103,15,FALSE)&lt;&gt;"",IF(VLOOKUP(A94,Ergebnis_je_Aktie_verwässert!A$3:AK$103,15,FALSE)&lt;&gt;"",IF(VLOOKUP(A94,Ergebnis_je_Aktie_verwässert!A$3:AK$103,15,FALSE)&lt;=0,2,IF(VLOOKUP(A94,Dividende_je_Aktie!A$3:AM$103,15,FALSE)/VLOOKUP(A94,Ergebnis_je_Aktie_verwässert!A$3:AK$103,15,FALSE)&gt;=2,2,VLOOKUP(A94,Dividende_je_Aktie!A$3:AM$103,15,FALSE)/VLOOKUP(A94,Ergebnis_je_Aktie_verwässert!A$3:AK$103,15,FALSE))),""),"")</f>
        <v>#N/A</v>
      </c>
      <c r="P94" s="5" t="e">
        <f>IF(VLOOKUP(A94,Dividende_je_Aktie!A$3:AM$103,16,FALSE)&lt;&gt;"",IF(VLOOKUP(A94,Ergebnis_je_Aktie_verwässert!A$3:AK$103,16,FALSE)&lt;&gt;"",IF(VLOOKUP(A94,Ergebnis_je_Aktie_verwässert!A$3:AK$103,16,FALSE)&lt;=0,2,IF(VLOOKUP(A94,Dividende_je_Aktie!A$3:AM$103,16,FALSE)/VLOOKUP(A94,Ergebnis_je_Aktie_verwässert!A$3:AK$103,16,FALSE)&gt;=2,2,VLOOKUP(A94,Dividende_je_Aktie!A$3:AM$103,16,FALSE)/VLOOKUP(A94,Ergebnis_je_Aktie_verwässert!A$3:AK$103,16,FALSE))),""),"")</f>
        <v>#N/A</v>
      </c>
      <c r="Q94" s="5" t="e">
        <f>IF(VLOOKUP(A94,Dividende_je_Aktie!A$3:AM$103,17,FALSE)&lt;&gt;"",IF(VLOOKUP(A94,Ergebnis_je_Aktie_verwässert!A$3:AK$103,17,FALSE)&lt;&gt;"",IF(VLOOKUP(A94,Ergebnis_je_Aktie_verwässert!A$3:AK$103,17,FALSE)&lt;=0,2,IF(VLOOKUP(A94,Dividende_je_Aktie!A$3:AM$103,17,FALSE)/VLOOKUP(A94,Ergebnis_je_Aktie_verwässert!A$3:AK$103,17,FALSE)&gt;=2,2,VLOOKUP(A94,Dividende_je_Aktie!A$3:AM$103,17,FALSE)/VLOOKUP(A94,Ergebnis_je_Aktie_verwässert!A$3:AK$103,17,FALSE))),""),"")</f>
        <v>#N/A</v>
      </c>
      <c r="R94" s="5" t="e">
        <f>IF(VLOOKUP(A94,Dividende_je_Aktie!A$3:AM$103,18,FALSE)&lt;&gt;"",IF(VLOOKUP(A94,Ergebnis_je_Aktie_verwässert!A$3:AK$103,18,FALSE)&lt;&gt;"",IF(VLOOKUP(A94,Ergebnis_je_Aktie_verwässert!A$3:AK$103,18,FALSE)&lt;=0,2,IF(VLOOKUP(A94,Dividende_je_Aktie!A$3:AM$103,18,FALSE)/VLOOKUP(A94,Ergebnis_je_Aktie_verwässert!A$3:AK$103,18,FALSE)&gt;=2,2,VLOOKUP(A94,Dividende_je_Aktie!A$3:AM$103,18,FALSE)/VLOOKUP(A94,Ergebnis_je_Aktie_verwässert!A$3:AK$103,18,FALSE))),""),"")</f>
        <v>#N/A</v>
      </c>
      <c r="S94" s="10" t="e">
        <f t="shared" si="6"/>
        <v>#N/A</v>
      </c>
      <c r="T94" s="4">
        <f t="shared" ca="1" si="7"/>
        <v>41553</v>
      </c>
      <c r="U94" s="4">
        <f t="shared" ca="1" si="8"/>
        <v>-41193</v>
      </c>
      <c r="V94" s="4" t="e">
        <f t="shared" ca="1" si="9"/>
        <v>#NUM!</v>
      </c>
      <c r="W94" s="10" t="e">
        <f t="shared" ca="1" si="10"/>
        <v>#N/A</v>
      </c>
      <c r="X94" s="5" t="e">
        <f t="shared" ca="1" si="11"/>
        <v>#N/A</v>
      </c>
    </row>
    <row r="95" spans="3:24" x14ac:dyDescent="0.25">
      <c r="C95" s="56"/>
      <c r="D95" s="56"/>
      <c r="E95" s="56"/>
      <c r="F95" s="5" t="e">
        <f>IF(VLOOKUP(A95,Dividende_je_Aktie!A$3:AM$103,6,FALSE)&lt;&gt;"",IF(VLOOKUP(A95,Ergebnis_je_Aktie_verwässert!A$3:AK$103,6,FALSE)&lt;&gt;"",IF(VLOOKUP(A95,Ergebnis_je_Aktie_verwässert!A$3:AK$103,6,FALSE)&lt;=0,2,IF(VLOOKUP(A95,Dividende_je_Aktie!A$3:AM$103,6,FALSE)/VLOOKUP(A95,Ergebnis_je_Aktie_verwässert!A$3:AK$103,6,FALSE)&gt;=2,2,VLOOKUP(A95,Dividende_je_Aktie!A$3:AM$103,6,FALSE)/VLOOKUP(A95,Ergebnis_je_Aktie_verwässert!A$3:AK$103,6,FALSE))),""),"")</f>
        <v>#N/A</v>
      </c>
      <c r="G95" s="5" t="e">
        <f>IF(VLOOKUP(A95,Dividende_je_Aktie!A$3:AM$103,7,FALSE)&lt;&gt;"",IF(VLOOKUP(A95,Ergebnis_je_Aktie_verwässert!A$3:AK$103,7,FALSE)&lt;&gt;"",IF(VLOOKUP(A95,Ergebnis_je_Aktie_verwässert!A$3:AK$103,7,FALSE)&lt;=0,2,IF(VLOOKUP(A95,Dividende_je_Aktie!A$3:AM$103,7,FALSE)/VLOOKUP(A95,Ergebnis_je_Aktie_verwässert!A$3:AK$103,7,FALSE)&gt;=2,2,VLOOKUP(A95,Dividende_je_Aktie!A$3:AM$103,7,FALSE)/VLOOKUP(A95,Ergebnis_je_Aktie_verwässert!A$3:AK$103,7,FALSE))),""),"")</f>
        <v>#N/A</v>
      </c>
      <c r="H95" s="5" t="e">
        <f>IF(VLOOKUP(A95,Dividende_je_Aktie!A$3:AM$103,8,FALSE)&lt;&gt;"",IF(VLOOKUP(A95,Ergebnis_je_Aktie_verwässert!A$3:AK$103,8,FALSE)&lt;&gt;"",IF(VLOOKUP(A95,Ergebnis_je_Aktie_verwässert!A$3:AK$103,8,FALSE)&lt;=0,2,IF(VLOOKUP(A95,Dividende_je_Aktie!A$3:AM$103,8,FALSE)/VLOOKUP(A95,Ergebnis_je_Aktie_verwässert!A$3:AK$103,8,FALSE)&gt;=2,2,VLOOKUP(A95,Dividende_je_Aktie!A$3:AM$103,8,FALSE)/VLOOKUP(A95,Ergebnis_je_Aktie_verwässert!A$3:AK$103,8,FALSE))),""),"")</f>
        <v>#N/A</v>
      </c>
      <c r="I95" s="5" t="e">
        <f>IF(VLOOKUP(A95,Dividende_je_Aktie!A$3:AM$103,9,FALSE)&lt;&gt;"",IF(VLOOKUP(A95,Ergebnis_je_Aktie_verwässert!A$3:AK$103,9,FALSE)&lt;&gt;"",IF(VLOOKUP(A95,Ergebnis_je_Aktie_verwässert!A$3:AK$103,9,FALSE)&lt;=0,2,IF(VLOOKUP(A95,Dividende_je_Aktie!A$3:AM$103,9,FALSE)/VLOOKUP(A95,Ergebnis_je_Aktie_verwässert!A$3:AK$103,9,FALSE)&gt;=2,2,VLOOKUP(A95,Dividende_je_Aktie!A$3:AM$103,9,FALSE)/VLOOKUP(A95,Ergebnis_je_Aktie_verwässert!A$3:AK$103,9,FALSE))),""),"")</f>
        <v>#N/A</v>
      </c>
      <c r="J95" s="5" t="e">
        <f>IF(VLOOKUP(A95,Dividende_je_Aktie!A$3:AM$103,10,FALSE)&lt;&gt;"",IF(VLOOKUP(A95,Ergebnis_je_Aktie_verwässert!A$3:AK$103,10,FALSE)&lt;&gt;"",IF(VLOOKUP(A95,Ergebnis_je_Aktie_verwässert!A$3:AK$103,10,FALSE)&lt;=0,2,IF(VLOOKUP(A95,Dividende_je_Aktie!A$3:AM$103,10,FALSE)/VLOOKUP(A95,Ergebnis_je_Aktie_verwässert!A$3:AK$103,10,FALSE)&gt;=2,2,VLOOKUP(A95,Dividende_je_Aktie!A$3:AM$103,10,FALSE)/VLOOKUP(A95,Ergebnis_je_Aktie_verwässert!A$3:AK$103,10,FALSE))),""),"")</f>
        <v>#N/A</v>
      </c>
      <c r="K95" s="5" t="e">
        <f>IF(VLOOKUP(A95,Dividende_je_Aktie!A$3:AM$103,11,FALSE)&lt;&gt;"",IF(VLOOKUP(A95,Ergebnis_je_Aktie_verwässert!A$3:AK$103,11,FALSE)&lt;&gt;"",IF(VLOOKUP(A95,Ergebnis_je_Aktie_verwässert!A$3:AK$103,11,FALSE)&lt;=0,2,IF(VLOOKUP(A95,Dividende_je_Aktie!A$3:AM$103,11,FALSE)/VLOOKUP(A95,Ergebnis_je_Aktie_verwässert!A$3:AK$103,11,FALSE)&gt;=2,2,VLOOKUP(A95,Dividende_je_Aktie!A$3:AM$103,11,FALSE)/VLOOKUP(A95,Ergebnis_je_Aktie_verwässert!A$3:AK$103,11,FALSE))),""),"")</f>
        <v>#N/A</v>
      </c>
      <c r="L95" s="5" t="e">
        <f>IF(VLOOKUP(A95,Dividende_je_Aktie!A$3:AM$103,12,FALSE)&lt;&gt;"",IF(VLOOKUP(A95,Ergebnis_je_Aktie_verwässert!A$3:AK$103,12,FALSE)&lt;&gt;"",IF(VLOOKUP(A95,Ergebnis_je_Aktie_verwässert!A$3:AK$103,12,FALSE)&lt;=0,2,IF(VLOOKUP(A95,Dividende_je_Aktie!A$3:AM$103,12,FALSE)/VLOOKUP(A95,Ergebnis_je_Aktie_verwässert!A$3:AK$103,12,FALSE)&gt;=2,2,VLOOKUP(A95,Dividende_je_Aktie!A$3:AM$103,12,FALSE)/VLOOKUP(A95,Ergebnis_je_Aktie_verwässert!A$3:AK$103,12,FALSE))),""),"")</f>
        <v>#N/A</v>
      </c>
      <c r="M95" s="5" t="e">
        <f>IF(VLOOKUP(A95,Dividende_je_Aktie!A$3:AM$103,13,FALSE)&lt;&gt;"",IF(VLOOKUP(A95,Ergebnis_je_Aktie_verwässert!A$3:AK$103,13,FALSE)&lt;&gt;"",IF(VLOOKUP(A95,Ergebnis_je_Aktie_verwässert!A$3:AK$103,13,FALSE)&lt;=0,2,IF(VLOOKUP(A95,Dividende_je_Aktie!A$3:AM$103,13,FALSE)/VLOOKUP(A95,Ergebnis_je_Aktie_verwässert!A$3:AK$103,13,FALSE)&gt;=2,2,VLOOKUP(A95,Dividende_je_Aktie!A$3:AM$103,13,FALSE)/VLOOKUP(A95,Ergebnis_je_Aktie_verwässert!A$3:AK$103,13,FALSE))),""),"")</f>
        <v>#N/A</v>
      </c>
      <c r="N95" s="5" t="e">
        <f>IF(VLOOKUP(A95,Dividende_je_Aktie!A$3:AM$103,14,FALSE)&lt;&gt;"",IF(VLOOKUP(A95,Ergebnis_je_Aktie_verwässert!A$3:AK$103,14,FALSE)&lt;&gt;"",IF(VLOOKUP(A95,Ergebnis_je_Aktie_verwässert!A$3:AK$103,14,FALSE)&lt;=0,2,IF(VLOOKUP(A95,Dividende_je_Aktie!A$3:AM$103,14,FALSE)/VLOOKUP(A95,Ergebnis_je_Aktie_verwässert!A$3:AK$103,14,FALSE)&gt;=2,2,VLOOKUP(A95,Dividende_je_Aktie!A$3:AM$103,14,FALSE)/VLOOKUP(A95,Ergebnis_je_Aktie_verwässert!A$3:AK$103,14,FALSE))),""),"")</f>
        <v>#N/A</v>
      </c>
      <c r="O95" s="5" t="e">
        <f>IF(VLOOKUP(A95,Dividende_je_Aktie!A$3:AM$103,15,FALSE)&lt;&gt;"",IF(VLOOKUP(A95,Ergebnis_je_Aktie_verwässert!A$3:AK$103,15,FALSE)&lt;&gt;"",IF(VLOOKUP(A95,Ergebnis_je_Aktie_verwässert!A$3:AK$103,15,FALSE)&lt;=0,2,IF(VLOOKUP(A95,Dividende_je_Aktie!A$3:AM$103,15,FALSE)/VLOOKUP(A95,Ergebnis_je_Aktie_verwässert!A$3:AK$103,15,FALSE)&gt;=2,2,VLOOKUP(A95,Dividende_je_Aktie!A$3:AM$103,15,FALSE)/VLOOKUP(A95,Ergebnis_je_Aktie_verwässert!A$3:AK$103,15,FALSE))),""),"")</f>
        <v>#N/A</v>
      </c>
      <c r="P95" s="5" t="e">
        <f>IF(VLOOKUP(A95,Dividende_je_Aktie!A$3:AM$103,16,FALSE)&lt;&gt;"",IF(VLOOKUP(A95,Ergebnis_je_Aktie_verwässert!A$3:AK$103,16,FALSE)&lt;&gt;"",IF(VLOOKUP(A95,Ergebnis_je_Aktie_verwässert!A$3:AK$103,16,FALSE)&lt;=0,2,IF(VLOOKUP(A95,Dividende_je_Aktie!A$3:AM$103,16,FALSE)/VLOOKUP(A95,Ergebnis_je_Aktie_verwässert!A$3:AK$103,16,FALSE)&gt;=2,2,VLOOKUP(A95,Dividende_je_Aktie!A$3:AM$103,16,FALSE)/VLOOKUP(A95,Ergebnis_je_Aktie_verwässert!A$3:AK$103,16,FALSE))),""),"")</f>
        <v>#N/A</v>
      </c>
      <c r="Q95" s="5" t="e">
        <f>IF(VLOOKUP(A95,Dividende_je_Aktie!A$3:AM$103,17,FALSE)&lt;&gt;"",IF(VLOOKUP(A95,Ergebnis_je_Aktie_verwässert!A$3:AK$103,17,FALSE)&lt;&gt;"",IF(VLOOKUP(A95,Ergebnis_je_Aktie_verwässert!A$3:AK$103,17,FALSE)&lt;=0,2,IF(VLOOKUP(A95,Dividende_je_Aktie!A$3:AM$103,17,FALSE)/VLOOKUP(A95,Ergebnis_je_Aktie_verwässert!A$3:AK$103,17,FALSE)&gt;=2,2,VLOOKUP(A95,Dividende_je_Aktie!A$3:AM$103,17,FALSE)/VLOOKUP(A95,Ergebnis_je_Aktie_verwässert!A$3:AK$103,17,FALSE))),""),"")</f>
        <v>#N/A</v>
      </c>
      <c r="R95" s="5" t="e">
        <f>IF(VLOOKUP(A95,Dividende_je_Aktie!A$3:AM$103,18,FALSE)&lt;&gt;"",IF(VLOOKUP(A95,Ergebnis_je_Aktie_verwässert!A$3:AK$103,18,FALSE)&lt;&gt;"",IF(VLOOKUP(A95,Ergebnis_je_Aktie_verwässert!A$3:AK$103,18,FALSE)&lt;=0,2,IF(VLOOKUP(A95,Dividende_je_Aktie!A$3:AM$103,18,FALSE)/VLOOKUP(A95,Ergebnis_je_Aktie_verwässert!A$3:AK$103,18,FALSE)&gt;=2,2,VLOOKUP(A95,Dividende_je_Aktie!A$3:AM$103,18,FALSE)/VLOOKUP(A95,Ergebnis_je_Aktie_verwässert!A$3:AK$103,18,FALSE))),""),"")</f>
        <v>#N/A</v>
      </c>
      <c r="S95" s="10" t="e">
        <f t="shared" si="6"/>
        <v>#N/A</v>
      </c>
      <c r="T95" s="4">
        <f t="shared" ca="1" si="7"/>
        <v>41553</v>
      </c>
      <c r="U95" s="4">
        <f t="shared" ca="1" si="8"/>
        <v>-41193</v>
      </c>
      <c r="V95" s="4" t="e">
        <f t="shared" ca="1" si="9"/>
        <v>#NUM!</v>
      </c>
      <c r="W95" s="10" t="e">
        <f t="shared" ca="1" si="10"/>
        <v>#N/A</v>
      </c>
      <c r="X95" s="5" t="e">
        <f t="shared" ca="1" si="11"/>
        <v>#N/A</v>
      </c>
    </row>
    <row r="96" spans="3:24" x14ac:dyDescent="0.25">
      <c r="C96" s="56"/>
      <c r="D96" s="56"/>
      <c r="E96" s="56"/>
      <c r="F96" s="5" t="e">
        <f>IF(VLOOKUP(A96,Dividende_je_Aktie!A$3:AM$103,6,FALSE)&lt;&gt;"",IF(VLOOKUP(A96,Ergebnis_je_Aktie_verwässert!A$3:AK$103,6,FALSE)&lt;&gt;"",IF(VLOOKUP(A96,Ergebnis_je_Aktie_verwässert!A$3:AK$103,6,FALSE)&lt;=0,2,IF(VLOOKUP(A96,Dividende_je_Aktie!A$3:AM$103,6,FALSE)/VLOOKUP(A96,Ergebnis_je_Aktie_verwässert!A$3:AK$103,6,FALSE)&gt;=2,2,VLOOKUP(A96,Dividende_je_Aktie!A$3:AM$103,6,FALSE)/VLOOKUP(A96,Ergebnis_je_Aktie_verwässert!A$3:AK$103,6,FALSE))),""),"")</f>
        <v>#N/A</v>
      </c>
      <c r="G96" s="5" t="e">
        <f>IF(VLOOKUP(A96,Dividende_je_Aktie!A$3:AM$103,7,FALSE)&lt;&gt;"",IF(VLOOKUP(A96,Ergebnis_je_Aktie_verwässert!A$3:AK$103,7,FALSE)&lt;&gt;"",IF(VLOOKUP(A96,Ergebnis_je_Aktie_verwässert!A$3:AK$103,7,FALSE)&lt;=0,2,IF(VLOOKUP(A96,Dividende_je_Aktie!A$3:AM$103,7,FALSE)/VLOOKUP(A96,Ergebnis_je_Aktie_verwässert!A$3:AK$103,7,FALSE)&gt;=2,2,VLOOKUP(A96,Dividende_je_Aktie!A$3:AM$103,7,FALSE)/VLOOKUP(A96,Ergebnis_je_Aktie_verwässert!A$3:AK$103,7,FALSE))),""),"")</f>
        <v>#N/A</v>
      </c>
      <c r="H96" s="5" t="e">
        <f>IF(VLOOKUP(A96,Dividende_je_Aktie!A$3:AM$103,8,FALSE)&lt;&gt;"",IF(VLOOKUP(A96,Ergebnis_je_Aktie_verwässert!A$3:AK$103,8,FALSE)&lt;&gt;"",IF(VLOOKUP(A96,Ergebnis_je_Aktie_verwässert!A$3:AK$103,8,FALSE)&lt;=0,2,IF(VLOOKUP(A96,Dividende_je_Aktie!A$3:AM$103,8,FALSE)/VLOOKUP(A96,Ergebnis_je_Aktie_verwässert!A$3:AK$103,8,FALSE)&gt;=2,2,VLOOKUP(A96,Dividende_je_Aktie!A$3:AM$103,8,FALSE)/VLOOKUP(A96,Ergebnis_je_Aktie_verwässert!A$3:AK$103,8,FALSE))),""),"")</f>
        <v>#N/A</v>
      </c>
      <c r="I96" s="5" t="e">
        <f>IF(VLOOKUP(A96,Dividende_je_Aktie!A$3:AM$103,9,FALSE)&lt;&gt;"",IF(VLOOKUP(A96,Ergebnis_je_Aktie_verwässert!A$3:AK$103,9,FALSE)&lt;&gt;"",IF(VLOOKUP(A96,Ergebnis_je_Aktie_verwässert!A$3:AK$103,9,FALSE)&lt;=0,2,IF(VLOOKUP(A96,Dividende_je_Aktie!A$3:AM$103,9,FALSE)/VLOOKUP(A96,Ergebnis_je_Aktie_verwässert!A$3:AK$103,9,FALSE)&gt;=2,2,VLOOKUP(A96,Dividende_je_Aktie!A$3:AM$103,9,FALSE)/VLOOKUP(A96,Ergebnis_je_Aktie_verwässert!A$3:AK$103,9,FALSE))),""),"")</f>
        <v>#N/A</v>
      </c>
      <c r="J96" s="5" t="e">
        <f>IF(VLOOKUP(A96,Dividende_je_Aktie!A$3:AM$103,10,FALSE)&lt;&gt;"",IF(VLOOKUP(A96,Ergebnis_je_Aktie_verwässert!A$3:AK$103,10,FALSE)&lt;&gt;"",IF(VLOOKUP(A96,Ergebnis_je_Aktie_verwässert!A$3:AK$103,10,FALSE)&lt;=0,2,IF(VLOOKUP(A96,Dividende_je_Aktie!A$3:AM$103,10,FALSE)/VLOOKUP(A96,Ergebnis_je_Aktie_verwässert!A$3:AK$103,10,FALSE)&gt;=2,2,VLOOKUP(A96,Dividende_je_Aktie!A$3:AM$103,10,FALSE)/VLOOKUP(A96,Ergebnis_je_Aktie_verwässert!A$3:AK$103,10,FALSE))),""),"")</f>
        <v>#N/A</v>
      </c>
      <c r="K96" s="5" t="e">
        <f>IF(VLOOKUP(A96,Dividende_je_Aktie!A$3:AM$103,11,FALSE)&lt;&gt;"",IF(VLOOKUP(A96,Ergebnis_je_Aktie_verwässert!A$3:AK$103,11,FALSE)&lt;&gt;"",IF(VLOOKUP(A96,Ergebnis_je_Aktie_verwässert!A$3:AK$103,11,FALSE)&lt;=0,2,IF(VLOOKUP(A96,Dividende_je_Aktie!A$3:AM$103,11,FALSE)/VLOOKUP(A96,Ergebnis_je_Aktie_verwässert!A$3:AK$103,11,FALSE)&gt;=2,2,VLOOKUP(A96,Dividende_je_Aktie!A$3:AM$103,11,FALSE)/VLOOKUP(A96,Ergebnis_je_Aktie_verwässert!A$3:AK$103,11,FALSE))),""),"")</f>
        <v>#N/A</v>
      </c>
      <c r="L96" s="5" t="e">
        <f>IF(VLOOKUP(A96,Dividende_je_Aktie!A$3:AM$103,12,FALSE)&lt;&gt;"",IF(VLOOKUP(A96,Ergebnis_je_Aktie_verwässert!A$3:AK$103,12,FALSE)&lt;&gt;"",IF(VLOOKUP(A96,Ergebnis_je_Aktie_verwässert!A$3:AK$103,12,FALSE)&lt;=0,2,IF(VLOOKUP(A96,Dividende_je_Aktie!A$3:AM$103,12,FALSE)/VLOOKUP(A96,Ergebnis_je_Aktie_verwässert!A$3:AK$103,12,FALSE)&gt;=2,2,VLOOKUP(A96,Dividende_je_Aktie!A$3:AM$103,12,FALSE)/VLOOKUP(A96,Ergebnis_je_Aktie_verwässert!A$3:AK$103,12,FALSE))),""),"")</f>
        <v>#N/A</v>
      </c>
      <c r="M96" s="5" t="e">
        <f>IF(VLOOKUP(A96,Dividende_je_Aktie!A$3:AM$103,13,FALSE)&lt;&gt;"",IF(VLOOKUP(A96,Ergebnis_je_Aktie_verwässert!A$3:AK$103,13,FALSE)&lt;&gt;"",IF(VLOOKUP(A96,Ergebnis_je_Aktie_verwässert!A$3:AK$103,13,FALSE)&lt;=0,2,IF(VLOOKUP(A96,Dividende_je_Aktie!A$3:AM$103,13,FALSE)/VLOOKUP(A96,Ergebnis_je_Aktie_verwässert!A$3:AK$103,13,FALSE)&gt;=2,2,VLOOKUP(A96,Dividende_je_Aktie!A$3:AM$103,13,FALSE)/VLOOKUP(A96,Ergebnis_je_Aktie_verwässert!A$3:AK$103,13,FALSE))),""),"")</f>
        <v>#N/A</v>
      </c>
      <c r="N96" s="5" t="e">
        <f>IF(VLOOKUP(A96,Dividende_je_Aktie!A$3:AM$103,14,FALSE)&lt;&gt;"",IF(VLOOKUP(A96,Ergebnis_je_Aktie_verwässert!A$3:AK$103,14,FALSE)&lt;&gt;"",IF(VLOOKUP(A96,Ergebnis_je_Aktie_verwässert!A$3:AK$103,14,FALSE)&lt;=0,2,IF(VLOOKUP(A96,Dividende_je_Aktie!A$3:AM$103,14,FALSE)/VLOOKUP(A96,Ergebnis_je_Aktie_verwässert!A$3:AK$103,14,FALSE)&gt;=2,2,VLOOKUP(A96,Dividende_je_Aktie!A$3:AM$103,14,FALSE)/VLOOKUP(A96,Ergebnis_je_Aktie_verwässert!A$3:AK$103,14,FALSE))),""),"")</f>
        <v>#N/A</v>
      </c>
      <c r="O96" s="5" t="e">
        <f>IF(VLOOKUP(A96,Dividende_je_Aktie!A$3:AM$103,15,FALSE)&lt;&gt;"",IF(VLOOKUP(A96,Ergebnis_je_Aktie_verwässert!A$3:AK$103,15,FALSE)&lt;&gt;"",IF(VLOOKUP(A96,Ergebnis_je_Aktie_verwässert!A$3:AK$103,15,FALSE)&lt;=0,2,IF(VLOOKUP(A96,Dividende_je_Aktie!A$3:AM$103,15,FALSE)/VLOOKUP(A96,Ergebnis_je_Aktie_verwässert!A$3:AK$103,15,FALSE)&gt;=2,2,VLOOKUP(A96,Dividende_je_Aktie!A$3:AM$103,15,FALSE)/VLOOKUP(A96,Ergebnis_je_Aktie_verwässert!A$3:AK$103,15,FALSE))),""),"")</f>
        <v>#N/A</v>
      </c>
      <c r="P96" s="5" t="e">
        <f>IF(VLOOKUP(A96,Dividende_je_Aktie!A$3:AM$103,16,FALSE)&lt;&gt;"",IF(VLOOKUP(A96,Ergebnis_je_Aktie_verwässert!A$3:AK$103,16,FALSE)&lt;&gt;"",IF(VLOOKUP(A96,Ergebnis_je_Aktie_verwässert!A$3:AK$103,16,FALSE)&lt;=0,2,IF(VLOOKUP(A96,Dividende_je_Aktie!A$3:AM$103,16,FALSE)/VLOOKUP(A96,Ergebnis_je_Aktie_verwässert!A$3:AK$103,16,FALSE)&gt;=2,2,VLOOKUP(A96,Dividende_je_Aktie!A$3:AM$103,16,FALSE)/VLOOKUP(A96,Ergebnis_je_Aktie_verwässert!A$3:AK$103,16,FALSE))),""),"")</f>
        <v>#N/A</v>
      </c>
      <c r="Q96" s="5" t="e">
        <f>IF(VLOOKUP(A96,Dividende_je_Aktie!A$3:AM$103,17,FALSE)&lt;&gt;"",IF(VLOOKUP(A96,Ergebnis_je_Aktie_verwässert!A$3:AK$103,17,FALSE)&lt;&gt;"",IF(VLOOKUP(A96,Ergebnis_je_Aktie_verwässert!A$3:AK$103,17,FALSE)&lt;=0,2,IF(VLOOKUP(A96,Dividende_je_Aktie!A$3:AM$103,17,FALSE)/VLOOKUP(A96,Ergebnis_je_Aktie_verwässert!A$3:AK$103,17,FALSE)&gt;=2,2,VLOOKUP(A96,Dividende_je_Aktie!A$3:AM$103,17,FALSE)/VLOOKUP(A96,Ergebnis_je_Aktie_verwässert!A$3:AK$103,17,FALSE))),""),"")</f>
        <v>#N/A</v>
      </c>
      <c r="R96" s="5" t="e">
        <f>IF(VLOOKUP(A96,Dividende_je_Aktie!A$3:AM$103,18,FALSE)&lt;&gt;"",IF(VLOOKUP(A96,Ergebnis_je_Aktie_verwässert!A$3:AK$103,18,FALSE)&lt;&gt;"",IF(VLOOKUP(A96,Ergebnis_je_Aktie_verwässert!A$3:AK$103,18,FALSE)&lt;=0,2,IF(VLOOKUP(A96,Dividende_je_Aktie!A$3:AM$103,18,FALSE)/VLOOKUP(A96,Ergebnis_je_Aktie_verwässert!A$3:AK$103,18,FALSE)&gt;=2,2,VLOOKUP(A96,Dividende_je_Aktie!A$3:AM$103,18,FALSE)/VLOOKUP(A96,Ergebnis_je_Aktie_verwässert!A$3:AK$103,18,FALSE))),""),"")</f>
        <v>#N/A</v>
      </c>
      <c r="S96" s="10" t="e">
        <f t="shared" si="6"/>
        <v>#N/A</v>
      </c>
      <c r="T96" s="4">
        <f t="shared" ca="1" si="7"/>
        <v>41553</v>
      </c>
      <c r="U96" s="4">
        <f t="shared" ca="1" si="8"/>
        <v>-41193</v>
      </c>
      <c r="V96" s="4" t="e">
        <f t="shared" ca="1" si="9"/>
        <v>#NUM!</v>
      </c>
      <c r="W96" s="10" t="e">
        <f t="shared" ca="1" si="10"/>
        <v>#N/A</v>
      </c>
      <c r="X96" s="5" t="e">
        <f t="shared" ca="1" si="11"/>
        <v>#N/A</v>
      </c>
    </row>
    <row r="97" spans="3:24" x14ac:dyDescent="0.25">
      <c r="C97" s="56"/>
      <c r="D97" s="56"/>
      <c r="E97" s="56"/>
      <c r="F97" s="5" t="e">
        <f>IF(VLOOKUP(A97,Dividende_je_Aktie!A$3:AM$103,6,FALSE)&lt;&gt;"",IF(VLOOKUP(A97,Ergebnis_je_Aktie_verwässert!A$3:AK$103,6,FALSE)&lt;&gt;"",IF(VLOOKUP(A97,Ergebnis_je_Aktie_verwässert!A$3:AK$103,6,FALSE)&lt;=0,2,IF(VLOOKUP(A97,Dividende_je_Aktie!A$3:AM$103,6,FALSE)/VLOOKUP(A97,Ergebnis_je_Aktie_verwässert!A$3:AK$103,6,FALSE)&gt;=2,2,VLOOKUP(A97,Dividende_je_Aktie!A$3:AM$103,6,FALSE)/VLOOKUP(A97,Ergebnis_je_Aktie_verwässert!A$3:AK$103,6,FALSE))),""),"")</f>
        <v>#N/A</v>
      </c>
      <c r="G97" s="5" t="e">
        <f>IF(VLOOKUP(A97,Dividende_je_Aktie!A$3:AM$103,7,FALSE)&lt;&gt;"",IF(VLOOKUP(A97,Ergebnis_je_Aktie_verwässert!A$3:AK$103,7,FALSE)&lt;&gt;"",IF(VLOOKUP(A97,Ergebnis_je_Aktie_verwässert!A$3:AK$103,7,FALSE)&lt;=0,2,IF(VLOOKUP(A97,Dividende_je_Aktie!A$3:AM$103,7,FALSE)/VLOOKUP(A97,Ergebnis_je_Aktie_verwässert!A$3:AK$103,7,FALSE)&gt;=2,2,VLOOKUP(A97,Dividende_je_Aktie!A$3:AM$103,7,FALSE)/VLOOKUP(A97,Ergebnis_je_Aktie_verwässert!A$3:AK$103,7,FALSE))),""),"")</f>
        <v>#N/A</v>
      </c>
      <c r="H97" s="5" t="e">
        <f>IF(VLOOKUP(A97,Dividende_je_Aktie!A$3:AM$103,8,FALSE)&lt;&gt;"",IF(VLOOKUP(A97,Ergebnis_je_Aktie_verwässert!A$3:AK$103,8,FALSE)&lt;&gt;"",IF(VLOOKUP(A97,Ergebnis_je_Aktie_verwässert!A$3:AK$103,8,FALSE)&lt;=0,2,IF(VLOOKUP(A97,Dividende_je_Aktie!A$3:AM$103,8,FALSE)/VLOOKUP(A97,Ergebnis_je_Aktie_verwässert!A$3:AK$103,8,FALSE)&gt;=2,2,VLOOKUP(A97,Dividende_je_Aktie!A$3:AM$103,8,FALSE)/VLOOKUP(A97,Ergebnis_je_Aktie_verwässert!A$3:AK$103,8,FALSE))),""),"")</f>
        <v>#N/A</v>
      </c>
      <c r="I97" s="5" t="e">
        <f>IF(VLOOKUP(A97,Dividende_je_Aktie!A$3:AM$103,9,FALSE)&lt;&gt;"",IF(VLOOKUP(A97,Ergebnis_je_Aktie_verwässert!A$3:AK$103,9,FALSE)&lt;&gt;"",IF(VLOOKUP(A97,Ergebnis_je_Aktie_verwässert!A$3:AK$103,9,FALSE)&lt;=0,2,IF(VLOOKUP(A97,Dividende_je_Aktie!A$3:AM$103,9,FALSE)/VLOOKUP(A97,Ergebnis_je_Aktie_verwässert!A$3:AK$103,9,FALSE)&gt;=2,2,VLOOKUP(A97,Dividende_je_Aktie!A$3:AM$103,9,FALSE)/VLOOKUP(A97,Ergebnis_je_Aktie_verwässert!A$3:AK$103,9,FALSE))),""),"")</f>
        <v>#N/A</v>
      </c>
      <c r="J97" s="5" t="e">
        <f>IF(VLOOKUP(A97,Dividende_je_Aktie!A$3:AM$103,10,FALSE)&lt;&gt;"",IF(VLOOKUP(A97,Ergebnis_je_Aktie_verwässert!A$3:AK$103,10,FALSE)&lt;&gt;"",IF(VLOOKUP(A97,Ergebnis_je_Aktie_verwässert!A$3:AK$103,10,FALSE)&lt;=0,2,IF(VLOOKUP(A97,Dividende_je_Aktie!A$3:AM$103,10,FALSE)/VLOOKUP(A97,Ergebnis_je_Aktie_verwässert!A$3:AK$103,10,FALSE)&gt;=2,2,VLOOKUP(A97,Dividende_je_Aktie!A$3:AM$103,10,FALSE)/VLOOKUP(A97,Ergebnis_je_Aktie_verwässert!A$3:AK$103,10,FALSE))),""),"")</f>
        <v>#N/A</v>
      </c>
      <c r="K97" s="5" t="e">
        <f>IF(VLOOKUP(A97,Dividende_je_Aktie!A$3:AM$103,11,FALSE)&lt;&gt;"",IF(VLOOKUP(A97,Ergebnis_je_Aktie_verwässert!A$3:AK$103,11,FALSE)&lt;&gt;"",IF(VLOOKUP(A97,Ergebnis_je_Aktie_verwässert!A$3:AK$103,11,FALSE)&lt;=0,2,IF(VLOOKUP(A97,Dividende_je_Aktie!A$3:AM$103,11,FALSE)/VLOOKUP(A97,Ergebnis_je_Aktie_verwässert!A$3:AK$103,11,FALSE)&gt;=2,2,VLOOKUP(A97,Dividende_je_Aktie!A$3:AM$103,11,FALSE)/VLOOKUP(A97,Ergebnis_je_Aktie_verwässert!A$3:AK$103,11,FALSE))),""),"")</f>
        <v>#N/A</v>
      </c>
      <c r="L97" s="5" t="e">
        <f>IF(VLOOKUP(A97,Dividende_je_Aktie!A$3:AM$103,12,FALSE)&lt;&gt;"",IF(VLOOKUP(A97,Ergebnis_je_Aktie_verwässert!A$3:AK$103,12,FALSE)&lt;&gt;"",IF(VLOOKUP(A97,Ergebnis_je_Aktie_verwässert!A$3:AK$103,12,FALSE)&lt;=0,2,IF(VLOOKUP(A97,Dividende_je_Aktie!A$3:AM$103,12,FALSE)/VLOOKUP(A97,Ergebnis_je_Aktie_verwässert!A$3:AK$103,12,FALSE)&gt;=2,2,VLOOKUP(A97,Dividende_je_Aktie!A$3:AM$103,12,FALSE)/VLOOKUP(A97,Ergebnis_je_Aktie_verwässert!A$3:AK$103,12,FALSE))),""),"")</f>
        <v>#N/A</v>
      </c>
      <c r="M97" s="5" t="e">
        <f>IF(VLOOKUP(A97,Dividende_je_Aktie!A$3:AM$103,13,FALSE)&lt;&gt;"",IF(VLOOKUP(A97,Ergebnis_je_Aktie_verwässert!A$3:AK$103,13,FALSE)&lt;&gt;"",IF(VLOOKUP(A97,Ergebnis_je_Aktie_verwässert!A$3:AK$103,13,FALSE)&lt;=0,2,IF(VLOOKUP(A97,Dividende_je_Aktie!A$3:AM$103,13,FALSE)/VLOOKUP(A97,Ergebnis_je_Aktie_verwässert!A$3:AK$103,13,FALSE)&gt;=2,2,VLOOKUP(A97,Dividende_je_Aktie!A$3:AM$103,13,FALSE)/VLOOKUP(A97,Ergebnis_je_Aktie_verwässert!A$3:AK$103,13,FALSE))),""),"")</f>
        <v>#N/A</v>
      </c>
      <c r="N97" s="5" t="e">
        <f>IF(VLOOKUP(A97,Dividende_je_Aktie!A$3:AM$103,14,FALSE)&lt;&gt;"",IF(VLOOKUP(A97,Ergebnis_je_Aktie_verwässert!A$3:AK$103,14,FALSE)&lt;&gt;"",IF(VLOOKUP(A97,Ergebnis_je_Aktie_verwässert!A$3:AK$103,14,FALSE)&lt;=0,2,IF(VLOOKUP(A97,Dividende_je_Aktie!A$3:AM$103,14,FALSE)/VLOOKUP(A97,Ergebnis_je_Aktie_verwässert!A$3:AK$103,14,FALSE)&gt;=2,2,VLOOKUP(A97,Dividende_je_Aktie!A$3:AM$103,14,FALSE)/VLOOKUP(A97,Ergebnis_je_Aktie_verwässert!A$3:AK$103,14,FALSE))),""),"")</f>
        <v>#N/A</v>
      </c>
      <c r="O97" s="5" t="e">
        <f>IF(VLOOKUP(A97,Dividende_je_Aktie!A$3:AM$103,15,FALSE)&lt;&gt;"",IF(VLOOKUP(A97,Ergebnis_je_Aktie_verwässert!A$3:AK$103,15,FALSE)&lt;&gt;"",IF(VLOOKUP(A97,Ergebnis_je_Aktie_verwässert!A$3:AK$103,15,FALSE)&lt;=0,2,IF(VLOOKUP(A97,Dividende_je_Aktie!A$3:AM$103,15,FALSE)/VLOOKUP(A97,Ergebnis_je_Aktie_verwässert!A$3:AK$103,15,FALSE)&gt;=2,2,VLOOKUP(A97,Dividende_je_Aktie!A$3:AM$103,15,FALSE)/VLOOKUP(A97,Ergebnis_je_Aktie_verwässert!A$3:AK$103,15,FALSE))),""),"")</f>
        <v>#N/A</v>
      </c>
      <c r="P97" s="5" t="e">
        <f>IF(VLOOKUP(A97,Dividende_je_Aktie!A$3:AM$103,16,FALSE)&lt;&gt;"",IF(VLOOKUP(A97,Ergebnis_je_Aktie_verwässert!A$3:AK$103,16,FALSE)&lt;&gt;"",IF(VLOOKUP(A97,Ergebnis_je_Aktie_verwässert!A$3:AK$103,16,FALSE)&lt;=0,2,IF(VLOOKUP(A97,Dividende_je_Aktie!A$3:AM$103,16,FALSE)/VLOOKUP(A97,Ergebnis_je_Aktie_verwässert!A$3:AK$103,16,FALSE)&gt;=2,2,VLOOKUP(A97,Dividende_je_Aktie!A$3:AM$103,16,FALSE)/VLOOKUP(A97,Ergebnis_je_Aktie_verwässert!A$3:AK$103,16,FALSE))),""),"")</f>
        <v>#N/A</v>
      </c>
      <c r="Q97" s="5" t="e">
        <f>IF(VLOOKUP(A97,Dividende_je_Aktie!A$3:AM$103,17,FALSE)&lt;&gt;"",IF(VLOOKUP(A97,Ergebnis_je_Aktie_verwässert!A$3:AK$103,17,FALSE)&lt;&gt;"",IF(VLOOKUP(A97,Ergebnis_je_Aktie_verwässert!A$3:AK$103,17,FALSE)&lt;=0,2,IF(VLOOKUP(A97,Dividende_je_Aktie!A$3:AM$103,17,FALSE)/VLOOKUP(A97,Ergebnis_je_Aktie_verwässert!A$3:AK$103,17,FALSE)&gt;=2,2,VLOOKUP(A97,Dividende_je_Aktie!A$3:AM$103,17,FALSE)/VLOOKUP(A97,Ergebnis_je_Aktie_verwässert!A$3:AK$103,17,FALSE))),""),"")</f>
        <v>#N/A</v>
      </c>
      <c r="R97" s="5" t="e">
        <f>IF(VLOOKUP(A97,Dividende_je_Aktie!A$3:AM$103,18,FALSE)&lt;&gt;"",IF(VLOOKUP(A97,Ergebnis_je_Aktie_verwässert!A$3:AK$103,18,FALSE)&lt;&gt;"",IF(VLOOKUP(A97,Ergebnis_je_Aktie_verwässert!A$3:AK$103,18,FALSE)&lt;=0,2,IF(VLOOKUP(A97,Dividende_je_Aktie!A$3:AM$103,18,FALSE)/VLOOKUP(A97,Ergebnis_je_Aktie_verwässert!A$3:AK$103,18,FALSE)&gt;=2,2,VLOOKUP(A97,Dividende_je_Aktie!A$3:AM$103,18,FALSE)/VLOOKUP(A97,Ergebnis_je_Aktie_verwässert!A$3:AK$103,18,FALSE))),""),"")</f>
        <v>#N/A</v>
      </c>
      <c r="S97" s="10" t="e">
        <f t="shared" si="6"/>
        <v>#N/A</v>
      </c>
      <c r="T97" s="4">
        <f t="shared" ca="1" si="7"/>
        <v>41553</v>
      </c>
      <c r="U97" s="4">
        <f t="shared" ca="1" si="8"/>
        <v>-41193</v>
      </c>
      <c r="V97" s="4" t="e">
        <f t="shared" ca="1" si="9"/>
        <v>#NUM!</v>
      </c>
      <c r="W97" s="10" t="e">
        <f t="shared" ca="1" si="10"/>
        <v>#N/A</v>
      </c>
      <c r="X97" s="5" t="e">
        <f t="shared" ca="1" si="11"/>
        <v>#N/A</v>
      </c>
    </row>
    <row r="98" spans="3:24" x14ac:dyDescent="0.25">
      <c r="C98" s="56"/>
      <c r="D98" s="56"/>
      <c r="E98" s="56"/>
      <c r="F98" s="5" t="e">
        <f>IF(VLOOKUP(A98,Dividende_je_Aktie!A$3:AM$103,6,FALSE)&lt;&gt;"",IF(VLOOKUP(A98,Ergebnis_je_Aktie_verwässert!A$3:AK$103,6,FALSE)&lt;&gt;"",IF(VLOOKUP(A98,Ergebnis_je_Aktie_verwässert!A$3:AK$103,6,FALSE)&lt;=0,2,IF(VLOOKUP(A98,Dividende_je_Aktie!A$3:AM$103,6,FALSE)/VLOOKUP(A98,Ergebnis_je_Aktie_verwässert!A$3:AK$103,6,FALSE)&gt;=2,2,VLOOKUP(A98,Dividende_je_Aktie!A$3:AM$103,6,FALSE)/VLOOKUP(A98,Ergebnis_je_Aktie_verwässert!A$3:AK$103,6,FALSE))),""),"")</f>
        <v>#N/A</v>
      </c>
      <c r="G98" s="5" t="e">
        <f>IF(VLOOKUP(A98,Dividende_je_Aktie!A$3:AM$103,7,FALSE)&lt;&gt;"",IF(VLOOKUP(A98,Ergebnis_je_Aktie_verwässert!A$3:AK$103,7,FALSE)&lt;&gt;"",IF(VLOOKUP(A98,Ergebnis_je_Aktie_verwässert!A$3:AK$103,7,FALSE)&lt;=0,2,IF(VLOOKUP(A98,Dividende_je_Aktie!A$3:AM$103,7,FALSE)/VLOOKUP(A98,Ergebnis_je_Aktie_verwässert!A$3:AK$103,7,FALSE)&gt;=2,2,VLOOKUP(A98,Dividende_je_Aktie!A$3:AM$103,7,FALSE)/VLOOKUP(A98,Ergebnis_je_Aktie_verwässert!A$3:AK$103,7,FALSE))),""),"")</f>
        <v>#N/A</v>
      </c>
      <c r="H98" s="5" t="e">
        <f>IF(VLOOKUP(A98,Dividende_je_Aktie!A$3:AM$103,8,FALSE)&lt;&gt;"",IF(VLOOKUP(A98,Ergebnis_je_Aktie_verwässert!A$3:AK$103,8,FALSE)&lt;&gt;"",IF(VLOOKUP(A98,Ergebnis_je_Aktie_verwässert!A$3:AK$103,8,FALSE)&lt;=0,2,IF(VLOOKUP(A98,Dividende_je_Aktie!A$3:AM$103,8,FALSE)/VLOOKUP(A98,Ergebnis_je_Aktie_verwässert!A$3:AK$103,8,FALSE)&gt;=2,2,VLOOKUP(A98,Dividende_je_Aktie!A$3:AM$103,8,FALSE)/VLOOKUP(A98,Ergebnis_je_Aktie_verwässert!A$3:AK$103,8,FALSE))),""),"")</f>
        <v>#N/A</v>
      </c>
      <c r="I98" s="5" t="e">
        <f>IF(VLOOKUP(A98,Dividende_je_Aktie!A$3:AM$103,9,FALSE)&lt;&gt;"",IF(VLOOKUP(A98,Ergebnis_je_Aktie_verwässert!A$3:AK$103,9,FALSE)&lt;&gt;"",IF(VLOOKUP(A98,Ergebnis_je_Aktie_verwässert!A$3:AK$103,9,FALSE)&lt;=0,2,IF(VLOOKUP(A98,Dividende_je_Aktie!A$3:AM$103,9,FALSE)/VLOOKUP(A98,Ergebnis_je_Aktie_verwässert!A$3:AK$103,9,FALSE)&gt;=2,2,VLOOKUP(A98,Dividende_je_Aktie!A$3:AM$103,9,FALSE)/VLOOKUP(A98,Ergebnis_je_Aktie_verwässert!A$3:AK$103,9,FALSE))),""),"")</f>
        <v>#N/A</v>
      </c>
      <c r="J98" s="5" t="e">
        <f>IF(VLOOKUP(A98,Dividende_je_Aktie!A$3:AM$103,10,FALSE)&lt;&gt;"",IF(VLOOKUP(A98,Ergebnis_je_Aktie_verwässert!A$3:AK$103,10,FALSE)&lt;&gt;"",IF(VLOOKUP(A98,Ergebnis_je_Aktie_verwässert!A$3:AK$103,10,FALSE)&lt;=0,2,IF(VLOOKUP(A98,Dividende_je_Aktie!A$3:AM$103,10,FALSE)/VLOOKUP(A98,Ergebnis_je_Aktie_verwässert!A$3:AK$103,10,FALSE)&gt;=2,2,VLOOKUP(A98,Dividende_je_Aktie!A$3:AM$103,10,FALSE)/VLOOKUP(A98,Ergebnis_je_Aktie_verwässert!A$3:AK$103,10,FALSE))),""),"")</f>
        <v>#N/A</v>
      </c>
      <c r="K98" s="5" t="e">
        <f>IF(VLOOKUP(A98,Dividende_je_Aktie!A$3:AM$103,11,FALSE)&lt;&gt;"",IF(VLOOKUP(A98,Ergebnis_je_Aktie_verwässert!A$3:AK$103,11,FALSE)&lt;&gt;"",IF(VLOOKUP(A98,Ergebnis_je_Aktie_verwässert!A$3:AK$103,11,FALSE)&lt;=0,2,IF(VLOOKUP(A98,Dividende_je_Aktie!A$3:AM$103,11,FALSE)/VLOOKUP(A98,Ergebnis_je_Aktie_verwässert!A$3:AK$103,11,FALSE)&gt;=2,2,VLOOKUP(A98,Dividende_je_Aktie!A$3:AM$103,11,FALSE)/VLOOKUP(A98,Ergebnis_je_Aktie_verwässert!A$3:AK$103,11,FALSE))),""),"")</f>
        <v>#N/A</v>
      </c>
      <c r="L98" s="5" t="e">
        <f>IF(VLOOKUP(A98,Dividende_je_Aktie!A$3:AM$103,12,FALSE)&lt;&gt;"",IF(VLOOKUP(A98,Ergebnis_je_Aktie_verwässert!A$3:AK$103,12,FALSE)&lt;&gt;"",IF(VLOOKUP(A98,Ergebnis_je_Aktie_verwässert!A$3:AK$103,12,FALSE)&lt;=0,2,IF(VLOOKUP(A98,Dividende_je_Aktie!A$3:AM$103,12,FALSE)/VLOOKUP(A98,Ergebnis_je_Aktie_verwässert!A$3:AK$103,12,FALSE)&gt;=2,2,VLOOKUP(A98,Dividende_je_Aktie!A$3:AM$103,12,FALSE)/VLOOKUP(A98,Ergebnis_je_Aktie_verwässert!A$3:AK$103,12,FALSE))),""),"")</f>
        <v>#N/A</v>
      </c>
      <c r="M98" s="5" t="e">
        <f>IF(VLOOKUP(A98,Dividende_je_Aktie!A$3:AM$103,13,FALSE)&lt;&gt;"",IF(VLOOKUP(A98,Ergebnis_je_Aktie_verwässert!A$3:AK$103,13,FALSE)&lt;&gt;"",IF(VLOOKUP(A98,Ergebnis_je_Aktie_verwässert!A$3:AK$103,13,FALSE)&lt;=0,2,IF(VLOOKUP(A98,Dividende_je_Aktie!A$3:AM$103,13,FALSE)/VLOOKUP(A98,Ergebnis_je_Aktie_verwässert!A$3:AK$103,13,FALSE)&gt;=2,2,VLOOKUP(A98,Dividende_je_Aktie!A$3:AM$103,13,FALSE)/VLOOKUP(A98,Ergebnis_je_Aktie_verwässert!A$3:AK$103,13,FALSE))),""),"")</f>
        <v>#N/A</v>
      </c>
      <c r="N98" s="5" t="e">
        <f>IF(VLOOKUP(A98,Dividende_je_Aktie!A$3:AM$103,14,FALSE)&lt;&gt;"",IF(VLOOKUP(A98,Ergebnis_je_Aktie_verwässert!A$3:AK$103,14,FALSE)&lt;&gt;"",IF(VLOOKUP(A98,Ergebnis_je_Aktie_verwässert!A$3:AK$103,14,FALSE)&lt;=0,2,IF(VLOOKUP(A98,Dividende_je_Aktie!A$3:AM$103,14,FALSE)/VLOOKUP(A98,Ergebnis_je_Aktie_verwässert!A$3:AK$103,14,FALSE)&gt;=2,2,VLOOKUP(A98,Dividende_je_Aktie!A$3:AM$103,14,FALSE)/VLOOKUP(A98,Ergebnis_je_Aktie_verwässert!A$3:AK$103,14,FALSE))),""),"")</f>
        <v>#N/A</v>
      </c>
      <c r="O98" s="5" t="e">
        <f>IF(VLOOKUP(A98,Dividende_je_Aktie!A$3:AM$103,15,FALSE)&lt;&gt;"",IF(VLOOKUP(A98,Ergebnis_je_Aktie_verwässert!A$3:AK$103,15,FALSE)&lt;&gt;"",IF(VLOOKUP(A98,Ergebnis_je_Aktie_verwässert!A$3:AK$103,15,FALSE)&lt;=0,2,IF(VLOOKUP(A98,Dividende_je_Aktie!A$3:AM$103,15,FALSE)/VLOOKUP(A98,Ergebnis_je_Aktie_verwässert!A$3:AK$103,15,FALSE)&gt;=2,2,VLOOKUP(A98,Dividende_je_Aktie!A$3:AM$103,15,FALSE)/VLOOKUP(A98,Ergebnis_je_Aktie_verwässert!A$3:AK$103,15,FALSE))),""),"")</f>
        <v>#N/A</v>
      </c>
      <c r="P98" s="5" t="e">
        <f>IF(VLOOKUP(A98,Dividende_je_Aktie!A$3:AM$103,16,FALSE)&lt;&gt;"",IF(VLOOKUP(A98,Ergebnis_je_Aktie_verwässert!A$3:AK$103,16,FALSE)&lt;&gt;"",IF(VLOOKUP(A98,Ergebnis_je_Aktie_verwässert!A$3:AK$103,16,FALSE)&lt;=0,2,IF(VLOOKUP(A98,Dividende_je_Aktie!A$3:AM$103,16,FALSE)/VLOOKUP(A98,Ergebnis_je_Aktie_verwässert!A$3:AK$103,16,FALSE)&gt;=2,2,VLOOKUP(A98,Dividende_je_Aktie!A$3:AM$103,16,FALSE)/VLOOKUP(A98,Ergebnis_je_Aktie_verwässert!A$3:AK$103,16,FALSE))),""),"")</f>
        <v>#N/A</v>
      </c>
      <c r="Q98" s="5" t="e">
        <f>IF(VLOOKUP(A98,Dividende_je_Aktie!A$3:AM$103,17,FALSE)&lt;&gt;"",IF(VLOOKUP(A98,Ergebnis_je_Aktie_verwässert!A$3:AK$103,17,FALSE)&lt;&gt;"",IF(VLOOKUP(A98,Ergebnis_je_Aktie_verwässert!A$3:AK$103,17,FALSE)&lt;=0,2,IF(VLOOKUP(A98,Dividende_je_Aktie!A$3:AM$103,17,FALSE)/VLOOKUP(A98,Ergebnis_je_Aktie_verwässert!A$3:AK$103,17,FALSE)&gt;=2,2,VLOOKUP(A98,Dividende_je_Aktie!A$3:AM$103,17,FALSE)/VLOOKUP(A98,Ergebnis_je_Aktie_verwässert!A$3:AK$103,17,FALSE))),""),"")</f>
        <v>#N/A</v>
      </c>
      <c r="R98" s="5" t="e">
        <f>IF(VLOOKUP(A98,Dividende_je_Aktie!A$3:AM$103,18,FALSE)&lt;&gt;"",IF(VLOOKUP(A98,Ergebnis_je_Aktie_verwässert!A$3:AK$103,18,FALSE)&lt;&gt;"",IF(VLOOKUP(A98,Ergebnis_je_Aktie_verwässert!A$3:AK$103,18,FALSE)&lt;=0,2,IF(VLOOKUP(A98,Dividende_je_Aktie!A$3:AM$103,18,FALSE)/VLOOKUP(A98,Ergebnis_je_Aktie_verwässert!A$3:AK$103,18,FALSE)&gt;=2,2,VLOOKUP(A98,Dividende_je_Aktie!A$3:AM$103,18,FALSE)/VLOOKUP(A98,Ergebnis_je_Aktie_verwässert!A$3:AK$103,18,FALSE))),""),"")</f>
        <v>#N/A</v>
      </c>
      <c r="S98" s="10" t="e">
        <f t="shared" si="6"/>
        <v>#N/A</v>
      </c>
      <c r="T98" s="4">
        <f t="shared" ca="1" si="7"/>
        <v>41553</v>
      </c>
      <c r="U98" s="4">
        <f t="shared" ca="1" si="8"/>
        <v>-41193</v>
      </c>
      <c r="V98" s="4" t="e">
        <f t="shared" ca="1" si="9"/>
        <v>#NUM!</v>
      </c>
      <c r="W98" s="10" t="e">
        <f t="shared" ca="1" si="10"/>
        <v>#N/A</v>
      </c>
      <c r="X98" s="5" t="e">
        <f t="shared" ca="1" si="11"/>
        <v>#N/A</v>
      </c>
    </row>
    <row r="99" spans="3:24" x14ac:dyDescent="0.25">
      <c r="C99" s="56"/>
      <c r="D99" s="56"/>
      <c r="E99" s="56"/>
      <c r="F99" s="5" t="e">
        <f>IF(VLOOKUP(A99,Dividende_je_Aktie!A$3:AM$103,6,FALSE)&lt;&gt;"",IF(VLOOKUP(A99,Ergebnis_je_Aktie_verwässert!A$3:AK$103,6,FALSE)&lt;&gt;"",IF(VLOOKUP(A99,Ergebnis_je_Aktie_verwässert!A$3:AK$103,6,FALSE)&lt;=0,2,IF(VLOOKUP(A99,Dividende_je_Aktie!A$3:AM$103,6,FALSE)/VLOOKUP(A99,Ergebnis_je_Aktie_verwässert!A$3:AK$103,6,FALSE)&gt;=2,2,VLOOKUP(A99,Dividende_je_Aktie!A$3:AM$103,6,FALSE)/VLOOKUP(A99,Ergebnis_je_Aktie_verwässert!A$3:AK$103,6,FALSE))),""),"")</f>
        <v>#N/A</v>
      </c>
      <c r="G99" s="5" t="e">
        <f>IF(VLOOKUP(A99,Dividende_je_Aktie!A$3:AM$103,7,FALSE)&lt;&gt;"",IF(VLOOKUP(A99,Ergebnis_je_Aktie_verwässert!A$3:AK$103,7,FALSE)&lt;&gt;"",IF(VLOOKUP(A99,Ergebnis_je_Aktie_verwässert!A$3:AK$103,7,FALSE)&lt;=0,2,IF(VLOOKUP(A99,Dividende_je_Aktie!A$3:AM$103,7,FALSE)/VLOOKUP(A99,Ergebnis_je_Aktie_verwässert!A$3:AK$103,7,FALSE)&gt;=2,2,VLOOKUP(A99,Dividende_je_Aktie!A$3:AM$103,7,FALSE)/VLOOKUP(A99,Ergebnis_je_Aktie_verwässert!A$3:AK$103,7,FALSE))),""),"")</f>
        <v>#N/A</v>
      </c>
      <c r="H99" s="5" t="e">
        <f>IF(VLOOKUP(A99,Dividende_je_Aktie!A$3:AM$103,8,FALSE)&lt;&gt;"",IF(VLOOKUP(A99,Ergebnis_je_Aktie_verwässert!A$3:AK$103,8,FALSE)&lt;&gt;"",IF(VLOOKUP(A99,Ergebnis_je_Aktie_verwässert!A$3:AK$103,8,FALSE)&lt;=0,2,IF(VLOOKUP(A99,Dividende_je_Aktie!A$3:AM$103,8,FALSE)/VLOOKUP(A99,Ergebnis_je_Aktie_verwässert!A$3:AK$103,8,FALSE)&gt;=2,2,VLOOKUP(A99,Dividende_je_Aktie!A$3:AM$103,8,FALSE)/VLOOKUP(A99,Ergebnis_je_Aktie_verwässert!A$3:AK$103,8,FALSE))),""),"")</f>
        <v>#N/A</v>
      </c>
      <c r="I99" s="5" t="e">
        <f>IF(VLOOKUP(A99,Dividende_je_Aktie!A$3:AM$103,9,FALSE)&lt;&gt;"",IF(VLOOKUP(A99,Ergebnis_je_Aktie_verwässert!A$3:AK$103,9,FALSE)&lt;&gt;"",IF(VLOOKUP(A99,Ergebnis_je_Aktie_verwässert!A$3:AK$103,9,FALSE)&lt;=0,2,IF(VLOOKUP(A99,Dividende_je_Aktie!A$3:AM$103,9,FALSE)/VLOOKUP(A99,Ergebnis_je_Aktie_verwässert!A$3:AK$103,9,FALSE)&gt;=2,2,VLOOKUP(A99,Dividende_je_Aktie!A$3:AM$103,9,FALSE)/VLOOKUP(A99,Ergebnis_je_Aktie_verwässert!A$3:AK$103,9,FALSE))),""),"")</f>
        <v>#N/A</v>
      </c>
      <c r="J99" s="5" t="e">
        <f>IF(VLOOKUP(A99,Dividende_je_Aktie!A$3:AM$103,10,FALSE)&lt;&gt;"",IF(VLOOKUP(A99,Ergebnis_je_Aktie_verwässert!A$3:AK$103,10,FALSE)&lt;&gt;"",IF(VLOOKUP(A99,Ergebnis_je_Aktie_verwässert!A$3:AK$103,10,FALSE)&lt;=0,2,IF(VLOOKUP(A99,Dividende_je_Aktie!A$3:AM$103,10,FALSE)/VLOOKUP(A99,Ergebnis_je_Aktie_verwässert!A$3:AK$103,10,FALSE)&gt;=2,2,VLOOKUP(A99,Dividende_je_Aktie!A$3:AM$103,10,FALSE)/VLOOKUP(A99,Ergebnis_je_Aktie_verwässert!A$3:AK$103,10,FALSE))),""),"")</f>
        <v>#N/A</v>
      </c>
      <c r="K99" s="5" t="e">
        <f>IF(VLOOKUP(A99,Dividende_je_Aktie!A$3:AM$103,11,FALSE)&lt;&gt;"",IF(VLOOKUP(A99,Ergebnis_je_Aktie_verwässert!A$3:AK$103,11,FALSE)&lt;&gt;"",IF(VLOOKUP(A99,Ergebnis_je_Aktie_verwässert!A$3:AK$103,11,FALSE)&lt;=0,2,IF(VLOOKUP(A99,Dividende_je_Aktie!A$3:AM$103,11,FALSE)/VLOOKUP(A99,Ergebnis_je_Aktie_verwässert!A$3:AK$103,11,FALSE)&gt;=2,2,VLOOKUP(A99,Dividende_je_Aktie!A$3:AM$103,11,FALSE)/VLOOKUP(A99,Ergebnis_je_Aktie_verwässert!A$3:AK$103,11,FALSE))),""),"")</f>
        <v>#N/A</v>
      </c>
      <c r="L99" s="5" t="e">
        <f>IF(VLOOKUP(A99,Dividende_je_Aktie!A$3:AM$103,12,FALSE)&lt;&gt;"",IF(VLOOKUP(A99,Ergebnis_je_Aktie_verwässert!A$3:AK$103,12,FALSE)&lt;&gt;"",IF(VLOOKUP(A99,Ergebnis_je_Aktie_verwässert!A$3:AK$103,12,FALSE)&lt;=0,2,IF(VLOOKUP(A99,Dividende_je_Aktie!A$3:AM$103,12,FALSE)/VLOOKUP(A99,Ergebnis_je_Aktie_verwässert!A$3:AK$103,12,FALSE)&gt;=2,2,VLOOKUP(A99,Dividende_je_Aktie!A$3:AM$103,12,FALSE)/VLOOKUP(A99,Ergebnis_je_Aktie_verwässert!A$3:AK$103,12,FALSE))),""),"")</f>
        <v>#N/A</v>
      </c>
      <c r="M99" s="5" t="e">
        <f>IF(VLOOKUP(A99,Dividende_je_Aktie!A$3:AM$103,13,FALSE)&lt;&gt;"",IF(VLOOKUP(A99,Ergebnis_je_Aktie_verwässert!A$3:AK$103,13,FALSE)&lt;&gt;"",IF(VLOOKUP(A99,Ergebnis_je_Aktie_verwässert!A$3:AK$103,13,FALSE)&lt;=0,2,IF(VLOOKUP(A99,Dividende_je_Aktie!A$3:AM$103,13,FALSE)/VLOOKUP(A99,Ergebnis_je_Aktie_verwässert!A$3:AK$103,13,FALSE)&gt;=2,2,VLOOKUP(A99,Dividende_je_Aktie!A$3:AM$103,13,FALSE)/VLOOKUP(A99,Ergebnis_je_Aktie_verwässert!A$3:AK$103,13,FALSE))),""),"")</f>
        <v>#N/A</v>
      </c>
      <c r="N99" s="5" t="e">
        <f>IF(VLOOKUP(A99,Dividende_je_Aktie!A$3:AM$103,14,FALSE)&lt;&gt;"",IF(VLOOKUP(A99,Ergebnis_je_Aktie_verwässert!A$3:AK$103,14,FALSE)&lt;&gt;"",IF(VLOOKUP(A99,Ergebnis_je_Aktie_verwässert!A$3:AK$103,14,FALSE)&lt;=0,2,IF(VLOOKUP(A99,Dividende_je_Aktie!A$3:AM$103,14,FALSE)/VLOOKUP(A99,Ergebnis_je_Aktie_verwässert!A$3:AK$103,14,FALSE)&gt;=2,2,VLOOKUP(A99,Dividende_je_Aktie!A$3:AM$103,14,FALSE)/VLOOKUP(A99,Ergebnis_je_Aktie_verwässert!A$3:AK$103,14,FALSE))),""),"")</f>
        <v>#N/A</v>
      </c>
      <c r="O99" s="5" t="e">
        <f>IF(VLOOKUP(A99,Dividende_je_Aktie!A$3:AM$103,15,FALSE)&lt;&gt;"",IF(VLOOKUP(A99,Ergebnis_je_Aktie_verwässert!A$3:AK$103,15,FALSE)&lt;&gt;"",IF(VLOOKUP(A99,Ergebnis_je_Aktie_verwässert!A$3:AK$103,15,FALSE)&lt;=0,2,IF(VLOOKUP(A99,Dividende_je_Aktie!A$3:AM$103,15,FALSE)/VLOOKUP(A99,Ergebnis_je_Aktie_verwässert!A$3:AK$103,15,FALSE)&gt;=2,2,VLOOKUP(A99,Dividende_je_Aktie!A$3:AM$103,15,FALSE)/VLOOKUP(A99,Ergebnis_je_Aktie_verwässert!A$3:AK$103,15,FALSE))),""),"")</f>
        <v>#N/A</v>
      </c>
      <c r="P99" s="5" t="e">
        <f>IF(VLOOKUP(A99,Dividende_je_Aktie!A$3:AM$103,16,FALSE)&lt;&gt;"",IF(VLOOKUP(A99,Ergebnis_je_Aktie_verwässert!A$3:AK$103,16,FALSE)&lt;&gt;"",IF(VLOOKUP(A99,Ergebnis_je_Aktie_verwässert!A$3:AK$103,16,FALSE)&lt;=0,2,IF(VLOOKUP(A99,Dividende_je_Aktie!A$3:AM$103,16,FALSE)/VLOOKUP(A99,Ergebnis_je_Aktie_verwässert!A$3:AK$103,16,FALSE)&gt;=2,2,VLOOKUP(A99,Dividende_je_Aktie!A$3:AM$103,16,FALSE)/VLOOKUP(A99,Ergebnis_je_Aktie_verwässert!A$3:AK$103,16,FALSE))),""),"")</f>
        <v>#N/A</v>
      </c>
      <c r="Q99" s="5" t="e">
        <f>IF(VLOOKUP(A99,Dividende_je_Aktie!A$3:AM$103,17,FALSE)&lt;&gt;"",IF(VLOOKUP(A99,Ergebnis_je_Aktie_verwässert!A$3:AK$103,17,FALSE)&lt;&gt;"",IF(VLOOKUP(A99,Ergebnis_je_Aktie_verwässert!A$3:AK$103,17,FALSE)&lt;=0,2,IF(VLOOKUP(A99,Dividende_je_Aktie!A$3:AM$103,17,FALSE)/VLOOKUP(A99,Ergebnis_je_Aktie_verwässert!A$3:AK$103,17,FALSE)&gt;=2,2,VLOOKUP(A99,Dividende_je_Aktie!A$3:AM$103,17,FALSE)/VLOOKUP(A99,Ergebnis_je_Aktie_verwässert!A$3:AK$103,17,FALSE))),""),"")</f>
        <v>#N/A</v>
      </c>
      <c r="R99" s="5" t="e">
        <f>IF(VLOOKUP(A99,Dividende_je_Aktie!A$3:AM$103,18,FALSE)&lt;&gt;"",IF(VLOOKUP(A99,Ergebnis_je_Aktie_verwässert!A$3:AK$103,18,FALSE)&lt;&gt;"",IF(VLOOKUP(A99,Ergebnis_je_Aktie_verwässert!A$3:AK$103,18,FALSE)&lt;=0,2,IF(VLOOKUP(A99,Dividende_je_Aktie!A$3:AM$103,18,FALSE)/VLOOKUP(A99,Ergebnis_je_Aktie_verwässert!A$3:AK$103,18,FALSE)&gt;=2,2,VLOOKUP(A99,Dividende_je_Aktie!A$3:AM$103,18,FALSE)/VLOOKUP(A99,Ergebnis_je_Aktie_verwässert!A$3:AK$103,18,FALSE))),""),"")</f>
        <v>#N/A</v>
      </c>
      <c r="S99" s="10" t="e">
        <f t="shared" si="6"/>
        <v>#N/A</v>
      </c>
      <c r="T99" s="4">
        <f t="shared" ca="1" si="7"/>
        <v>41553</v>
      </c>
      <c r="U99" s="4">
        <f t="shared" ca="1" si="8"/>
        <v>-41193</v>
      </c>
      <c r="V99" s="4" t="e">
        <f t="shared" ca="1" si="9"/>
        <v>#NUM!</v>
      </c>
      <c r="W99" s="10" t="e">
        <f t="shared" ca="1" si="10"/>
        <v>#N/A</v>
      </c>
      <c r="X99" s="5" t="e">
        <f t="shared" ca="1" si="11"/>
        <v>#N/A</v>
      </c>
    </row>
    <row r="100" spans="3:24" x14ac:dyDescent="0.25">
      <c r="C100" s="56"/>
      <c r="D100" s="56"/>
      <c r="E100" s="56"/>
      <c r="F100" s="5" t="e">
        <f>IF(VLOOKUP(A100,Dividende_je_Aktie!A$3:AM$103,6,FALSE)&lt;&gt;"",IF(VLOOKUP(A100,Ergebnis_je_Aktie_verwässert!A$3:AK$103,6,FALSE)&lt;&gt;"",IF(VLOOKUP(A100,Ergebnis_je_Aktie_verwässert!A$3:AK$103,6,FALSE)&lt;=0,2,IF(VLOOKUP(A100,Dividende_je_Aktie!A$3:AM$103,6,FALSE)/VLOOKUP(A100,Ergebnis_je_Aktie_verwässert!A$3:AK$103,6,FALSE)&gt;=2,2,VLOOKUP(A100,Dividende_je_Aktie!A$3:AM$103,6,FALSE)/VLOOKUP(A100,Ergebnis_je_Aktie_verwässert!A$3:AK$103,6,FALSE))),""),"")</f>
        <v>#N/A</v>
      </c>
      <c r="G100" s="5" t="e">
        <f>IF(VLOOKUP(A100,Dividende_je_Aktie!A$3:AM$103,7,FALSE)&lt;&gt;"",IF(VLOOKUP(A100,Ergebnis_je_Aktie_verwässert!A$3:AK$103,7,FALSE)&lt;&gt;"",IF(VLOOKUP(A100,Ergebnis_je_Aktie_verwässert!A$3:AK$103,7,FALSE)&lt;=0,2,IF(VLOOKUP(A100,Dividende_je_Aktie!A$3:AM$103,7,FALSE)/VLOOKUP(A100,Ergebnis_je_Aktie_verwässert!A$3:AK$103,7,FALSE)&gt;=2,2,VLOOKUP(A100,Dividende_je_Aktie!A$3:AM$103,7,FALSE)/VLOOKUP(A100,Ergebnis_je_Aktie_verwässert!A$3:AK$103,7,FALSE))),""),"")</f>
        <v>#N/A</v>
      </c>
      <c r="H100" s="5" t="e">
        <f>IF(VLOOKUP(A100,Dividende_je_Aktie!A$3:AM$103,8,FALSE)&lt;&gt;"",IF(VLOOKUP(A100,Ergebnis_je_Aktie_verwässert!A$3:AK$103,8,FALSE)&lt;&gt;"",IF(VLOOKUP(A100,Ergebnis_je_Aktie_verwässert!A$3:AK$103,8,FALSE)&lt;=0,2,IF(VLOOKUP(A100,Dividende_je_Aktie!A$3:AM$103,8,FALSE)/VLOOKUP(A100,Ergebnis_je_Aktie_verwässert!A$3:AK$103,8,FALSE)&gt;=2,2,VLOOKUP(A100,Dividende_je_Aktie!A$3:AM$103,8,FALSE)/VLOOKUP(A100,Ergebnis_je_Aktie_verwässert!A$3:AK$103,8,FALSE))),""),"")</f>
        <v>#N/A</v>
      </c>
      <c r="I100" s="5" t="e">
        <f>IF(VLOOKUP(A100,Dividende_je_Aktie!A$3:AM$103,9,FALSE)&lt;&gt;"",IF(VLOOKUP(A100,Ergebnis_je_Aktie_verwässert!A$3:AK$103,9,FALSE)&lt;&gt;"",IF(VLOOKUP(A100,Ergebnis_je_Aktie_verwässert!A$3:AK$103,9,FALSE)&lt;=0,2,IF(VLOOKUP(A100,Dividende_je_Aktie!A$3:AM$103,9,FALSE)/VLOOKUP(A100,Ergebnis_je_Aktie_verwässert!A$3:AK$103,9,FALSE)&gt;=2,2,VLOOKUP(A100,Dividende_je_Aktie!A$3:AM$103,9,FALSE)/VLOOKUP(A100,Ergebnis_je_Aktie_verwässert!A$3:AK$103,9,FALSE))),""),"")</f>
        <v>#N/A</v>
      </c>
      <c r="J100" s="5" t="e">
        <f>IF(VLOOKUP(A100,Dividende_je_Aktie!A$3:AM$103,10,FALSE)&lt;&gt;"",IF(VLOOKUP(A100,Ergebnis_je_Aktie_verwässert!A$3:AK$103,10,FALSE)&lt;&gt;"",IF(VLOOKUP(A100,Ergebnis_je_Aktie_verwässert!A$3:AK$103,10,FALSE)&lt;=0,2,IF(VLOOKUP(A100,Dividende_je_Aktie!A$3:AM$103,10,FALSE)/VLOOKUP(A100,Ergebnis_je_Aktie_verwässert!A$3:AK$103,10,FALSE)&gt;=2,2,VLOOKUP(A100,Dividende_je_Aktie!A$3:AM$103,10,FALSE)/VLOOKUP(A100,Ergebnis_je_Aktie_verwässert!A$3:AK$103,10,FALSE))),""),"")</f>
        <v>#N/A</v>
      </c>
      <c r="K100" s="5" t="e">
        <f>IF(VLOOKUP(A100,Dividende_je_Aktie!A$3:AM$103,11,FALSE)&lt;&gt;"",IF(VLOOKUP(A100,Ergebnis_je_Aktie_verwässert!A$3:AK$103,11,FALSE)&lt;&gt;"",IF(VLOOKUP(A100,Ergebnis_je_Aktie_verwässert!A$3:AK$103,11,FALSE)&lt;=0,2,IF(VLOOKUP(A100,Dividende_je_Aktie!A$3:AM$103,11,FALSE)/VLOOKUP(A100,Ergebnis_je_Aktie_verwässert!A$3:AK$103,11,FALSE)&gt;=2,2,VLOOKUP(A100,Dividende_je_Aktie!A$3:AM$103,11,FALSE)/VLOOKUP(A100,Ergebnis_je_Aktie_verwässert!A$3:AK$103,11,FALSE))),""),"")</f>
        <v>#N/A</v>
      </c>
      <c r="L100" s="5" t="e">
        <f>IF(VLOOKUP(A100,Dividende_je_Aktie!A$3:AM$103,12,FALSE)&lt;&gt;"",IF(VLOOKUP(A100,Ergebnis_je_Aktie_verwässert!A$3:AK$103,12,FALSE)&lt;&gt;"",IF(VLOOKUP(A100,Ergebnis_je_Aktie_verwässert!A$3:AK$103,12,FALSE)&lt;=0,2,IF(VLOOKUP(A100,Dividende_je_Aktie!A$3:AM$103,12,FALSE)/VLOOKUP(A100,Ergebnis_je_Aktie_verwässert!A$3:AK$103,12,FALSE)&gt;=2,2,VLOOKUP(A100,Dividende_je_Aktie!A$3:AM$103,12,FALSE)/VLOOKUP(A100,Ergebnis_je_Aktie_verwässert!A$3:AK$103,12,FALSE))),""),"")</f>
        <v>#N/A</v>
      </c>
      <c r="M100" s="5" t="e">
        <f>IF(VLOOKUP(A100,Dividende_je_Aktie!A$3:AM$103,13,FALSE)&lt;&gt;"",IF(VLOOKUP(A100,Ergebnis_je_Aktie_verwässert!A$3:AK$103,13,FALSE)&lt;&gt;"",IF(VLOOKUP(A100,Ergebnis_je_Aktie_verwässert!A$3:AK$103,13,FALSE)&lt;=0,2,IF(VLOOKUP(A100,Dividende_je_Aktie!A$3:AM$103,13,FALSE)/VLOOKUP(A100,Ergebnis_je_Aktie_verwässert!A$3:AK$103,13,FALSE)&gt;=2,2,VLOOKUP(A100,Dividende_je_Aktie!A$3:AM$103,13,FALSE)/VLOOKUP(A100,Ergebnis_je_Aktie_verwässert!A$3:AK$103,13,FALSE))),""),"")</f>
        <v>#N/A</v>
      </c>
      <c r="N100" s="5" t="e">
        <f>IF(VLOOKUP(A100,Dividende_je_Aktie!A$3:AM$103,14,FALSE)&lt;&gt;"",IF(VLOOKUP(A100,Ergebnis_je_Aktie_verwässert!A$3:AK$103,14,FALSE)&lt;&gt;"",IF(VLOOKUP(A100,Ergebnis_je_Aktie_verwässert!A$3:AK$103,14,FALSE)&lt;=0,2,IF(VLOOKUP(A100,Dividende_je_Aktie!A$3:AM$103,14,FALSE)/VLOOKUP(A100,Ergebnis_je_Aktie_verwässert!A$3:AK$103,14,FALSE)&gt;=2,2,VLOOKUP(A100,Dividende_je_Aktie!A$3:AM$103,14,FALSE)/VLOOKUP(A100,Ergebnis_je_Aktie_verwässert!A$3:AK$103,14,FALSE))),""),"")</f>
        <v>#N/A</v>
      </c>
      <c r="O100" s="5" t="e">
        <f>IF(VLOOKUP(A100,Dividende_je_Aktie!A$3:AM$103,15,FALSE)&lt;&gt;"",IF(VLOOKUP(A100,Ergebnis_je_Aktie_verwässert!A$3:AK$103,15,FALSE)&lt;&gt;"",IF(VLOOKUP(A100,Ergebnis_je_Aktie_verwässert!A$3:AK$103,15,FALSE)&lt;=0,2,IF(VLOOKUP(A100,Dividende_je_Aktie!A$3:AM$103,15,FALSE)/VLOOKUP(A100,Ergebnis_je_Aktie_verwässert!A$3:AK$103,15,FALSE)&gt;=2,2,VLOOKUP(A100,Dividende_je_Aktie!A$3:AM$103,15,FALSE)/VLOOKUP(A100,Ergebnis_je_Aktie_verwässert!A$3:AK$103,15,FALSE))),""),"")</f>
        <v>#N/A</v>
      </c>
      <c r="P100" s="5" t="e">
        <f>IF(VLOOKUP(A100,Dividende_je_Aktie!A$3:AM$103,16,FALSE)&lt;&gt;"",IF(VLOOKUP(A100,Ergebnis_je_Aktie_verwässert!A$3:AK$103,16,FALSE)&lt;&gt;"",IF(VLOOKUP(A100,Ergebnis_je_Aktie_verwässert!A$3:AK$103,16,FALSE)&lt;=0,2,IF(VLOOKUP(A100,Dividende_je_Aktie!A$3:AM$103,16,FALSE)/VLOOKUP(A100,Ergebnis_je_Aktie_verwässert!A$3:AK$103,16,FALSE)&gt;=2,2,VLOOKUP(A100,Dividende_je_Aktie!A$3:AM$103,16,FALSE)/VLOOKUP(A100,Ergebnis_je_Aktie_verwässert!A$3:AK$103,16,FALSE))),""),"")</f>
        <v>#N/A</v>
      </c>
      <c r="Q100" s="5" t="e">
        <f>IF(VLOOKUP(A100,Dividende_je_Aktie!A$3:AM$103,17,FALSE)&lt;&gt;"",IF(VLOOKUP(A100,Ergebnis_je_Aktie_verwässert!A$3:AK$103,17,FALSE)&lt;&gt;"",IF(VLOOKUP(A100,Ergebnis_je_Aktie_verwässert!A$3:AK$103,17,FALSE)&lt;=0,2,IF(VLOOKUP(A100,Dividende_je_Aktie!A$3:AM$103,17,FALSE)/VLOOKUP(A100,Ergebnis_je_Aktie_verwässert!A$3:AK$103,17,FALSE)&gt;=2,2,VLOOKUP(A100,Dividende_je_Aktie!A$3:AM$103,17,FALSE)/VLOOKUP(A100,Ergebnis_je_Aktie_verwässert!A$3:AK$103,17,FALSE))),""),"")</f>
        <v>#N/A</v>
      </c>
      <c r="R100" s="5" t="e">
        <f>IF(VLOOKUP(A100,Dividende_je_Aktie!A$3:AM$103,18,FALSE)&lt;&gt;"",IF(VLOOKUP(A100,Ergebnis_je_Aktie_verwässert!A$3:AK$103,18,FALSE)&lt;&gt;"",IF(VLOOKUP(A100,Ergebnis_je_Aktie_verwässert!A$3:AK$103,18,FALSE)&lt;=0,2,IF(VLOOKUP(A100,Dividende_je_Aktie!A$3:AM$103,18,FALSE)/VLOOKUP(A100,Ergebnis_je_Aktie_verwässert!A$3:AK$103,18,FALSE)&gt;=2,2,VLOOKUP(A100,Dividende_je_Aktie!A$3:AM$103,18,FALSE)/VLOOKUP(A100,Ergebnis_je_Aktie_verwässert!A$3:AK$103,18,FALSE))),""),"")</f>
        <v>#N/A</v>
      </c>
      <c r="S100" s="10" t="e">
        <f t="shared" si="6"/>
        <v>#N/A</v>
      </c>
      <c r="T100" s="4">
        <f t="shared" ca="1" si="7"/>
        <v>41553</v>
      </c>
      <c r="U100" s="4">
        <f t="shared" ca="1" si="8"/>
        <v>-41193</v>
      </c>
      <c r="V100" s="4" t="e">
        <f t="shared" ca="1" si="9"/>
        <v>#NUM!</v>
      </c>
      <c r="W100" s="10" t="e">
        <f t="shared" ca="1" si="10"/>
        <v>#N/A</v>
      </c>
      <c r="X100" s="5" t="e">
        <f t="shared" ca="1" si="11"/>
        <v>#N/A</v>
      </c>
    </row>
    <row r="101" spans="3:24" x14ac:dyDescent="0.25">
      <c r="C101" s="56"/>
      <c r="D101" s="56"/>
      <c r="E101" s="56"/>
      <c r="F101" s="5" t="e">
        <f>IF(VLOOKUP(A101,Dividende_je_Aktie!A$3:AM$103,6,FALSE)&lt;&gt;"",IF(VLOOKUP(A101,Ergebnis_je_Aktie_verwässert!A$3:AK$103,6,FALSE)&lt;&gt;"",IF(VLOOKUP(A101,Ergebnis_je_Aktie_verwässert!A$3:AK$103,6,FALSE)&lt;=0,2,IF(VLOOKUP(A101,Dividende_je_Aktie!A$3:AM$103,6,FALSE)/VLOOKUP(A101,Ergebnis_je_Aktie_verwässert!A$3:AK$103,6,FALSE)&gt;=2,2,VLOOKUP(A101,Dividende_je_Aktie!A$3:AM$103,6,FALSE)/VLOOKUP(A101,Ergebnis_je_Aktie_verwässert!A$3:AK$103,6,FALSE))),""),"")</f>
        <v>#N/A</v>
      </c>
      <c r="G101" s="5" t="e">
        <f>IF(VLOOKUP(A101,Dividende_je_Aktie!A$3:AM$103,7,FALSE)&lt;&gt;"",IF(VLOOKUP(A101,Ergebnis_je_Aktie_verwässert!A$3:AK$103,7,FALSE)&lt;&gt;"",IF(VLOOKUP(A101,Ergebnis_je_Aktie_verwässert!A$3:AK$103,7,FALSE)&lt;=0,2,IF(VLOOKUP(A101,Dividende_je_Aktie!A$3:AM$103,7,FALSE)/VLOOKUP(A101,Ergebnis_je_Aktie_verwässert!A$3:AK$103,7,FALSE)&gt;=2,2,VLOOKUP(A101,Dividende_je_Aktie!A$3:AM$103,7,FALSE)/VLOOKUP(A101,Ergebnis_je_Aktie_verwässert!A$3:AK$103,7,FALSE))),""),"")</f>
        <v>#N/A</v>
      </c>
      <c r="H101" s="5" t="e">
        <f>IF(VLOOKUP(A101,Dividende_je_Aktie!A$3:AM$103,8,FALSE)&lt;&gt;"",IF(VLOOKUP(A101,Ergebnis_je_Aktie_verwässert!A$3:AK$103,8,FALSE)&lt;&gt;"",IF(VLOOKUP(A101,Ergebnis_je_Aktie_verwässert!A$3:AK$103,8,FALSE)&lt;=0,2,IF(VLOOKUP(A101,Dividende_je_Aktie!A$3:AM$103,8,FALSE)/VLOOKUP(A101,Ergebnis_je_Aktie_verwässert!A$3:AK$103,8,FALSE)&gt;=2,2,VLOOKUP(A101,Dividende_je_Aktie!A$3:AM$103,8,FALSE)/VLOOKUP(A101,Ergebnis_je_Aktie_verwässert!A$3:AK$103,8,FALSE))),""),"")</f>
        <v>#N/A</v>
      </c>
      <c r="I101" s="5" t="e">
        <f>IF(VLOOKUP(A101,Dividende_je_Aktie!A$3:AM$103,9,FALSE)&lt;&gt;"",IF(VLOOKUP(A101,Ergebnis_je_Aktie_verwässert!A$3:AK$103,9,FALSE)&lt;&gt;"",IF(VLOOKUP(A101,Ergebnis_je_Aktie_verwässert!A$3:AK$103,9,FALSE)&lt;=0,2,IF(VLOOKUP(A101,Dividende_je_Aktie!A$3:AM$103,9,FALSE)/VLOOKUP(A101,Ergebnis_je_Aktie_verwässert!A$3:AK$103,9,FALSE)&gt;=2,2,VLOOKUP(A101,Dividende_je_Aktie!A$3:AM$103,9,FALSE)/VLOOKUP(A101,Ergebnis_je_Aktie_verwässert!A$3:AK$103,9,FALSE))),""),"")</f>
        <v>#N/A</v>
      </c>
      <c r="J101" s="5" t="e">
        <f>IF(VLOOKUP(A101,Dividende_je_Aktie!A$3:AM$103,10,FALSE)&lt;&gt;"",IF(VLOOKUP(A101,Ergebnis_je_Aktie_verwässert!A$3:AK$103,10,FALSE)&lt;&gt;"",IF(VLOOKUP(A101,Ergebnis_je_Aktie_verwässert!A$3:AK$103,10,FALSE)&lt;=0,2,IF(VLOOKUP(A101,Dividende_je_Aktie!A$3:AM$103,10,FALSE)/VLOOKUP(A101,Ergebnis_je_Aktie_verwässert!A$3:AK$103,10,FALSE)&gt;=2,2,VLOOKUP(A101,Dividende_je_Aktie!A$3:AM$103,10,FALSE)/VLOOKUP(A101,Ergebnis_je_Aktie_verwässert!A$3:AK$103,10,FALSE))),""),"")</f>
        <v>#N/A</v>
      </c>
      <c r="K101" s="5" t="e">
        <f>IF(VLOOKUP(A101,Dividende_je_Aktie!A$3:AM$103,11,FALSE)&lt;&gt;"",IF(VLOOKUP(A101,Ergebnis_je_Aktie_verwässert!A$3:AK$103,11,FALSE)&lt;&gt;"",IF(VLOOKUP(A101,Ergebnis_je_Aktie_verwässert!A$3:AK$103,11,FALSE)&lt;=0,2,IF(VLOOKUP(A101,Dividende_je_Aktie!A$3:AM$103,11,FALSE)/VLOOKUP(A101,Ergebnis_je_Aktie_verwässert!A$3:AK$103,11,FALSE)&gt;=2,2,VLOOKUP(A101,Dividende_je_Aktie!A$3:AM$103,11,FALSE)/VLOOKUP(A101,Ergebnis_je_Aktie_verwässert!A$3:AK$103,11,FALSE))),""),"")</f>
        <v>#N/A</v>
      </c>
      <c r="L101" s="5" t="e">
        <f>IF(VLOOKUP(A101,Dividende_je_Aktie!A$3:AM$103,12,FALSE)&lt;&gt;"",IF(VLOOKUP(A101,Ergebnis_je_Aktie_verwässert!A$3:AK$103,12,FALSE)&lt;&gt;"",IF(VLOOKUP(A101,Ergebnis_je_Aktie_verwässert!A$3:AK$103,12,FALSE)&lt;=0,2,IF(VLOOKUP(A101,Dividende_je_Aktie!A$3:AM$103,12,FALSE)/VLOOKUP(A101,Ergebnis_je_Aktie_verwässert!A$3:AK$103,12,FALSE)&gt;=2,2,VLOOKUP(A101,Dividende_je_Aktie!A$3:AM$103,12,FALSE)/VLOOKUP(A101,Ergebnis_je_Aktie_verwässert!A$3:AK$103,12,FALSE))),""),"")</f>
        <v>#N/A</v>
      </c>
      <c r="M101" s="5" t="e">
        <f>IF(VLOOKUP(A101,Dividende_je_Aktie!A$3:AM$103,13,FALSE)&lt;&gt;"",IF(VLOOKUP(A101,Ergebnis_je_Aktie_verwässert!A$3:AK$103,13,FALSE)&lt;&gt;"",IF(VLOOKUP(A101,Ergebnis_je_Aktie_verwässert!A$3:AK$103,13,FALSE)&lt;=0,2,IF(VLOOKUP(A101,Dividende_je_Aktie!A$3:AM$103,13,FALSE)/VLOOKUP(A101,Ergebnis_je_Aktie_verwässert!A$3:AK$103,13,FALSE)&gt;=2,2,VLOOKUP(A101,Dividende_je_Aktie!A$3:AM$103,13,FALSE)/VLOOKUP(A101,Ergebnis_je_Aktie_verwässert!A$3:AK$103,13,FALSE))),""),"")</f>
        <v>#N/A</v>
      </c>
      <c r="N101" s="5" t="e">
        <f>IF(VLOOKUP(A101,Dividende_je_Aktie!A$3:AM$103,14,FALSE)&lt;&gt;"",IF(VLOOKUP(A101,Ergebnis_je_Aktie_verwässert!A$3:AK$103,14,FALSE)&lt;&gt;"",IF(VLOOKUP(A101,Ergebnis_je_Aktie_verwässert!A$3:AK$103,14,FALSE)&lt;=0,2,IF(VLOOKUP(A101,Dividende_je_Aktie!A$3:AM$103,14,FALSE)/VLOOKUP(A101,Ergebnis_je_Aktie_verwässert!A$3:AK$103,14,FALSE)&gt;=2,2,VLOOKUP(A101,Dividende_je_Aktie!A$3:AM$103,14,FALSE)/VLOOKUP(A101,Ergebnis_je_Aktie_verwässert!A$3:AK$103,14,FALSE))),""),"")</f>
        <v>#N/A</v>
      </c>
      <c r="O101" s="5" t="e">
        <f>IF(VLOOKUP(A101,Dividende_je_Aktie!A$3:AM$103,15,FALSE)&lt;&gt;"",IF(VLOOKUP(A101,Ergebnis_je_Aktie_verwässert!A$3:AK$103,15,FALSE)&lt;&gt;"",IF(VLOOKUP(A101,Ergebnis_je_Aktie_verwässert!A$3:AK$103,15,FALSE)&lt;=0,2,IF(VLOOKUP(A101,Dividende_je_Aktie!A$3:AM$103,15,FALSE)/VLOOKUP(A101,Ergebnis_je_Aktie_verwässert!A$3:AK$103,15,FALSE)&gt;=2,2,VLOOKUP(A101,Dividende_je_Aktie!A$3:AM$103,15,FALSE)/VLOOKUP(A101,Ergebnis_je_Aktie_verwässert!A$3:AK$103,15,FALSE))),""),"")</f>
        <v>#N/A</v>
      </c>
      <c r="P101" s="5" t="e">
        <f>IF(VLOOKUP(A101,Dividende_je_Aktie!A$3:AM$103,16,FALSE)&lt;&gt;"",IF(VLOOKUP(A101,Ergebnis_je_Aktie_verwässert!A$3:AK$103,16,FALSE)&lt;&gt;"",IF(VLOOKUP(A101,Ergebnis_je_Aktie_verwässert!A$3:AK$103,16,FALSE)&lt;=0,2,IF(VLOOKUP(A101,Dividende_je_Aktie!A$3:AM$103,16,FALSE)/VLOOKUP(A101,Ergebnis_je_Aktie_verwässert!A$3:AK$103,16,FALSE)&gt;=2,2,VLOOKUP(A101,Dividende_je_Aktie!A$3:AM$103,16,FALSE)/VLOOKUP(A101,Ergebnis_je_Aktie_verwässert!A$3:AK$103,16,FALSE))),""),"")</f>
        <v>#N/A</v>
      </c>
      <c r="Q101" s="5" t="e">
        <f>IF(VLOOKUP(A101,Dividende_je_Aktie!A$3:AM$103,17,FALSE)&lt;&gt;"",IF(VLOOKUP(A101,Ergebnis_je_Aktie_verwässert!A$3:AK$103,17,FALSE)&lt;&gt;"",IF(VLOOKUP(A101,Ergebnis_je_Aktie_verwässert!A$3:AK$103,17,FALSE)&lt;=0,2,IF(VLOOKUP(A101,Dividende_je_Aktie!A$3:AM$103,17,FALSE)/VLOOKUP(A101,Ergebnis_je_Aktie_verwässert!A$3:AK$103,17,FALSE)&gt;=2,2,VLOOKUP(A101,Dividende_je_Aktie!A$3:AM$103,17,FALSE)/VLOOKUP(A101,Ergebnis_je_Aktie_verwässert!A$3:AK$103,17,FALSE))),""),"")</f>
        <v>#N/A</v>
      </c>
      <c r="R101" s="5" t="e">
        <f>IF(VLOOKUP(A101,Dividende_je_Aktie!A$3:AM$103,18,FALSE)&lt;&gt;"",IF(VLOOKUP(A101,Ergebnis_je_Aktie_verwässert!A$3:AK$103,18,FALSE)&lt;&gt;"",IF(VLOOKUP(A101,Ergebnis_je_Aktie_verwässert!A$3:AK$103,18,FALSE)&lt;=0,2,IF(VLOOKUP(A101,Dividende_je_Aktie!A$3:AM$103,18,FALSE)/VLOOKUP(A101,Ergebnis_je_Aktie_verwässert!A$3:AK$103,18,FALSE)&gt;=2,2,VLOOKUP(A101,Dividende_je_Aktie!A$3:AM$103,18,FALSE)/VLOOKUP(A101,Ergebnis_je_Aktie_verwässert!A$3:AK$103,18,FALSE))),""),"")</f>
        <v>#N/A</v>
      </c>
      <c r="S101" s="10" t="e">
        <f t="shared" si="6"/>
        <v>#N/A</v>
      </c>
      <c r="T101" s="4">
        <f t="shared" ca="1" si="7"/>
        <v>41553</v>
      </c>
      <c r="U101" s="4">
        <f t="shared" ca="1" si="8"/>
        <v>-41193</v>
      </c>
      <c r="V101" s="4" t="e">
        <f t="shared" ca="1" si="9"/>
        <v>#NUM!</v>
      </c>
      <c r="W101" s="10" t="e">
        <f t="shared" ca="1" si="10"/>
        <v>#N/A</v>
      </c>
      <c r="X101" s="5" t="e">
        <f t="shared" ca="1" si="11"/>
        <v>#N/A</v>
      </c>
    </row>
    <row r="102" spans="3:24" x14ac:dyDescent="0.25">
      <c r="C102" s="56"/>
      <c r="D102" s="56"/>
      <c r="E102" s="56"/>
      <c r="F102" s="5" t="e">
        <f>IF(VLOOKUP(A102,Dividende_je_Aktie!A$3:AM$103,6,FALSE)&lt;&gt;"",IF(VLOOKUP(A102,Ergebnis_je_Aktie_verwässert!A$3:AK$103,6,FALSE)&lt;&gt;"",IF(VLOOKUP(A102,Ergebnis_je_Aktie_verwässert!A$3:AK$103,6,FALSE)&lt;=0,2,IF(VLOOKUP(A102,Dividende_je_Aktie!A$3:AM$103,6,FALSE)/VLOOKUP(A102,Ergebnis_je_Aktie_verwässert!A$3:AK$103,6,FALSE)&gt;=2,2,VLOOKUP(A102,Dividende_je_Aktie!A$3:AM$103,6,FALSE)/VLOOKUP(A102,Ergebnis_je_Aktie_verwässert!A$3:AK$103,6,FALSE))),""),"")</f>
        <v>#N/A</v>
      </c>
      <c r="G102" s="5" t="e">
        <f>IF(VLOOKUP(A102,Dividende_je_Aktie!A$3:AM$103,7,FALSE)&lt;&gt;"",IF(VLOOKUP(A102,Ergebnis_je_Aktie_verwässert!A$3:AK$103,7,FALSE)&lt;&gt;"",IF(VLOOKUP(A102,Ergebnis_je_Aktie_verwässert!A$3:AK$103,7,FALSE)&lt;=0,2,IF(VLOOKUP(A102,Dividende_je_Aktie!A$3:AM$103,7,FALSE)/VLOOKUP(A102,Ergebnis_je_Aktie_verwässert!A$3:AK$103,7,FALSE)&gt;=2,2,VLOOKUP(A102,Dividende_je_Aktie!A$3:AM$103,7,FALSE)/VLOOKUP(A102,Ergebnis_je_Aktie_verwässert!A$3:AK$103,7,FALSE))),""),"")</f>
        <v>#N/A</v>
      </c>
      <c r="H102" s="5" t="e">
        <f>IF(VLOOKUP(A102,Dividende_je_Aktie!A$3:AM$103,8,FALSE)&lt;&gt;"",IF(VLOOKUP(A102,Ergebnis_je_Aktie_verwässert!A$3:AK$103,8,FALSE)&lt;&gt;"",IF(VLOOKUP(A102,Ergebnis_je_Aktie_verwässert!A$3:AK$103,8,FALSE)&lt;=0,2,IF(VLOOKUP(A102,Dividende_je_Aktie!A$3:AM$103,8,FALSE)/VLOOKUP(A102,Ergebnis_je_Aktie_verwässert!A$3:AK$103,8,FALSE)&gt;=2,2,VLOOKUP(A102,Dividende_je_Aktie!A$3:AM$103,8,FALSE)/VLOOKUP(A102,Ergebnis_je_Aktie_verwässert!A$3:AK$103,8,FALSE))),""),"")</f>
        <v>#N/A</v>
      </c>
      <c r="I102" s="5" t="e">
        <f>IF(VLOOKUP(A102,Dividende_je_Aktie!A$3:AM$103,9,FALSE)&lt;&gt;"",IF(VLOOKUP(A102,Ergebnis_je_Aktie_verwässert!A$3:AK$103,9,FALSE)&lt;&gt;"",IF(VLOOKUP(A102,Ergebnis_je_Aktie_verwässert!A$3:AK$103,9,FALSE)&lt;=0,2,IF(VLOOKUP(A102,Dividende_je_Aktie!A$3:AM$103,9,FALSE)/VLOOKUP(A102,Ergebnis_je_Aktie_verwässert!A$3:AK$103,9,FALSE)&gt;=2,2,VLOOKUP(A102,Dividende_je_Aktie!A$3:AM$103,9,FALSE)/VLOOKUP(A102,Ergebnis_je_Aktie_verwässert!A$3:AK$103,9,FALSE))),""),"")</f>
        <v>#N/A</v>
      </c>
      <c r="J102" s="5" t="e">
        <f>IF(VLOOKUP(A102,Dividende_je_Aktie!A$3:AM$103,10,FALSE)&lt;&gt;"",IF(VLOOKUP(A102,Ergebnis_je_Aktie_verwässert!A$3:AK$103,10,FALSE)&lt;&gt;"",IF(VLOOKUP(A102,Ergebnis_je_Aktie_verwässert!A$3:AK$103,10,FALSE)&lt;=0,2,IF(VLOOKUP(A102,Dividende_je_Aktie!A$3:AM$103,10,FALSE)/VLOOKUP(A102,Ergebnis_je_Aktie_verwässert!A$3:AK$103,10,FALSE)&gt;=2,2,VLOOKUP(A102,Dividende_je_Aktie!A$3:AM$103,10,FALSE)/VLOOKUP(A102,Ergebnis_je_Aktie_verwässert!A$3:AK$103,10,FALSE))),""),"")</f>
        <v>#N/A</v>
      </c>
      <c r="K102" s="5" t="e">
        <f>IF(VLOOKUP(A102,Dividende_je_Aktie!A$3:AM$103,11,FALSE)&lt;&gt;"",IF(VLOOKUP(A102,Ergebnis_je_Aktie_verwässert!A$3:AK$103,11,FALSE)&lt;&gt;"",IF(VLOOKUP(A102,Ergebnis_je_Aktie_verwässert!A$3:AK$103,11,FALSE)&lt;=0,2,IF(VLOOKUP(A102,Dividende_je_Aktie!A$3:AM$103,11,FALSE)/VLOOKUP(A102,Ergebnis_je_Aktie_verwässert!A$3:AK$103,11,FALSE)&gt;=2,2,VLOOKUP(A102,Dividende_je_Aktie!A$3:AM$103,11,FALSE)/VLOOKUP(A102,Ergebnis_je_Aktie_verwässert!A$3:AK$103,11,FALSE))),""),"")</f>
        <v>#N/A</v>
      </c>
      <c r="L102" s="5" t="e">
        <f>IF(VLOOKUP(A102,Dividende_je_Aktie!A$3:AM$103,12,FALSE)&lt;&gt;"",IF(VLOOKUP(A102,Ergebnis_je_Aktie_verwässert!A$3:AK$103,12,FALSE)&lt;&gt;"",IF(VLOOKUP(A102,Ergebnis_je_Aktie_verwässert!A$3:AK$103,12,FALSE)&lt;=0,2,IF(VLOOKUP(A102,Dividende_je_Aktie!A$3:AM$103,12,FALSE)/VLOOKUP(A102,Ergebnis_je_Aktie_verwässert!A$3:AK$103,12,FALSE)&gt;=2,2,VLOOKUP(A102,Dividende_je_Aktie!A$3:AM$103,12,FALSE)/VLOOKUP(A102,Ergebnis_je_Aktie_verwässert!A$3:AK$103,12,FALSE))),""),"")</f>
        <v>#N/A</v>
      </c>
      <c r="M102" s="5" t="e">
        <f>IF(VLOOKUP(A102,Dividende_je_Aktie!A$3:AM$103,13,FALSE)&lt;&gt;"",IF(VLOOKUP(A102,Ergebnis_je_Aktie_verwässert!A$3:AK$103,13,FALSE)&lt;&gt;"",IF(VLOOKUP(A102,Ergebnis_je_Aktie_verwässert!A$3:AK$103,13,FALSE)&lt;=0,2,IF(VLOOKUP(A102,Dividende_je_Aktie!A$3:AM$103,13,FALSE)/VLOOKUP(A102,Ergebnis_je_Aktie_verwässert!A$3:AK$103,13,FALSE)&gt;=2,2,VLOOKUP(A102,Dividende_je_Aktie!A$3:AM$103,13,FALSE)/VLOOKUP(A102,Ergebnis_je_Aktie_verwässert!A$3:AK$103,13,FALSE))),""),"")</f>
        <v>#N/A</v>
      </c>
      <c r="N102" s="5" t="e">
        <f>IF(VLOOKUP(A102,Dividende_je_Aktie!A$3:AM$103,14,FALSE)&lt;&gt;"",IF(VLOOKUP(A102,Ergebnis_je_Aktie_verwässert!A$3:AK$103,14,FALSE)&lt;&gt;"",IF(VLOOKUP(A102,Ergebnis_je_Aktie_verwässert!A$3:AK$103,14,FALSE)&lt;=0,2,IF(VLOOKUP(A102,Dividende_je_Aktie!A$3:AM$103,14,FALSE)/VLOOKUP(A102,Ergebnis_je_Aktie_verwässert!A$3:AK$103,14,FALSE)&gt;=2,2,VLOOKUP(A102,Dividende_je_Aktie!A$3:AM$103,14,FALSE)/VLOOKUP(A102,Ergebnis_je_Aktie_verwässert!A$3:AK$103,14,FALSE))),""),"")</f>
        <v>#N/A</v>
      </c>
      <c r="O102" s="5" t="e">
        <f>IF(VLOOKUP(A102,Dividende_je_Aktie!A$3:AM$103,15,FALSE)&lt;&gt;"",IF(VLOOKUP(A102,Ergebnis_je_Aktie_verwässert!A$3:AK$103,15,FALSE)&lt;&gt;"",IF(VLOOKUP(A102,Ergebnis_je_Aktie_verwässert!A$3:AK$103,15,FALSE)&lt;=0,2,IF(VLOOKUP(A102,Dividende_je_Aktie!A$3:AM$103,15,FALSE)/VLOOKUP(A102,Ergebnis_je_Aktie_verwässert!A$3:AK$103,15,FALSE)&gt;=2,2,VLOOKUP(A102,Dividende_je_Aktie!A$3:AM$103,15,FALSE)/VLOOKUP(A102,Ergebnis_je_Aktie_verwässert!A$3:AK$103,15,FALSE))),""),"")</f>
        <v>#N/A</v>
      </c>
      <c r="P102" s="5" t="e">
        <f>IF(VLOOKUP(A102,Dividende_je_Aktie!A$3:AM$103,16,FALSE)&lt;&gt;"",IF(VLOOKUP(A102,Ergebnis_je_Aktie_verwässert!A$3:AK$103,16,FALSE)&lt;&gt;"",IF(VLOOKUP(A102,Ergebnis_je_Aktie_verwässert!A$3:AK$103,16,FALSE)&lt;=0,2,IF(VLOOKUP(A102,Dividende_je_Aktie!A$3:AM$103,16,FALSE)/VLOOKUP(A102,Ergebnis_je_Aktie_verwässert!A$3:AK$103,16,FALSE)&gt;=2,2,VLOOKUP(A102,Dividende_je_Aktie!A$3:AM$103,16,FALSE)/VLOOKUP(A102,Ergebnis_je_Aktie_verwässert!A$3:AK$103,16,FALSE))),""),"")</f>
        <v>#N/A</v>
      </c>
      <c r="Q102" s="5" t="e">
        <f>IF(VLOOKUP(A102,Dividende_je_Aktie!A$3:AM$103,17,FALSE)&lt;&gt;"",IF(VLOOKUP(A102,Ergebnis_je_Aktie_verwässert!A$3:AK$103,17,FALSE)&lt;&gt;"",IF(VLOOKUP(A102,Ergebnis_je_Aktie_verwässert!A$3:AK$103,17,FALSE)&lt;=0,2,IF(VLOOKUP(A102,Dividende_je_Aktie!A$3:AM$103,17,FALSE)/VLOOKUP(A102,Ergebnis_je_Aktie_verwässert!A$3:AK$103,17,FALSE)&gt;=2,2,VLOOKUP(A102,Dividende_je_Aktie!A$3:AM$103,17,FALSE)/VLOOKUP(A102,Ergebnis_je_Aktie_verwässert!A$3:AK$103,17,FALSE))),""),"")</f>
        <v>#N/A</v>
      </c>
      <c r="R102" s="5" t="e">
        <f>IF(VLOOKUP(A102,Dividende_je_Aktie!A$3:AM$103,18,FALSE)&lt;&gt;"",IF(VLOOKUP(A102,Ergebnis_je_Aktie_verwässert!A$3:AK$103,18,FALSE)&lt;&gt;"",IF(VLOOKUP(A102,Ergebnis_je_Aktie_verwässert!A$3:AK$103,18,FALSE)&lt;=0,2,IF(VLOOKUP(A102,Dividende_je_Aktie!A$3:AM$103,18,FALSE)/VLOOKUP(A102,Ergebnis_je_Aktie_verwässert!A$3:AK$103,18,FALSE)&gt;=2,2,VLOOKUP(A102,Dividende_je_Aktie!A$3:AM$103,18,FALSE)/VLOOKUP(A102,Ergebnis_je_Aktie_verwässert!A$3:AK$103,18,FALSE))),""),"")</f>
        <v>#N/A</v>
      </c>
      <c r="S102" s="10" t="e">
        <f t="shared" si="6"/>
        <v>#N/A</v>
      </c>
      <c r="T102" s="4">
        <f t="shared" ca="1" si="7"/>
        <v>41553</v>
      </c>
      <c r="U102" s="4">
        <f t="shared" ca="1" si="8"/>
        <v>-41193</v>
      </c>
      <c r="V102" s="4" t="e">
        <f t="shared" ca="1" si="9"/>
        <v>#NUM!</v>
      </c>
      <c r="W102" s="10" t="e">
        <f t="shared" ca="1" si="10"/>
        <v>#N/A</v>
      </c>
      <c r="X102" s="5" t="e">
        <f t="shared" ca="1" si="11"/>
        <v>#N/A</v>
      </c>
    </row>
    <row r="103" spans="3:24" x14ac:dyDescent="0.25">
      <c r="C103" s="56"/>
      <c r="D103" s="56"/>
      <c r="E103" s="56"/>
      <c r="F103" s="5" t="e">
        <f>IF(VLOOKUP(A103,Dividende_je_Aktie!A$3:AM$103,6,FALSE)&lt;&gt;"",IF(VLOOKUP(A103,Ergebnis_je_Aktie_verwässert!A$3:AK$103,6,FALSE)&lt;&gt;"",IF(VLOOKUP(A103,Ergebnis_je_Aktie_verwässert!A$3:AK$103,6,FALSE)&lt;=0,2,IF(VLOOKUP(A103,Dividende_je_Aktie!A$3:AM$103,6,FALSE)/VLOOKUP(A103,Ergebnis_je_Aktie_verwässert!A$3:AK$103,6,FALSE)&gt;=2,2,VLOOKUP(A103,Dividende_je_Aktie!A$3:AM$103,6,FALSE)/VLOOKUP(A103,Ergebnis_je_Aktie_verwässert!A$3:AK$103,6,FALSE))),""),"")</f>
        <v>#N/A</v>
      </c>
      <c r="G103" s="5" t="e">
        <f>IF(VLOOKUP(A103,Dividende_je_Aktie!A$3:AM$103,7,FALSE)&lt;&gt;"",IF(VLOOKUP(A103,Ergebnis_je_Aktie_verwässert!A$3:AK$103,7,FALSE)&lt;&gt;"",IF(VLOOKUP(A103,Ergebnis_je_Aktie_verwässert!A$3:AK$103,7,FALSE)&lt;=0,2,IF(VLOOKUP(A103,Dividende_je_Aktie!A$3:AM$103,7,FALSE)/VLOOKUP(A103,Ergebnis_je_Aktie_verwässert!A$3:AK$103,7,FALSE)&gt;=2,2,VLOOKUP(A103,Dividende_je_Aktie!A$3:AM$103,7,FALSE)/VLOOKUP(A103,Ergebnis_je_Aktie_verwässert!A$3:AK$103,7,FALSE))),""),"")</f>
        <v>#N/A</v>
      </c>
      <c r="H103" s="5" t="e">
        <f>IF(VLOOKUP(A103,Dividende_je_Aktie!A$3:AM$103,8,FALSE)&lt;&gt;"",IF(VLOOKUP(A103,Ergebnis_je_Aktie_verwässert!A$3:AK$103,8,FALSE)&lt;&gt;"",IF(VLOOKUP(A103,Ergebnis_je_Aktie_verwässert!A$3:AK$103,8,FALSE)&lt;=0,2,IF(VLOOKUP(A103,Dividende_je_Aktie!A$3:AM$103,8,FALSE)/VLOOKUP(A103,Ergebnis_je_Aktie_verwässert!A$3:AK$103,8,FALSE)&gt;=2,2,VLOOKUP(A103,Dividende_je_Aktie!A$3:AM$103,8,FALSE)/VLOOKUP(A103,Ergebnis_je_Aktie_verwässert!A$3:AK$103,8,FALSE))),""),"")</f>
        <v>#N/A</v>
      </c>
      <c r="I103" s="5" t="e">
        <f>IF(VLOOKUP(A103,Dividende_je_Aktie!A$3:AM$103,9,FALSE)&lt;&gt;"",IF(VLOOKUP(A103,Ergebnis_je_Aktie_verwässert!A$3:AK$103,9,FALSE)&lt;&gt;"",IF(VLOOKUP(A103,Ergebnis_je_Aktie_verwässert!A$3:AK$103,9,FALSE)&lt;=0,2,IF(VLOOKUP(A103,Dividende_je_Aktie!A$3:AM$103,9,FALSE)/VLOOKUP(A103,Ergebnis_je_Aktie_verwässert!A$3:AK$103,9,FALSE)&gt;=2,2,VLOOKUP(A103,Dividende_je_Aktie!A$3:AM$103,9,FALSE)/VLOOKUP(A103,Ergebnis_je_Aktie_verwässert!A$3:AK$103,9,FALSE))),""),"")</f>
        <v>#N/A</v>
      </c>
      <c r="J103" s="5" t="e">
        <f>IF(VLOOKUP(A103,Dividende_je_Aktie!A$3:AM$103,10,FALSE)&lt;&gt;"",IF(VLOOKUP(A103,Ergebnis_je_Aktie_verwässert!A$3:AK$103,10,FALSE)&lt;&gt;"",IF(VLOOKUP(A103,Ergebnis_je_Aktie_verwässert!A$3:AK$103,10,FALSE)&lt;=0,2,IF(VLOOKUP(A103,Dividende_je_Aktie!A$3:AM$103,10,FALSE)/VLOOKUP(A103,Ergebnis_je_Aktie_verwässert!A$3:AK$103,10,FALSE)&gt;=2,2,VLOOKUP(A103,Dividende_je_Aktie!A$3:AM$103,10,FALSE)/VLOOKUP(A103,Ergebnis_je_Aktie_verwässert!A$3:AK$103,10,FALSE))),""),"")</f>
        <v>#N/A</v>
      </c>
      <c r="K103" s="5" t="e">
        <f>IF(VLOOKUP(A103,Dividende_je_Aktie!A$3:AM$103,11,FALSE)&lt;&gt;"",IF(VLOOKUP(A103,Ergebnis_je_Aktie_verwässert!A$3:AK$103,11,FALSE)&lt;&gt;"",IF(VLOOKUP(A103,Ergebnis_je_Aktie_verwässert!A$3:AK$103,11,FALSE)&lt;=0,2,IF(VLOOKUP(A103,Dividende_je_Aktie!A$3:AM$103,11,FALSE)/VLOOKUP(A103,Ergebnis_je_Aktie_verwässert!A$3:AK$103,11,FALSE)&gt;=2,2,VLOOKUP(A103,Dividende_je_Aktie!A$3:AM$103,11,FALSE)/VLOOKUP(A103,Ergebnis_je_Aktie_verwässert!A$3:AK$103,11,FALSE))),""),"")</f>
        <v>#N/A</v>
      </c>
      <c r="L103" s="5" t="e">
        <f>IF(VLOOKUP(A103,Dividende_je_Aktie!A$3:AM$103,12,FALSE)&lt;&gt;"",IF(VLOOKUP(A103,Ergebnis_je_Aktie_verwässert!A$3:AK$103,12,FALSE)&lt;&gt;"",IF(VLOOKUP(A103,Ergebnis_je_Aktie_verwässert!A$3:AK$103,12,FALSE)&lt;=0,2,IF(VLOOKUP(A103,Dividende_je_Aktie!A$3:AM$103,12,FALSE)/VLOOKUP(A103,Ergebnis_je_Aktie_verwässert!A$3:AK$103,12,FALSE)&gt;=2,2,VLOOKUP(A103,Dividende_je_Aktie!A$3:AM$103,12,FALSE)/VLOOKUP(A103,Ergebnis_je_Aktie_verwässert!A$3:AK$103,12,FALSE))),""),"")</f>
        <v>#N/A</v>
      </c>
      <c r="M103" s="5" t="e">
        <f>IF(VLOOKUP(A103,Dividende_je_Aktie!A$3:AM$103,13,FALSE)&lt;&gt;"",IF(VLOOKUP(A103,Ergebnis_je_Aktie_verwässert!A$3:AK$103,13,FALSE)&lt;&gt;"",IF(VLOOKUP(A103,Ergebnis_je_Aktie_verwässert!A$3:AK$103,13,FALSE)&lt;=0,2,IF(VLOOKUP(A103,Dividende_je_Aktie!A$3:AM$103,13,FALSE)/VLOOKUP(A103,Ergebnis_je_Aktie_verwässert!A$3:AK$103,13,FALSE)&gt;=2,2,VLOOKUP(A103,Dividende_je_Aktie!A$3:AM$103,13,FALSE)/VLOOKUP(A103,Ergebnis_je_Aktie_verwässert!A$3:AK$103,13,FALSE))),""),"")</f>
        <v>#N/A</v>
      </c>
      <c r="N103" s="5" t="e">
        <f>IF(VLOOKUP(A103,Dividende_je_Aktie!A$3:AM$103,14,FALSE)&lt;&gt;"",IF(VLOOKUP(A103,Ergebnis_je_Aktie_verwässert!A$3:AK$103,14,FALSE)&lt;&gt;"",IF(VLOOKUP(A103,Ergebnis_je_Aktie_verwässert!A$3:AK$103,14,FALSE)&lt;=0,2,IF(VLOOKUP(A103,Dividende_je_Aktie!A$3:AM$103,14,FALSE)/VLOOKUP(A103,Ergebnis_je_Aktie_verwässert!A$3:AK$103,14,FALSE)&gt;=2,2,VLOOKUP(A103,Dividende_je_Aktie!A$3:AM$103,14,FALSE)/VLOOKUP(A103,Ergebnis_je_Aktie_verwässert!A$3:AK$103,14,FALSE))),""),"")</f>
        <v>#N/A</v>
      </c>
      <c r="O103" s="5" t="e">
        <f>IF(VLOOKUP(A103,Dividende_je_Aktie!A$3:AM$103,15,FALSE)&lt;&gt;"",IF(VLOOKUP(A103,Ergebnis_je_Aktie_verwässert!A$3:AK$103,15,FALSE)&lt;&gt;"",IF(VLOOKUP(A103,Ergebnis_je_Aktie_verwässert!A$3:AK$103,15,FALSE)&lt;=0,2,IF(VLOOKUP(A103,Dividende_je_Aktie!A$3:AM$103,15,FALSE)/VLOOKUP(A103,Ergebnis_je_Aktie_verwässert!A$3:AK$103,15,FALSE)&gt;=2,2,VLOOKUP(A103,Dividende_je_Aktie!A$3:AM$103,15,FALSE)/VLOOKUP(A103,Ergebnis_je_Aktie_verwässert!A$3:AK$103,15,FALSE))),""),"")</f>
        <v>#N/A</v>
      </c>
      <c r="P103" s="5" t="e">
        <f>IF(VLOOKUP(A103,Dividende_je_Aktie!A$3:AM$103,16,FALSE)&lt;&gt;"",IF(VLOOKUP(A103,Ergebnis_je_Aktie_verwässert!A$3:AK$103,16,FALSE)&lt;&gt;"",IF(VLOOKUP(A103,Ergebnis_je_Aktie_verwässert!A$3:AK$103,16,FALSE)&lt;=0,2,IF(VLOOKUP(A103,Dividende_je_Aktie!A$3:AM$103,16,FALSE)/VLOOKUP(A103,Ergebnis_je_Aktie_verwässert!A$3:AK$103,16,FALSE)&gt;=2,2,VLOOKUP(A103,Dividende_je_Aktie!A$3:AM$103,16,FALSE)/VLOOKUP(A103,Ergebnis_je_Aktie_verwässert!A$3:AK$103,16,FALSE))),""),"")</f>
        <v>#N/A</v>
      </c>
      <c r="Q103" s="5" t="e">
        <f>IF(VLOOKUP(A103,Dividende_je_Aktie!A$3:AM$103,17,FALSE)&lt;&gt;"",IF(VLOOKUP(A103,Ergebnis_je_Aktie_verwässert!A$3:AK$103,17,FALSE)&lt;&gt;"",IF(VLOOKUP(A103,Ergebnis_je_Aktie_verwässert!A$3:AK$103,17,FALSE)&lt;=0,2,IF(VLOOKUP(A103,Dividende_je_Aktie!A$3:AM$103,17,FALSE)/VLOOKUP(A103,Ergebnis_je_Aktie_verwässert!A$3:AK$103,17,FALSE)&gt;=2,2,VLOOKUP(A103,Dividende_je_Aktie!A$3:AM$103,17,FALSE)/VLOOKUP(A103,Ergebnis_je_Aktie_verwässert!A$3:AK$103,17,FALSE))),""),"")</f>
        <v>#N/A</v>
      </c>
      <c r="R103" s="5" t="e">
        <f>IF(VLOOKUP(A103,Dividende_je_Aktie!A$3:AM$103,18,FALSE)&lt;&gt;"",IF(VLOOKUP(A103,Ergebnis_je_Aktie_verwässert!A$3:AK$103,18,FALSE)&lt;&gt;"",IF(VLOOKUP(A103,Ergebnis_je_Aktie_verwässert!A$3:AK$103,18,FALSE)&lt;=0,2,IF(VLOOKUP(A103,Dividende_je_Aktie!A$3:AM$103,18,FALSE)/VLOOKUP(A103,Ergebnis_je_Aktie_verwässert!A$3:AK$103,18,FALSE)&gt;=2,2,VLOOKUP(A103,Dividende_je_Aktie!A$3:AM$103,18,FALSE)/VLOOKUP(A103,Ergebnis_je_Aktie_verwässert!A$3:AK$103,18,FALSE))),""),"")</f>
        <v>#N/A</v>
      </c>
      <c r="S103" s="10" t="e">
        <f t="shared" ref="S103" si="12">AVERAGE(F103:R103)</f>
        <v>#N/A</v>
      </c>
      <c r="T103" s="4">
        <f t="shared" ref="T103" ca="1" si="13">IF(DAYS360(TODAY(),DATE(E103+2,D103,C103))&gt;=720,0,360-U103)</f>
        <v>41553</v>
      </c>
      <c r="U103" s="4">
        <f t="shared" ref="U103" ca="1" si="14">IF(DAYS360(TODAY(),DATE(E103+1,D103,C103))&lt;=360,DAYS360(TODAY(),DATE(E103+1,D103,C103)),360-V103)</f>
        <v>-41193</v>
      </c>
      <c r="V103" s="4" t="e">
        <f t="shared" ca="1" si="9"/>
        <v>#NUM!</v>
      </c>
      <c r="W103" s="10" t="e">
        <f t="shared" ref="W103" ca="1" si="15">IF(T103&gt;0,(F103/360*T103)+(G103/360*U103)+(H103/360*V103),(G103/360*U103)+(H103/360*V103))</f>
        <v>#N/A</v>
      </c>
      <c r="X103" s="5" t="e">
        <f t="shared" ref="X103" ca="1" si="16">(W103/S103)-1</f>
        <v>#N/A</v>
      </c>
    </row>
  </sheetData>
  <autoFilter ref="A3:X3">
    <sortState ref="A4:X68">
      <sortCondition ref="B3"/>
    </sortState>
  </autoFilter>
  <mergeCells count="2">
    <mergeCell ref="T1:V1"/>
    <mergeCell ref="C2:E2"/>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
  <sheetViews>
    <sheetView workbookViewId="0">
      <selection activeCell="E7" sqref="E7"/>
    </sheetView>
  </sheetViews>
  <sheetFormatPr baseColWidth="10" defaultRowHeight="15" x14ac:dyDescent="0.25"/>
  <cols>
    <col min="1" max="1" width="10.7109375" customWidth="1"/>
    <col min="2" max="3" width="20.7109375" customWidth="1"/>
    <col min="4" max="4" width="5.7109375" customWidth="1"/>
    <col min="5" max="5" width="10.7109375" customWidth="1"/>
    <col min="6" max="7" width="20.7109375" customWidth="1"/>
    <col min="8" max="8" width="5.7109375" customWidth="1"/>
    <col min="9" max="9" width="10.7109375" customWidth="1"/>
    <col min="10" max="11" width="20.7109375" customWidth="1"/>
  </cols>
  <sheetData>
    <row r="1" spans="1:11" x14ac:dyDescent="0.25">
      <c r="A1" s="114" t="s">
        <v>132</v>
      </c>
      <c r="B1" s="114"/>
    </row>
    <row r="2" spans="1:11" ht="15" customHeight="1" x14ac:dyDescent="0.25">
      <c r="A2" s="1" t="s">
        <v>130</v>
      </c>
      <c r="B2" s="1" t="s">
        <v>131</v>
      </c>
      <c r="D2" s="114" t="s">
        <v>298</v>
      </c>
      <c r="E2" s="114"/>
      <c r="F2" s="114"/>
      <c r="G2" s="114"/>
      <c r="H2" s="114"/>
      <c r="I2" s="114"/>
      <c r="J2" s="114"/>
      <c r="K2" s="114"/>
    </row>
    <row r="3" spans="1:11" x14ac:dyDescent="0.25">
      <c r="A3" s="17">
        <v>0.5</v>
      </c>
      <c r="B3" s="17">
        <v>120</v>
      </c>
      <c r="D3" s="121" t="s">
        <v>300</v>
      </c>
      <c r="E3" s="121"/>
      <c r="F3" s="121"/>
      <c r="G3" s="121"/>
      <c r="H3" s="121"/>
      <c r="I3" s="121"/>
      <c r="J3" s="121"/>
      <c r="K3" s="121"/>
    </row>
    <row r="4" spans="1:11" x14ac:dyDescent="0.25">
      <c r="A4" s="20">
        <v>120.5</v>
      </c>
      <c r="B4" s="20">
        <v>150</v>
      </c>
      <c r="D4" s="114" t="s">
        <v>299</v>
      </c>
      <c r="E4" s="114"/>
      <c r="F4" s="114"/>
      <c r="G4" s="114"/>
      <c r="H4" s="114"/>
      <c r="I4" s="114"/>
      <c r="J4" s="114"/>
      <c r="K4" s="114"/>
    </row>
    <row r="5" spans="1:11" x14ac:dyDescent="0.25">
      <c r="A5" s="23">
        <v>150.5</v>
      </c>
      <c r="B5" s="23">
        <v>180</v>
      </c>
      <c r="D5" s="121" t="s">
        <v>301</v>
      </c>
      <c r="E5" s="121"/>
      <c r="F5" s="121"/>
      <c r="G5" s="121"/>
      <c r="H5" s="121"/>
      <c r="I5" s="121"/>
      <c r="J5" s="121"/>
      <c r="K5" s="121"/>
    </row>
    <row r="6" spans="1:11" ht="15" customHeight="1" x14ac:dyDescent="0.25">
      <c r="A6" s="28">
        <v>180.5</v>
      </c>
      <c r="B6" s="28">
        <v>210</v>
      </c>
      <c r="C6" s="84" t="s">
        <v>151</v>
      </c>
      <c r="D6" s="110"/>
      <c r="E6" s="110"/>
      <c r="F6" s="110"/>
      <c r="G6" s="110"/>
      <c r="H6" s="110"/>
      <c r="I6" s="110"/>
      <c r="J6" s="110"/>
      <c r="K6" s="110"/>
    </row>
    <row r="7" spans="1:11" x14ac:dyDescent="0.25">
      <c r="A7" s="31">
        <v>210.5</v>
      </c>
      <c r="B7" s="31">
        <v>300</v>
      </c>
      <c r="C7" s="108">
        <f>A9+A22+A35+A48+A61+A74+A87</f>
        <v>300</v>
      </c>
      <c r="D7" s="110"/>
      <c r="E7" s="110"/>
      <c r="F7" s="110"/>
      <c r="G7" s="110"/>
      <c r="H7" s="110"/>
      <c r="I7" s="110"/>
      <c r="J7" s="110"/>
      <c r="K7" s="110"/>
    </row>
    <row r="9" spans="1:11" ht="15" customHeight="1" x14ac:dyDescent="0.25">
      <c r="A9" s="104">
        <f>A12+E12</f>
        <v>85</v>
      </c>
      <c r="B9" s="111" t="s">
        <v>311</v>
      </c>
      <c r="C9" s="111"/>
      <c r="D9" s="111"/>
      <c r="E9" s="111"/>
      <c r="F9" s="111"/>
      <c r="G9" s="111"/>
      <c r="H9" s="111"/>
      <c r="I9" s="111"/>
      <c r="J9" s="111"/>
      <c r="K9" s="111"/>
    </row>
    <row r="10" spans="1:11" ht="15" customHeight="1" x14ac:dyDescent="0.25">
      <c r="A10" s="119" t="s">
        <v>312</v>
      </c>
      <c r="B10" s="119"/>
      <c r="C10" s="119"/>
      <c r="D10" s="106"/>
      <c r="E10" s="118" t="s">
        <v>315</v>
      </c>
      <c r="F10" s="118"/>
      <c r="G10" s="118"/>
      <c r="H10" s="103"/>
      <c r="I10" s="120" t="s">
        <v>302</v>
      </c>
      <c r="J10" s="120"/>
      <c r="K10" s="120"/>
    </row>
    <row r="11" spans="1:11" x14ac:dyDescent="0.25">
      <c r="A11" s="72" t="s">
        <v>133</v>
      </c>
      <c r="B11" s="72" t="s">
        <v>313</v>
      </c>
      <c r="C11" s="72" t="s">
        <v>314</v>
      </c>
      <c r="D11" s="72"/>
      <c r="E11" s="72" t="s">
        <v>133</v>
      </c>
      <c r="F11" s="72" t="s">
        <v>313</v>
      </c>
      <c r="G11" s="72" t="s">
        <v>314</v>
      </c>
      <c r="H11" s="1"/>
      <c r="I11" s="120"/>
      <c r="J11" s="120"/>
      <c r="K11" s="120"/>
    </row>
    <row r="12" spans="1:11" x14ac:dyDescent="0.25">
      <c r="A12" s="29">
        <v>60</v>
      </c>
      <c r="B12" s="30">
        <v>-0.15</v>
      </c>
      <c r="C12" s="30">
        <v>-0.15</v>
      </c>
      <c r="D12" s="105"/>
      <c r="E12" s="29">
        <v>25</v>
      </c>
      <c r="F12" s="30">
        <v>0</v>
      </c>
      <c r="G12" s="30">
        <v>0</v>
      </c>
      <c r="H12" s="105"/>
      <c r="I12" s="120"/>
      <c r="J12" s="120"/>
      <c r="K12" s="120"/>
    </row>
    <row r="13" spans="1:11" x14ac:dyDescent="0.25">
      <c r="A13" s="29">
        <v>54</v>
      </c>
      <c r="B13" s="30">
        <v>-0.1</v>
      </c>
      <c r="C13" s="30">
        <v>-0.1</v>
      </c>
      <c r="D13" s="105"/>
      <c r="E13" s="29">
        <v>22.5</v>
      </c>
      <c r="F13" s="30">
        <v>0.05</v>
      </c>
      <c r="G13" s="30">
        <v>0.05</v>
      </c>
      <c r="H13" s="105"/>
      <c r="I13" s="120"/>
      <c r="J13" s="120"/>
      <c r="K13" s="120"/>
    </row>
    <row r="14" spans="1:11" x14ac:dyDescent="0.25">
      <c r="A14" s="26">
        <v>48</v>
      </c>
      <c r="B14" s="27">
        <v>-0.05</v>
      </c>
      <c r="C14" s="27">
        <v>-0.05</v>
      </c>
      <c r="D14" s="105"/>
      <c r="E14" s="26">
        <v>20</v>
      </c>
      <c r="F14" s="27">
        <v>0.1</v>
      </c>
      <c r="G14" s="27">
        <v>0.1</v>
      </c>
      <c r="H14" s="105"/>
      <c r="I14" s="120"/>
      <c r="J14" s="120"/>
      <c r="K14" s="120"/>
    </row>
    <row r="15" spans="1:11" x14ac:dyDescent="0.25">
      <c r="A15" s="26">
        <v>42</v>
      </c>
      <c r="B15" s="27">
        <v>0</v>
      </c>
      <c r="C15" s="27">
        <v>0</v>
      </c>
      <c r="D15" s="105"/>
      <c r="E15" s="26">
        <v>17.5</v>
      </c>
      <c r="F15" s="27">
        <v>0.15</v>
      </c>
      <c r="G15" s="27">
        <v>0.15</v>
      </c>
      <c r="H15" s="105"/>
      <c r="I15" s="120"/>
      <c r="J15" s="120"/>
      <c r="K15" s="120"/>
    </row>
    <row r="16" spans="1:11" x14ac:dyDescent="0.25">
      <c r="A16" s="24">
        <v>36</v>
      </c>
      <c r="B16" s="25">
        <v>0.05</v>
      </c>
      <c r="C16" s="25">
        <v>0.05</v>
      </c>
      <c r="D16" s="105"/>
      <c r="E16" s="24">
        <v>15</v>
      </c>
      <c r="F16" s="25">
        <v>0.2</v>
      </c>
      <c r="G16" s="25">
        <v>0.2</v>
      </c>
      <c r="H16" s="105"/>
      <c r="I16" s="120"/>
      <c r="J16" s="120"/>
      <c r="K16" s="120"/>
    </row>
    <row r="17" spans="1:11" x14ac:dyDescent="0.25">
      <c r="A17" s="24">
        <v>30</v>
      </c>
      <c r="B17" s="25">
        <v>0.1</v>
      </c>
      <c r="C17" s="25">
        <v>0.1</v>
      </c>
      <c r="D17" s="105"/>
      <c r="E17" s="24">
        <v>12.5</v>
      </c>
      <c r="F17" s="25">
        <v>0.25</v>
      </c>
      <c r="G17" s="25">
        <v>0.25</v>
      </c>
      <c r="H17" s="105"/>
      <c r="I17" s="120"/>
      <c r="J17" s="120"/>
      <c r="K17" s="120"/>
    </row>
    <row r="18" spans="1:11" x14ac:dyDescent="0.25">
      <c r="A18" s="21">
        <v>24</v>
      </c>
      <c r="B18" s="22">
        <v>0.15</v>
      </c>
      <c r="C18" s="22">
        <v>0.15</v>
      </c>
      <c r="D18" s="105"/>
      <c r="E18" s="21">
        <v>10</v>
      </c>
      <c r="F18" s="22">
        <v>0.3</v>
      </c>
      <c r="G18" s="22">
        <v>0.3</v>
      </c>
      <c r="H18" s="105"/>
      <c r="I18" s="120"/>
      <c r="J18" s="120"/>
      <c r="K18" s="120"/>
    </row>
    <row r="19" spans="1:11" x14ac:dyDescent="0.25">
      <c r="A19" s="21">
        <v>18</v>
      </c>
      <c r="B19" s="22">
        <v>0.2</v>
      </c>
      <c r="C19" s="22">
        <v>0.2</v>
      </c>
      <c r="D19" s="105"/>
      <c r="E19" s="21">
        <v>7.5</v>
      </c>
      <c r="F19" s="22">
        <v>0.35</v>
      </c>
      <c r="G19" s="22">
        <v>0.35</v>
      </c>
      <c r="H19" s="105"/>
      <c r="I19" s="120"/>
      <c r="J19" s="120"/>
      <c r="K19" s="120"/>
    </row>
    <row r="20" spans="1:11" x14ac:dyDescent="0.25">
      <c r="A20" s="18">
        <v>12</v>
      </c>
      <c r="B20" s="19">
        <v>0.25</v>
      </c>
      <c r="C20" s="19">
        <v>0.25</v>
      </c>
      <c r="D20" s="105"/>
      <c r="E20" s="18">
        <v>5</v>
      </c>
      <c r="F20" s="19">
        <v>0.4</v>
      </c>
      <c r="G20" s="19">
        <v>0.4</v>
      </c>
      <c r="H20" s="105"/>
      <c r="I20" s="120"/>
      <c r="J20" s="120"/>
      <c r="K20" s="120"/>
    </row>
    <row r="21" spans="1:11" x14ac:dyDescent="0.25">
      <c r="A21" s="18">
        <v>6</v>
      </c>
      <c r="B21" s="19"/>
      <c r="C21" s="19"/>
      <c r="D21" s="105"/>
      <c r="E21" s="18">
        <v>2.5</v>
      </c>
      <c r="F21" s="19"/>
      <c r="G21" s="19"/>
      <c r="H21" s="105"/>
      <c r="I21" s="120"/>
      <c r="J21" s="120"/>
      <c r="K21" s="120"/>
    </row>
    <row r="22" spans="1:11" ht="15" customHeight="1" x14ac:dyDescent="0.25">
      <c r="A22" s="104">
        <f>A34+E34+I34</f>
        <v>40</v>
      </c>
      <c r="B22" s="111" t="s">
        <v>316</v>
      </c>
      <c r="C22" s="111"/>
      <c r="D22" s="111"/>
      <c r="E22" s="111"/>
      <c r="F22" s="111"/>
      <c r="G22" s="111"/>
      <c r="H22" s="111"/>
      <c r="I22" s="111"/>
      <c r="J22" s="111"/>
      <c r="K22" s="111"/>
    </row>
    <row r="23" spans="1:11" ht="15" customHeight="1" x14ac:dyDescent="0.25">
      <c r="A23" s="119" t="s">
        <v>149</v>
      </c>
      <c r="B23" s="119"/>
      <c r="C23" s="119"/>
      <c r="D23" s="106"/>
      <c r="E23" s="119" t="s">
        <v>230</v>
      </c>
      <c r="F23" s="119"/>
      <c r="G23" s="119"/>
      <c r="H23" s="106"/>
      <c r="I23" s="119" t="s">
        <v>321</v>
      </c>
      <c r="J23" s="119"/>
      <c r="K23" s="119"/>
    </row>
    <row r="24" spans="1:11" x14ac:dyDescent="0.25">
      <c r="A24" s="72" t="s">
        <v>133</v>
      </c>
      <c r="B24" s="72" t="s">
        <v>134</v>
      </c>
      <c r="C24" s="72"/>
      <c r="D24" s="72"/>
      <c r="E24" s="72" t="s">
        <v>133</v>
      </c>
      <c r="F24" s="72" t="s">
        <v>134</v>
      </c>
      <c r="G24" s="72"/>
      <c r="H24" s="72"/>
      <c r="I24" s="72" t="s">
        <v>133</v>
      </c>
      <c r="J24" s="72" t="s">
        <v>134</v>
      </c>
      <c r="K24" s="72"/>
    </row>
    <row r="25" spans="1:11" x14ac:dyDescent="0.25">
      <c r="A25" s="18">
        <v>1.5</v>
      </c>
      <c r="B25" s="19">
        <v>-0.1</v>
      </c>
      <c r="E25" s="18">
        <v>1.5</v>
      </c>
      <c r="F25" s="19">
        <v>-0.3</v>
      </c>
      <c r="I25" s="18">
        <v>1</v>
      </c>
      <c r="J25" s="19">
        <v>-0.1</v>
      </c>
    </row>
    <row r="26" spans="1:11" x14ac:dyDescent="0.25">
      <c r="A26" s="18">
        <v>3</v>
      </c>
      <c r="B26" s="19">
        <v>0</v>
      </c>
      <c r="E26" s="18">
        <v>3</v>
      </c>
      <c r="F26" s="19">
        <v>-0.25</v>
      </c>
      <c r="I26" s="18">
        <v>2</v>
      </c>
      <c r="J26" s="19">
        <v>0</v>
      </c>
    </row>
    <row r="27" spans="1:11" x14ac:dyDescent="0.25">
      <c r="A27" s="21">
        <v>4.5</v>
      </c>
      <c r="B27" s="22">
        <v>0.1</v>
      </c>
      <c r="E27" s="21">
        <v>4.5</v>
      </c>
      <c r="F27" s="22">
        <v>-0.2</v>
      </c>
      <c r="I27" s="21">
        <v>3</v>
      </c>
      <c r="J27" s="22">
        <v>0.1</v>
      </c>
    </row>
    <row r="28" spans="1:11" x14ac:dyDescent="0.25">
      <c r="A28" s="21">
        <v>6</v>
      </c>
      <c r="B28" s="22">
        <v>0.2</v>
      </c>
      <c r="E28" s="21">
        <v>6</v>
      </c>
      <c r="F28" s="22">
        <v>-0.15</v>
      </c>
      <c r="I28" s="21">
        <v>4</v>
      </c>
      <c r="J28" s="22">
        <v>0.2</v>
      </c>
    </row>
    <row r="29" spans="1:11" x14ac:dyDescent="0.25">
      <c r="A29" s="24">
        <v>7.5</v>
      </c>
      <c r="B29" s="25">
        <v>0.3</v>
      </c>
      <c r="E29" s="24">
        <v>7.5</v>
      </c>
      <c r="F29" s="25">
        <v>-0.1</v>
      </c>
      <c r="I29" s="24">
        <v>5</v>
      </c>
      <c r="J29" s="25">
        <v>0.3</v>
      </c>
    </row>
    <row r="30" spans="1:11" x14ac:dyDescent="0.25">
      <c r="A30" s="24">
        <v>9</v>
      </c>
      <c r="B30" s="25">
        <v>0.4</v>
      </c>
      <c r="E30" s="24">
        <v>9</v>
      </c>
      <c r="F30" s="25">
        <v>-0.05</v>
      </c>
      <c r="I30" s="24">
        <v>6</v>
      </c>
      <c r="J30" s="25">
        <v>0.4</v>
      </c>
    </row>
    <row r="31" spans="1:11" x14ac:dyDescent="0.25">
      <c r="A31" s="26">
        <v>10.5</v>
      </c>
      <c r="B31" s="27">
        <v>0.5</v>
      </c>
      <c r="E31" s="26">
        <v>10.5</v>
      </c>
      <c r="F31" s="27">
        <v>0</v>
      </c>
      <c r="I31" s="26">
        <v>7</v>
      </c>
      <c r="J31" s="27">
        <v>0.5</v>
      </c>
    </row>
    <row r="32" spans="1:11" x14ac:dyDescent="0.25">
      <c r="A32" s="26">
        <v>12</v>
      </c>
      <c r="B32" s="27">
        <v>0.6</v>
      </c>
      <c r="E32" s="26">
        <v>12</v>
      </c>
      <c r="F32" s="27">
        <v>0.05</v>
      </c>
      <c r="I32" s="26">
        <v>8</v>
      </c>
      <c r="J32" s="27">
        <v>0.6</v>
      </c>
    </row>
    <row r="33" spans="1:11" x14ac:dyDescent="0.25">
      <c r="A33" s="29">
        <v>13.5</v>
      </c>
      <c r="B33" s="30">
        <v>0.7</v>
      </c>
      <c r="E33" s="29">
        <v>13.5</v>
      </c>
      <c r="F33" s="30">
        <v>0.1</v>
      </c>
      <c r="I33" s="29">
        <v>9</v>
      </c>
      <c r="J33" s="30">
        <v>0.7</v>
      </c>
    </row>
    <row r="34" spans="1:11" x14ac:dyDescent="0.25">
      <c r="A34" s="29">
        <v>15</v>
      </c>
      <c r="B34" s="30"/>
      <c r="E34" s="29">
        <v>15</v>
      </c>
      <c r="F34" s="30"/>
      <c r="I34" s="29">
        <v>10</v>
      </c>
      <c r="J34" s="30"/>
    </row>
    <row r="35" spans="1:11" x14ac:dyDescent="0.25">
      <c r="A35" s="104">
        <f>A47+E47+I47</f>
        <v>45</v>
      </c>
      <c r="B35" s="111" t="s">
        <v>317</v>
      </c>
      <c r="C35" s="111"/>
      <c r="D35" s="111"/>
      <c r="E35" s="111"/>
      <c r="F35" s="111"/>
      <c r="G35" s="111"/>
      <c r="H35" s="111"/>
      <c r="I35" s="111"/>
      <c r="J35" s="111"/>
      <c r="K35" s="111"/>
    </row>
    <row r="36" spans="1:11" ht="15" customHeight="1" x14ac:dyDescent="0.25">
      <c r="A36" s="118" t="s">
        <v>129</v>
      </c>
      <c r="B36" s="118"/>
      <c r="C36" s="118"/>
      <c r="D36" s="107"/>
      <c r="E36" s="118" t="s">
        <v>228</v>
      </c>
      <c r="F36" s="118"/>
      <c r="G36" s="118"/>
      <c r="H36" s="107"/>
      <c r="I36" s="118" t="s">
        <v>136</v>
      </c>
      <c r="J36" s="118"/>
      <c r="K36" s="118"/>
    </row>
    <row r="37" spans="1:11" x14ac:dyDescent="0.25">
      <c r="A37" s="72" t="s">
        <v>133</v>
      </c>
      <c r="B37" s="72" t="s">
        <v>134</v>
      </c>
      <c r="C37" s="72"/>
      <c r="D37" s="72"/>
      <c r="E37" s="72" t="s">
        <v>133</v>
      </c>
      <c r="F37" s="72" t="s">
        <v>134</v>
      </c>
      <c r="G37" s="72"/>
      <c r="H37" s="72"/>
      <c r="I37" s="72" t="s">
        <v>133</v>
      </c>
      <c r="J37" s="72" t="s">
        <v>134</v>
      </c>
      <c r="K37" s="72"/>
    </row>
    <row r="38" spans="1:11" x14ac:dyDescent="0.25">
      <c r="A38" s="18">
        <v>2</v>
      </c>
      <c r="B38" s="19">
        <v>-0.2</v>
      </c>
      <c r="E38" s="18">
        <v>1.5</v>
      </c>
      <c r="F38" s="19">
        <v>-0.6</v>
      </c>
      <c r="I38" s="18">
        <v>1</v>
      </c>
      <c r="J38" s="19">
        <v>-0.25</v>
      </c>
    </row>
    <row r="39" spans="1:11" x14ac:dyDescent="0.25">
      <c r="A39" s="18">
        <v>4</v>
      </c>
      <c r="B39" s="19">
        <v>-0.1</v>
      </c>
      <c r="E39" s="18">
        <v>3</v>
      </c>
      <c r="F39" s="19">
        <v>-0.5</v>
      </c>
      <c r="I39" s="18">
        <v>2</v>
      </c>
      <c r="J39" s="19">
        <v>-0.15</v>
      </c>
    </row>
    <row r="40" spans="1:11" x14ac:dyDescent="0.25">
      <c r="A40" s="21">
        <v>6</v>
      </c>
      <c r="B40" s="22">
        <v>0</v>
      </c>
      <c r="E40" s="21">
        <v>4.5</v>
      </c>
      <c r="F40" s="22">
        <v>-0.4</v>
      </c>
      <c r="I40" s="21">
        <v>3</v>
      </c>
      <c r="J40" s="22">
        <v>-0.05</v>
      </c>
    </row>
    <row r="41" spans="1:11" x14ac:dyDescent="0.25">
      <c r="A41" s="21">
        <v>8</v>
      </c>
      <c r="B41" s="22">
        <v>0.1</v>
      </c>
      <c r="E41" s="21">
        <v>6</v>
      </c>
      <c r="F41" s="22">
        <v>-0.3</v>
      </c>
      <c r="I41" s="21">
        <v>4</v>
      </c>
      <c r="J41" s="22">
        <v>0.05</v>
      </c>
    </row>
    <row r="42" spans="1:11" x14ac:dyDescent="0.25">
      <c r="A42" s="24">
        <v>10</v>
      </c>
      <c r="B42" s="25">
        <v>0.2</v>
      </c>
      <c r="E42" s="24">
        <v>7.5</v>
      </c>
      <c r="F42" s="25">
        <v>-0.2</v>
      </c>
      <c r="I42" s="24">
        <v>5</v>
      </c>
      <c r="J42" s="25">
        <v>0.15</v>
      </c>
    </row>
    <row r="43" spans="1:11" x14ac:dyDescent="0.25">
      <c r="A43" s="24">
        <v>12</v>
      </c>
      <c r="B43" s="25">
        <v>0.3</v>
      </c>
      <c r="E43" s="24">
        <v>9</v>
      </c>
      <c r="F43" s="25">
        <v>-0.1</v>
      </c>
      <c r="I43" s="24">
        <v>6</v>
      </c>
      <c r="J43" s="25">
        <v>0.25</v>
      </c>
    </row>
    <row r="44" spans="1:11" x14ac:dyDescent="0.25">
      <c r="A44" s="26">
        <v>14</v>
      </c>
      <c r="B44" s="27">
        <v>0.4</v>
      </c>
      <c r="E44" s="26">
        <v>10.5</v>
      </c>
      <c r="F44" s="27">
        <v>0</v>
      </c>
      <c r="I44" s="26">
        <v>7</v>
      </c>
      <c r="J44" s="27">
        <v>0.35</v>
      </c>
    </row>
    <row r="45" spans="1:11" x14ac:dyDescent="0.25">
      <c r="A45" s="26">
        <v>16</v>
      </c>
      <c r="B45" s="27">
        <v>0.5</v>
      </c>
      <c r="E45" s="26">
        <v>12</v>
      </c>
      <c r="F45" s="27">
        <v>0.1</v>
      </c>
      <c r="I45" s="26">
        <v>8</v>
      </c>
      <c r="J45" s="27">
        <v>0.45</v>
      </c>
    </row>
    <row r="46" spans="1:11" x14ac:dyDescent="0.25">
      <c r="A46" s="29">
        <v>18</v>
      </c>
      <c r="B46" s="30">
        <v>0.6</v>
      </c>
      <c r="E46" s="29">
        <v>13.5</v>
      </c>
      <c r="F46" s="30">
        <v>0.2</v>
      </c>
      <c r="I46" s="29">
        <v>9</v>
      </c>
      <c r="J46" s="30">
        <v>0.55000000000000004</v>
      </c>
    </row>
    <row r="47" spans="1:11" x14ac:dyDescent="0.25">
      <c r="A47" s="29">
        <v>20</v>
      </c>
      <c r="B47" s="30"/>
      <c r="E47" s="29">
        <v>15</v>
      </c>
      <c r="F47" s="30"/>
      <c r="I47" s="29">
        <v>10</v>
      </c>
      <c r="J47" s="30"/>
    </row>
    <row r="48" spans="1:11" x14ac:dyDescent="0.25">
      <c r="A48" s="104">
        <f>A60+E60+I60</f>
        <v>45</v>
      </c>
      <c r="B48" s="111" t="s">
        <v>318</v>
      </c>
      <c r="C48" s="111"/>
      <c r="D48" s="111"/>
      <c r="E48" s="111"/>
      <c r="F48" s="111"/>
      <c r="G48" s="111"/>
      <c r="H48" s="111"/>
      <c r="I48" s="111"/>
      <c r="J48" s="111"/>
      <c r="K48" s="111"/>
    </row>
    <row r="49" spans="1:11" ht="15" customHeight="1" x14ac:dyDescent="0.25">
      <c r="A49" s="118" t="s">
        <v>204</v>
      </c>
      <c r="B49" s="118"/>
      <c r="C49" s="118"/>
      <c r="D49" s="107"/>
      <c r="E49" s="118" t="s">
        <v>231</v>
      </c>
      <c r="F49" s="118"/>
      <c r="G49" s="118"/>
      <c r="H49" s="107"/>
      <c r="I49" s="118" t="s">
        <v>205</v>
      </c>
      <c r="J49" s="118"/>
      <c r="K49" s="118"/>
    </row>
    <row r="50" spans="1:11" x14ac:dyDescent="0.25">
      <c r="A50" s="72" t="s">
        <v>133</v>
      </c>
      <c r="B50" s="72" t="s">
        <v>134</v>
      </c>
      <c r="C50" s="72"/>
      <c r="D50" s="72"/>
      <c r="E50" s="72" t="s">
        <v>133</v>
      </c>
      <c r="F50" s="72" t="s">
        <v>134</v>
      </c>
      <c r="G50" s="72"/>
      <c r="H50" s="72"/>
      <c r="I50" s="72" t="s">
        <v>133</v>
      </c>
      <c r="J50" s="72" t="s">
        <v>134</v>
      </c>
      <c r="K50" s="72"/>
    </row>
    <row r="51" spans="1:11" x14ac:dyDescent="0.25">
      <c r="A51" s="18">
        <v>2</v>
      </c>
      <c r="B51" s="19">
        <v>-0.1</v>
      </c>
      <c r="E51" s="18">
        <v>1.5</v>
      </c>
      <c r="F51" s="19">
        <v>-0.6</v>
      </c>
      <c r="I51" s="18">
        <v>1</v>
      </c>
      <c r="J51" s="19">
        <v>-0.25</v>
      </c>
    </row>
    <row r="52" spans="1:11" x14ac:dyDescent="0.25">
      <c r="A52" s="18">
        <v>4</v>
      </c>
      <c r="B52" s="19">
        <v>0</v>
      </c>
      <c r="E52" s="18">
        <v>3</v>
      </c>
      <c r="F52" s="19">
        <v>-0.5</v>
      </c>
      <c r="I52" s="18">
        <v>2</v>
      </c>
      <c r="J52" s="19">
        <v>-0.15</v>
      </c>
    </row>
    <row r="53" spans="1:11" x14ac:dyDescent="0.25">
      <c r="A53" s="21">
        <v>6</v>
      </c>
      <c r="B53" s="22">
        <v>0.1</v>
      </c>
      <c r="E53" s="21">
        <v>4.5</v>
      </c>
      <c r="F53" s="22">
        <v>-0.4</v>
      </c>
      <c r="I53" s="21">
        <v>3</v>
      </c>
      <c r="J53" s="22">
        <v>-0.05</v>
      </c>
    </row>
    <row r="54" spans="1:11" x14ac:dyDescent="0.25">
      <c r="A54" s="21">
        <v>8</v>
      </c>
      <c r="B54" s="22">
        <v>0.2</v>
      </c>
      <c r="E54" s="21">
        <v>6</v>
      </c>
      <c r="F54" s="22">
        <v>-0.3</v>
      </c>
      <c r="I54" s="21">
        <v>4</v>
      </c>
      <c r="J54" s="22">
        <v>0.05</v>
      </c>
    </row>
    <row r="55" spans="1:11" x14ac:dyDescent="0.25">
      <c r="A55" s="24">
        <v>10</v>
      </c>
      <c r="B55" s="25">
        <v>0.3</v>
      </c>
      <c r="E55" s="24">
        <v>7.5</v>
      </c>
      <c r="F55" s="25">
        <v>-0.2</v>
      </c>
      <c r="I55" s="24">
        <v>5</v>
      </c>
      <c r="J55" s="25">
        <v>0.15</v>
      </c>
    </row>
    <row r="56" spans="1:11" x14ac:dyDescent="0.25">
      <c r="A56" s="24">
        <v>12</v>
      </c>
      <c r="B56" s="25">
        <v>0.4</v>
      </c>
      <c r="E56" s="24">
        <v>9</v>
      </c>
      <c r="F56" s="25">
        <v>-0.1</v>
      </c>
      <c r="I56" s="24">
        <v>6</v>
      </c>
      <c r="J56" s="25">
        <v>0.25</v>
      </c>
    </row>
    <row r="57" spans="1:11" x14ac:dyDescent="0.25">
      <c r="A57" s="26">
        <v>14</v>
      </c>
      <c r="B57" s="27">
        <v>0.5</v>
      </c>
      <c r="E57" s="26">
        <v>10.5</v>
      </c>
      <c r="F57" s="27">
        <v>0</v>
      </c>
      <c r="I57" s="26">
        <v>7</v>
      </c>
      <c r="J57" s="27">
        <v>0.35</v>
      </c>
    </row>
    <row r="58" spans="1:11" x14ac:dyDescent="0.25">
      <c r="A58" s="26">
        <v>16</v>
      </c>
      <c r="B58" s="27">
        <v>0.6</v>
      </c>
      <c r="E58" s="26">
        <v>12</v>
      </c>
      <c r="F58" s="27">
        <v>0.1</v>
      </c>
      <c r="I58" s="26">
        <v>8</v>
      </c>
      <c r="J58" s="27">
        <v>0.45</v>
      </c>
    </row>
    <row r="59" spans="1:11" x14ac:dyDescent="0.25">
      <c r="A59" s="29">
        <v>18</v>
      </c>
      <c r="B59" s="30">
        <v>0.7</v>
      </c>
      <c r="E59" s="29">
        <v>13.5</v>
      </c>
      <c r="F59" s="30">
        <v>0.2</v>
      </c>
      <c r="I59" s="29">
        <v>9</v>
      </c>
      <c r="J59" s="30">
        <v>0.55000000000000004</v>
      </c>
    </row>
    <row r="60" spans="1:11" x14ac:dyDescent="0.25">
      <c r="A60" s="29">
        <v>20</v>
      </c>
      <c r="B60" s="30"/>
      <c r="E60" s="29">
        <v>15</v>
      </c>
      <c r="F60" s="30"/>
      <c r="I60" s="29">
        <v>10</v>
      </c>
      <c r="J60" s="30"/>
    </row>
    <row r="61" spans="1:11" x14ac:dyDescent="0.25">
      <c r="A61" s="104">
        <f>A73+E73+I73</f>
        <v>30</v>
      </c>
      <c r="B61" s="111" t="s">
        <v>319</v>
      </c>
      <c r="C61" s="111"/>
      <c r="D61" s="111"/>
      <c r="E61" s="111"/>
      <c r="F61" s="111"/>
      <c r="G61" s="111"/>
      <c r="H61" s="111"/>
      <c r="I61" s="111"/>
      <c r="J61" s="111"/>
      <c r="K61" s="111"/>
    </row>
    <row r="62" spans="1:11" ht="15" customHeight="1" x14ac:dyDescent="0.25">
      <c r="A62" s="118" t="s">
        <v>126</v>
      </c>
      <c r="B62" s="118"/>
      <c r="C62" s="118"/>
      <c r="D62" s="107"/>
      <c r="E62" s="118" t="s">
        <v>229</v>
      </c>
      <c r="F62" s="118"/>
      <c r="G62" s="118"/>
      <c r="H62" s="107"/>
      <c r="I62" s="118" t="s">
        <v>127</v>
      </c>
      <c r="J62" s="118"/>
      <c r="K62" s="118"/>
    </row>
    <row r="63" spans="1:11" x14ac:dyDescent="0.25">
      <c r="A63" s="72" t="s">
        <v>133</v>
      </c>
      <c r="B63" s="72" t="s">
        <v>134</v>
      </c>
      <c r="C63" s="72"/>
      <c r="D63" s="72"/>
      <c r="E63" s="72" t="s">
        <v>133</v>
      </c>
      <c r="F63" s="72" t="s">
        <v>134</v>
      </c>
      <c r="G63" s="72"/>
      <c r="H63" s="72"/>
      <c r="I63" s="72" t="s">
        <v>133</v>
      </c>
      <c r="J63" s="72" t="s">
        <v>134</v>
      </c>
      <c r="K63" s="72"/>
    </row>
    <row r="64" spans="1:11" x14ac:dyDescent="0.25">
      <c r="A64" s="18">
        <v>1.5</v>
      </c>
      <c r="B64" s="19">
        <v>5.0000000000000001E-3</v>
      </c>
      <c r="E64" s="18">
        <v>1</v>
      </c>
      <c r="F64" s="19">
        <v>5.0000000000000001E-3</v>
      </c>
      <c r="I64" s="18">
        <v>0.5</v>
      </c>
      <c r="J64" s="19">
        <v>-0.2</v>
      </c>
    </row>
    <row r="65" spans="1:11" x14ac:dyDescent="0.25">
      <c r="A65" s="18">
        <v>3</v>
      </c>
      <c r="B65" s="19">
        <v>0.01</v>
      </c>
      <c r="E65" s="18">
        <v>2</v>
      </c>
      <c r="F65" s="19">
        <v>0.01</v>
      </c>
      <c r="I65" s="18">
        <v>1</v>
      </c>
      <c r="J65" s="19">
        <v>-0.15</v>
      </c>
    </row>
    <row r="66" spans="1:11" x14ac:dyDescent="0.25">
      <c r="A66" s="21">
        <v>4.5</v>
      </c>
      <c r="B66" s="22">
        <v>1.4999999999999999E-2</v>
      </c>
      <c r="E66" s="21">
        <v>3</v>
      </c>
      <c r="F66" s="22">
        <v>1.4999999999999999E-2</v>
      </c>
      <c r="I66" s="21">
        <v>1.5</v>
      </c>
      <c r="J66" s="22">
        <v>-0.1</v>
      </c>
    </row>
    <row r="67" spans="1:11" x14ac:dyDescent="0.25">
      <c r="A67" s="21">
        <v>6</v>
      </c>
      <c r="B67" s="22">
        <v>0.02</v>
      </c>
      <c r="E67" s="21">
        <v>4</v>
      </c>
      <c r="F67" s="22">
        <v>0.02</v>
      </c>
      <c r="I67" s="21">
        <v>2</v>
      </c>
      <c r="J67" s="22">
        <v>-0.05</v>
      </c>
    </row>
    <row r="68" spans="1:11" x14ac:dyDescent="0.25">
      <c r="A68" s="24">
        <v>7.5</v>
      </c>
      <c r="B68" s="25">
        <v>2.5000000000000001E-2</v>
      </c>
      <c r="E68" s="24">
        <v>5</v>
      </c>
      <c r="F68" s="25">
        <v>2.5000000000000001E-2</v>
      </c>
      <c r="I68" s="24">
        <v>2.5</v>
      </c>
      <c r="J68" s="25">
        <v>0</v>
      </c>
    </row>
    <row r="69" spans="1:11" x14ac:dyDescent="0.25">
      <c r="A69" s="24">
        <v>9</v>
      </c>
      <c r="B69" s="25">
        <v>0.03</v>
      </c>
      <c r="E69" s="24">
        <v>6</v>
      </c>
      <c r="F69" s="25">
        <v>0.03</v>
      </c>
      <c r="I69" s="24">
        <v>3</v>
      </c>
      <c r="J69" s="25">
        <v>0.05</v>
      </c>
    </row>
    <row r="70" spans="1:11" x14ac:dyDescent="0.25">
      <c r="A70" s="26">
        <v>10.5</v>
      </c>
      <c r="B70" s="27">
        <v>3.5000000000000003E-2</v>
      </c>
      <c r="E70" s="26">
        <v>7</v>
      </c>
      <c r="F70" s="27">
        <v>3.5000000000000003E-2</v>
      </c>
      <c r="I70" s="26">
        <v>3.5</v>
      </c>
      <c r="J70" s="27">
        <v>0.1</v>
      </c>
    </row>
    <row r="71" spans="1:11" x14ac:dyDescent="0.25">
      <c r="A71" s="26">
        <v>12</v>
      </c>
      <c r="B71" s="27">
        <v>0.04</v>
      </c>
      <c r="E71" s="26">
        <v>8</v>
      </c>
      <c r="F71" s="27">
        <v>0.04</v>
      </c>
      <c r="I71" s="26">
        <v>4</v>
      </c>
      <c r="J71" s="27">
        <v>0.15</v>
      </c>
    </row>
    <row r="72" spans="1:11" x14ac:dyDescent="0.25">
      <c r="A72" s="29">
        <v>13.5</v>
      </c>
      <c r="B72" s="30">
        <v>4.4999999999999998E-2</v>
      </c>
      <c r="E72" s="29">
        <v>9</v>
      </c>
      <c r="F72" s="30">
        <v>4.4999999999999998E-2</v>
      </c>
      <c r="I72" s="29">
        <v>4.5</v>
      </c>
      <c r="J72" s="30">
        <v>0.2</v>
      </c>
    </row>
    <row r="73" spans="1:11" x14ac:dyDescent="0.25">
      <c r="A73" s="29">
        <v>15</v>
      </c>
      <c r="B73" s="30"/>
      <c r="E73" s="29">
        <v>10</v>
      </c>
      <c r="F73" s="30"/>
      <c r="I73" s="29">
        <v>5</v>
      </c>
      <c r="J73" s="30"/>
    </row>
    <row r="74" spans="1:11" x14ac:dyDescent="0.25">
      <c r="A74" s="104">
        <f>A77+E77+I86</f>
        <v>25</v>
      </c>
      <c r="B74" s="111" t="s">
        <v>320</v>
      </c>
      <c r="C74" s="111"/>
      <c r="D74" s="111"/>
      <c r="E74" s="111"/>
      <c r="F74" s="111"/>
      <c r="G74" s="111"/>
      <c r="H74" s="111"/>
      <c r="I74" s="111"/>
      <c r="J74" s="111"/>
      <c r="K74" s="111"/>
    </row>
    <row r="75" spans="1:11" ht="15" customHeight="1" x14ac:dyDescent="0.25">
      <c r="A75" s="119" t="s">
        <v>152</v>
      </c>
      <c r="B75" s="119"/>
      <c r="C75" s="119"/>
      <c r="D75" s="109"/>
      <c r="E75" s="119" t="s">
        <v>153</v>
      </c>
      <c r="F75" s="119"/>
      <c r="G75" s="119"/>
      <c r="H75" s="109"/>
      <c r="I75" s="119" t="s">
        <v>154</v>
      </c>
      <c r="J75" s="119"/>
      <c r="K75" s="119"/>
    </row>
    <row r="76" spans="1:11" x14ac:dyDescent="0.25">
      <c r="A76" s="72" t="s">
        <v>133</v>
      </c>
      <c r="B76" s="72" t="s">
        <v>134</v>
      </c>
      <c r="C76" s="72"/>
      <c r="D76" s="72"/>
      <c r="E76" s="72" t="s">
        <v>133</v>
      </c>
      <c r="F76" s="72" t="s">
        <v>134</v>
      </c>
      <c r="G76" s="72"/>
      <c r="H76" s="72"/>
      <c r="I76" s="72" t="s">
        <v>133</v>
      </c>
      <c r="J76" s="72" t="s">
        <v>134</v>
      </c>
      <c r="K76" s="72"/>
    </row>
    <row r="77" spans="1:11" x14ac:dyDescent="0.25">
      <c r="A77" s="29">
        <v>10</v>
      </c>
      <c r="B77" s="30">
        <v>-3.5000000000000003E-2</v>
      </c>
      <c r="E77" s="29">
        <v>10</v>
      </c>
      <c r="F77" s="30">
        <v>-3.5000000000000003E-2</v>
      </c>
      <c r="I77" s="18">
        <v>0.5</v>
      </c>
      <c r="J77" s="46">
        <v>-9.9999990000000007</v>
      </c>
    </row>
    <row r="78" spans="1:11" x14ac:dyDescent="0.25">
      <c r="A78" s="29">
        <v>9</v>
      </c>
      <c r="B78" s="30">
        <v>-0.03</v>
      </c>
      <c r="E78" s="29">
        <v>9</v>
      </c>
      <c r="F78" s="30">
        <v>-0.03</v>
      </c>
      <c r="I78" s="18">
        <v>1</v>
      </c>
      <c r="J78" s="46">
        <v>-0.99999899999999997</v>
      </c>
    </row>
    <row r="79" spans="1:11" x14ac:dyDescent="0.25">
      <c r="A79" s="26">
        <v>8</v>
      </c>
      <c r="B79" s="27">
        <v>-2.5000000000000001E-2</v>
      </c>
      <c r="E79" s="26">
        <v>8</v>
      </c>
      <c r="F79" s="27">
        <v>-2.5000000000000001E-2</v>
      </c>
      <c r="I79" s="21">
        <v>1.5</v>
      </c>
      <c r="J79" s="47">
        <v>-0.5</v>
      </c>
    </row>
    <row r="80" spans="1:11" x14ac:dyDescent="0.25">
      <c r="A80" s="26">
        <v>7</v>
      </c>
      <c r="B80" s="27">
        <v>-0.02</v>
      </c>
      <c r="E80" s="26">
        <v>7</v>
      </c>
      <c r="F80" s="27">
        <v>-0.02</v>
      </c>
      <c r="I80" s="21">
        <v>2</v>
      </c>
      <c r="J80" s="47">
        <v>-0.25</v>
      </c>
    </row>
    <row r="81" spans="1:11" x14ac:dyDescent="0.25">
      <c r="A81" s="24">
        <v>6</v>
      </c>
      <c r="B81" s="25">
        <v>-1.4999999999999999E-2</v>
      </c>
      <c r="E81" s="24">
        <v>6</v>
      </c>
      <c r="F81" s="25">
        <v>-1.4999999999999999E-2</v>
      </c>
      <c r="I81" s="24">
        <v>2.5</v>
      </c>
      <c r="J81" s="48">
        <v>0</v>
      </c>
    </row>
    <row r="82" spans="1:11" x14ac:dyDescent="0.25">
      <c r="A82" s="24">
        <v>5</v>
      </c>
      <c r="B82" s="25">
        <v>-0.01</v>
      </c>
      <c r="E82" s="24">
        <v>5</v>
      </c>
      <c r="F82" s="25">
        <v>-0.01</v>
      </c>
      <c r="I82" s="24">
        <v>3</v>
      </c>
      <c r="J82" s="48">
        <v>0.25</v>
      </c>
    </row>
    <row r="83" spans="1:11" x14ac:dyDescent="0.25">
      <c r="A83" s="21">
        <v>4</v>
      </c>
      <c r="B83" s="22">
        <v>-5.0000000000000001E-3</v>
      </c>
      <c r="E83" s="21">
        <v>4</v>
      </c>
      <c r="F83" s="22">
        <v>-5.0000000000000001E-3</v>
      </c>
      <c r="I83" s="26">
        <v>3.5</v>
      </c>
      <c r="J83" s="49">
        <v>0.5</v>
      </c>
    </row>
    <row r="84" spans="1:11" x14ac:dyDescent="0.25">
      <c r="A84" s="21">
        <v>3</v>
      </c>
      <c r="B84" s="22">
        <v>0</v>
      </c>
      <c r="E84" s="21">
        <v>3</v>
      </c>
      <c r="F84" s="22">
        <v>0</v>
      </c>
      <c r="I84" s="26">
        <v>4</v>
      </c>
      <c r="J84" s="49">
        <v>0.75</v>
      </c>
    </row>
    <row r="85" spans="1:11" x14ac:dyDescent="0.25">
      <c r="A85" s="18">
        <v>2</v>
      </c>
      <c r="B85" s="19">
        <v>5.0000000000000001E-3</v>
      </c>
      <c r="E85" s="18">
        <v>2</v>
      </c>
      <c r="F85" s="19">
        <v>5.0000000000000001E-3</v>
      </c>
      <c r="I85" s="29">
        <v>4.5</v>
      </c>
      <c r="J85" s="50">
        <v>1</v>
      </c>
    </row>
    <row r="86" spans="1:11" x14ac:dyDescent="0.25">
      <c r="A86" s="18">
        <v>1</v>
      </c>
      <c r="B86" s="19"/>
      <c r="E86" s="18">
        <v>1</v>
      </c>
      <c r="F86" s="19"/>
      <c r="I86" s="29">
        <v>5</v>
      </c>
      <c r="J86" s="50"/>
    </row>
    <row r="87" spans="1:11" x14ac:dyDescent="0.25">
      <c r="A87" s="104">
        <f>A90+E90+I90</f>
        <v>30</v>
      </c>
      <c r="B87" s="111" t="s">
        <v>254</v>
      </c>
      <c r="C87" s="111"/>
      <c r="D87" s="111"/>
      <c r="E87" s="111"/>
      <c r="F87" s="111"/>
      <c r="G87" s="111"/>
      <c r="H87" s="111"/>
      <c r="I87" s="111"/>
      <c r="J87" s="111"/>
      <c r="K87" s="111"/>
    </row>
    <row r="88" spans="1:11" ht="15" customHeight="1" x14ac:dyDescent="0.25">
      <c r="A88" s="118" t="s">
        <v>135</v>
      </c>
      <c r="B88" s="118"/>
      <c r="C88" s="118"/>
      <c r="D88" s="107"/>
      <c r="E88" s="119" t="s">
        <v>219</v>
      </c>
      <c r="F88" s="119"/>
      <c r="G88" s="119"/>
      <c r="H88" s="106"/>
      <c r="I88" s="118" t="s">
        <v>128</v>
      </c>
      <c r="J88" s="118"/>
      <c r="K88" s="118"/>
    </row>
    <row r="89" spans="1:11" x14ac:dyDescent="0.25">
      <c r="A89" s="72" t="s">
        <v>133</v>
      </c>
      <c r="B89" s="72" t="s">
        <v>134</v>
      </c>
      <c r="C89" s="72"/>
      <c r="D89" s="72"/>
      <c r="E89" s="72" t="s">
        <v>133</v>
      </c>
      <c r="F89" s="72" t="s">
        <v>134</v>
      </c>
      <c r="G89" s="72"/>
      <c r="H89" s="72"/>
      <c r="I89" s="72" t="s">
        <v>133</v>
      </c>
      <c r="J89" s="72" t="s">
        <v>134</v>
      </c>
      <c r="K89" s="72"/>
    </row>
    <row r="90" spans="1:11" x14ac:dyDescent="0.25">
      <c r="A90" s="29">
        <v>10</v>
      </c>
      <c r="B90" s="30">
        <v>0.4</v>
      </c>
      <c r="E90" s="29">
        <v>10</v>
      </c>
      <c r="F90" s="30">
        <v>0.4</v>
      </c>
      <c r="I90" s="29">
        <v>10</v>
      </c>
      <c r="J90" s="30">
        <v>-0.2</v>
      </c>
    </row>
    <row r="91" spans="1:11" x14ac:dyDescent="0.25">
      <c r="A91" s="29">
        <v>9</v>
      </c>
      <c r="B91" s="30">
        <v>0.45</v>
      </c>
      <c r="E91" s="29">
        <v>9</v>
      </c>
      <c r="F91" s="30">
        <v>0.45</v>
      </c>
      <c r="I91" s="29">
        <v>9</v>
      </c>
      <c r="J91" s="30">
        <v>-0.15</v>
      </c>
    </row>
    <row r="92" spans="1:11" x14ac:dyDescent="0.25">
      <c r="A92" s="26">
        <v>8</v>
      </c>
      <c r="B92" s="27">
        <v>0.5</v>
      </c>
      <c r="E92" s="26">
        <v>8</v>
      </c>
      <c r="F92" s="27">
        <v>0.5</v>
      </c>
      <c r="I92" s="26">
        <v>8</v>
      </c>
      <c r="J92" s="27">
        <v>-0.1</v>
      </c>
    </row>
    <row r="93" spans="1:11" x14ac:dyDescent="0.25">
      <c r="A93" s="26">
        <v>7</v>
      </c>
      <c r="B93" s="27">
        <v>0.55000000000000004</v>
      </c>
      <c r="E93" s="26">
        <v>7</v>
      </c>
      <c r="F93" s="27">
        <v>0.55000000000000004</v>
      </c>
      <c r="I93" s="26">
        <v>7</v>
      </c>
      <c r="J93" s="27">
        <v>-0.05</v>
      </c>
    </row>
    <row r="94" spans="1:11" x14ac:dyDescent="0.25">
      <c r="A94" s="24">
        <v>6</v>
      </c>
      <c r="B94" s="25">
        <v>0.6</v>
      </c>
      <c r="E94" s="24">
        <v>6</v>
      </c>
      <c r="F94" s="25">
        <v>0.6</v>
      </c>
      <c r="I94" s="24">
        <v>6</v>
      </c>
      <c r="J94" s="25">
        <v>0</v>
      </c>
    </row>
    <row r="95" spans="1:11" x14ac:dyDescent="0.25">
      <c r="A95" s="24">
        <v>5</v>
      </c>
      <c r="B95" s="25">
        <v>0.65</v>
      </c>
      <c r="E95" s="24">
        <v>5</v>
      </c>
      <c r="F95" s="25">
        <v>0.65</v>
      </c>
      <c r="I95" s="24">
        <v>5</v>
      </c>
      <c r="J95" s="25">
        <v>0.05</v>
      </c>
    </row>
    <row r="96" spans="1:11" x14ac:dyDescent="0.25">
      <c r="A96" s="21">
        <v>4</v>
      </c>
      <c r="B96" s="22">
        <v>0.7</v>
      </c>
      <c r="E96" s="21">
        <v>4</v>
      </c>
      <c r="F96" s="22">
        <v>0.7</v>
      </c>
      <c r="I96" s="21">
        <v>4</v>
      </c>
      <c r="J96" s="22">
        <v>0.1</v>
      </c>
    </row>
    <row r="97" spans="1:10" x14ac:dyDescent="0.25">
      <c r="A97" s="21">
        <v>3</v>
      </c>
      <c r="B97" s="22">
        <v>0.75</v>
      </c>
      <c r="E97" s="21">
        <v>3</v>
      </c>
      <c r="F97" s="22">
        <v>0.75</v>
      </c>
      <c r="I97" s="21">
        <v>3</v>
      </c>
      <c r="J97" s="22">
        <v>0.15</v>
      </c>
    </row>
    <row r="98" spans="1:10" x14ac:dyDescent="0.25">
      <c r="A98" s="18">
        <v>2</v>
      </c>
      <c r="B98" s="19">
        <v>0.8</v>
      </c>
      <c r="E98" s="18">
        <v>2</v>
      </c>
      <c r="F98" s="19">
        <v>0.8</v>
      </c>
      <c r="I98" s="18">
        <v>2</v>
      </c>
      <c r="J98" s="19">
        <v>0.2</v>
      </c>
    </row>
    <row r="99" spans="1:10" x14ac:dyDescent="0.25">
      <c r="A99" s="18">
        <v>1</v>
      </c>
      <c r="B99" s="19"/>
      <c r="E99" s="18">
        <v>1</v>
      </c>
      <c r="F99" s="19"/>
      <c r="I99" s="18">
        <v>1</v>
      </c>
      <c r="J99" s="19"/>
    </row>
  </sheetData>
  <mergeCells count="33">
    <mergeCell ref="I10:K21"/>
    <mergeCell ref="A1:B1"/>
    <mergeCell ref="D2:K2"/>
    <mergeCell ref="D3:K3"/>
    <mergeCell ref="D4:K4"/>
    <mergeCell ref="D5:K5"/>
    <mergeCell ref="B9:K9"/>
    <mergeCell ref="A10:C10"/>
    <mergeCell ref="E10:G10"/>
    <mergeCell ref="B87:K87"/>
    <mergeCell ref="A88:C88"/>
    <mergeCell ref="E88:G88"/>
    <mergeCell ref="I88:K88"/>
    <mergeCell ref="A62:C62"/>
    <mergeCell ref="E62:G62"/>
    <mergeCell ref="I62:K62"/>
    <mergeCell ref="A75:C75"/>
    <mergeCell ref="E75:G75"/>
    <mergeCell ref="I75:K75"/>
    <mergeCell ref="B74:K74"/>
    <mergeCell ref="B22:K22"/>
    <mergeCell ref="B35:K35"/>
    <mergeCell ref="B48:K48"/>
    <mergeCell ref="B61:K61"/>
    <mergeCell ref="A36:C36"/>
    <mergeCell ref="E36:G36"/>
    <mergeCell ref="I36:K36"/>
    <mergeCell ref="A49:C49"/>
    <mergeCell ref="E49:G49"/>
    <mergeCell ref="I49:K49"/>
    <mergeCell ref="A23:C23"/>
    <mergeCell ref="E23:G23"/>
    <mergeCell ref="I23:K23"/>
  </mergeCells>
  <conditionalFormatting sqref="C7">
    <cfRule type="cellIs" dxfId="0" priority="1" operator="notEqual">
      <formula>$B$7</formula>
    </cfRule>
  </conditionalFormatting>
  <hyperlinks>
    <hyperlink ref="D3" r:id="rId1"/>
    <hyperlink ref="D5" r:id="rId2"/>
  </hyperlinks>
  <pageMargins left="0.7" right="0.7" top="0.78740157499999996" bottom="0.78740157499999996"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2"/>
  <sheetViews>
    <sheetView zoomScale="60" zoomScaleNormal="60" workbookViewId="0">
      <pane ySplit="2" topLeftCell="A3" activePane="bottomLeft" state="frozenSplit"/>
      <selection pane="bottomLeft"/>
    </sheetView>
  </sheetViews>
  <sheetFormatPr baseColWidth="10" defaultRowHeight="15" x14ac:dyDescent="0.25"/>
  <cols>
    <col min="1" max="1" width="28" bestFit="1" customWidth="1"/>
    <col min="2" max="2" width="20.85546875" bestFit="1" customWidth="1"/>
    <col min="3" max="3" width="14.7109375" bestFit="1" customWidth="1"/>
    <col min="4" max="4" width="15.140625" bestFit="1" customWidth="1"/>
    <col min="5" max="5" width="14.42578125" bestFit="1" customWidth="1"/>
    <col min="6" max="13" width="14.85546875" bestFit="1" customWidth="1"/>
    <col min="14" max="14" width="15.85546875" bestFit="1" customWidth="1"/>
  </cols>
  <sheetData>
    <row r="1" spans="1:15" x14ac:dyDescent="0.25">
      <c r="B1" s="38"/>
      <c r="C1" s="38"/>
      <c r="D1" s="37">
        <v>2015</v>
      </c>
      <c r="E1" s="37">
        <v>2014</v>
      </c>
      <c r="F1" s="37">
        <v>2013</v>
      </c>
      <c r="G1" s="37">
        <v>2012</v>
      </c>
      <c r="H1" s="37">
        <v>2011</v>
      </c>
      <c r="I1" s="37">
        <v>2010</v>
      </c>
      <c r="J1" s="37">
        <v>2009</v>
      </c>
      <c r="K1" s="37">
        <v>2008</v>
      </c>
      <c r="L1" s="37">
        <v>2007</v>
      </c>
      <c r="M1" s="37">
        <v>2006</v>
      </c>
      <c r="N1" s="37">
        <v>2005</v>
      </c>
      <c r="O1" s="38"/>
    </row>
    <row r="2" spans="1:15" x14ac:dyDescent="0.25">
      <c r="A2" s="37" t="s">
        <v>0</v>
      </c>
      <c r="B2" s="37" t="s">
        <v>1</v>
      </c>
      <c r="C2" s="37" t="s">
        <v>171</v>
      </c>
      <c r="D2" s="37" t="s">
        <v>112</v>
      </c>
      <c r="E2" s="37" t="s">
        <v>101</v>
      </c>
      <c r="F2" s="37" t="s">
        <v>102</v>
      </c>
      <c r="G2" s="37" t="s">
        <v>103</v>
      </c>
      <c r="H2" s="37" t="s">
        <v>104</v>
      </c>
      <c r="I2" s="37" t="s">
        <v>105</v>
      </c>
      <c r="J2" s="37" t="s">
        <v>106</v>
      </c>
      <c r="K2" s="37" t="s">
        <v>107</v>
      </c>
      <c r="L2" s="37" t="s">
        <v>108</v>
      </c>
      <c r="M2" s="37" t="s">
        <v>109</v>
      </c>
      <c r="N2" s="37" t="s">
        <v>110</v>
      </c>
      <c r="O2" s="38"/>
    </row>
    <row r="3" spans="1:15" x14ac:dyDescent="0.25">
      <c r="A3" s="38" t="s">
        <v>80</v>
      </c>
      <c r="B3" s="38" t="s">
        <v>164</v>
      </c>
      <c r="C3" s="66">
        <f t="shared" ref="C3:C34" si="0">SUM(D3:N3)</f>
        <v>2</v>
      </c>
      <c r="D3" s="56">
        <v>1</v>
      </c>
      <c r="E3" s="56">
        <v>1</v>
      </c>
      <c r="F3" s="56">
        <v>0</v>
      </c>
      <c r="G3" s="56">
        <v>0</v>
      </c>
      <c r="H3" s="56">
        <v>0</v>
      </c>
      <c r="I3" s="56">
        <v>0</v>
      </c>
      <c r="J3" s="56">
        <v>0</v>
      </c>
      <c r="K3" s="56">
        <v>0</v>
      </c>
      <c r="L3" s="56">
        <v>0</v>
      </c>
      <c r="M3" s="56">
        <v>0</v>
      </c>
      <c r="N3" s="56">
        <v>0</v>
      </c>
    </row>
    <row r="4" spans="1:15" x14ac:dyDescent="0.25">
      <c r="A4" s="38" t="s">
        <v>2</v>
      </c>
      <c r="B4" s="38" t="s">
        <v>3</v>
      </c>
      <c r="C4" s="66">
        <f t="shared" si="0"/>
        <v>10</v>
      </c>
      <c r="D4" s="56">
        <v>1</v>
      </c>
      <c r="E4" s="56">
        <v>1</v>
      </c>
      <c r="F4" s="56">
        <v>1</v>
      </c>
      <c r="G4" s="56">
        <v>1</v>
      </c>
      <c r="H4" s="56">
        <v>1</v>
      </c>
      <c r="I4" s="56">
        <v>1</v>
      </c>
      <c r="J4" s="56">
        <v>1</v>
      </c>
      <c r="K4" s="56">
        <v>1</v>
      </c>
      <c r="L4" s="56">
        <v>0</v>
      </c>
      <c r="M4" s="56">
        <v>1</v>
      </c>
      <c r="N4" s="56">
        <v>1</v>
      </c>
    </row>
    <row r="5" spans="1:15" x14ac:dyDescent="0.25">
      <c r="A5" s="38" t="s">
        <v>4</v>
      </c>
      <c r="B5" s="38" t="s">
        <v>5</v>
      </c>
      <c r="C5" s="66">
        <f t="shared" si="0"/>
        <v>11</v>
      </c>
      <c r="D5" s="56">
        <v>1</v>
      </c>
      <c r="E5" s="56">
        <v>1</v>
      </c>
      <c r="F5" s="56">
        <v>1</v>
      </c>
      <c r="G5" s="56">
        <v>1</v>
      </c>
      <c r="H5" s="56">
        <v>1</v>
      </c>
      <c r="I5" s="56">
        <v>1</v>
      </c>
      <c r="J5" s="56">
        <v>1</v>
      </c>
      <c r="K5" s="56">
        <v>1</v>
      </c>
      <c r="L5" s="56">
        <v>1</v>
      </c>
      <c r="M5" s="56">
        <v>1</v>
      </c>
      <c r="N5" s="56">
        <v>1</v>
      </c>
    </row>
    <row r="6" spans="1:15" x14ac:dyDescent="0.25">
      <c r="A6" s="38" t="s">
        <v>6</v>
      </c>
      <c r="B6" s="38" t="s">
        <v>7</v>
      </c>
      <c r="C6" s="66">
        <f t="shared" si="0"/>
        <v>7</v>
      </c>
      <c r="D6" s="56">
        <v>1</v>
      </c>
      <c r="E6" s="56">
        <v>0</v>
      </c>
      <c r="F6" s="56">
        <v>0</v>
      </c>
      <c r="G6" s="56">
        <v>1</v>
      </c>
      <c r="H6" s="56">
        <v>1</v>
      </c>
      <c r="I6" s="56">
        <v>0</v>
      </c>
      <c r="J6" s="56">
        <v>1</v>
      </c>
      <c r="K6" s="56">
        <v>0</v>
      </c>
      <c r="L6" s="56">
        <v>1</v>
      </c>
      <c r="M6" s="56">
        <v>1</v>
      </c>
      <c r="N6" s="56">
        <v>1</v>
      </c>
    </row>
    <row r="7" spans="1:15" x14ac:dyDescent="0.25">
      <c r="A7" s="38" t="s">
        <v>8</v>
      </c>
      <c r="B7" s="38" t="s">
        <v>9</v>
      </c>
      <c r="C7" s="66">
        <f t="shared" si="0"/>
        <v>1</v>
      </c>
      <c r="D7" s="56">
        <v>1</v>
      </c>
      <c r="E7" s="56">
        <v>0</v>
      </c>
      <c r="F7" s="56">
        <v>0</v>
      </c>
      <c r="G7" s="56">
        <v>0</v>
      </c>
      <c r="H7" s="56">
        <v>0</v>
      </c>
      <c r="I7" s="56">
        <v>0</v>
      </c>
      <c r="J7" s="56">
        <v>0</v>
      </c>
      <c r="K7" s="56">
        <v>0</v>
      </c>
      <c r="L7" s="56">
        <v>0</v>
      </c>
      <c r="M7" s="56">
        <v>0</v>
      </c>
      <c r="N7" s="56">
        <v>0</v>
      </c>
    </row>
    <row r="8" spans="1:15" x14ac:dyDescent="0.25">
      <c r="A8" s="38" t="s">
        <v>10</v>
      </c>
      <c r="B8" s="38" t="s">
        <v>11</v>
      </c>
      <c r="C8" s="66">
        <f t="shared" si="0"/>
        <v>11</v>
      </c>
      <c r="D8" s="56">
        <v>1</v>
      </c>
      <c r="E8" s="56">
        <v>1</v>
      </c>
      <c r="F8" s="56">
        <v>1</v>
      </c>
      <c r="G8" s="56">
        <v>1</v>
      </c>
      <c r="H8" s="56">
        <v>1</v>
      </c>
      <c r="I8" s="56">
        <v>1</v>
      </c>
      <c r="J8" s="56">
        <v>1</v>
      </c>
      <c r="K8" s="56">
        <v>1</v>
      </c>
      <c r="L8" s="56">
        <v>1</v>
      </c>
      <c r="M8" s="56">
        <v>1</v>
      </c>
      <c r="N8" s="56">
        <v>1</v>
      </c>
    </row>
    <row r="9" spans="1:15" x14ac:dyDescent="0.25">
      <c r="A9" s="38" t="s">
        <v>12</v>
      </c>
      <c r="B9" s="38" t="s">
        <v>13</v>
      </c>
      <c r="C9" s="66">
        <f t="shared" si="0"/>
        <v>1</v>
      </c>
      <c r="D9" s="56">
        <v>1</v>
      </c>
      <c r="E9" s="56">
        <v>0</v>
      </c>
      <c r="F9" s="56">
        <v>0</v>
      </c>
      <c r="G9" s="56">
        <v>0</v>
      </c>
      <c r="H9" s="56">
        <v>0</v>
      </c>
      <c r="I9" s="56">
        <v>0</v>
      </c>
      <c r="J9" s="56">
        <v>0</v>
      </c>
      <c r="K9" s="56">
        <v>0</v>
      </c>
      <c r="L9" s="56">
        <v>0</v>
      </c>
      <c r="M9" s="56">
        <v>0</v>
      </c>
      <c r="N9" s="56">
        <v>0</v>
      </c>
    </row>
    <row r="10" spans="1:15" x14ac:dyDescent="0.25">
      <c r="A10" s="38" t="s">
        <v>14</v>
      </c>
      <c r="B10" s="38" t="s">
        <v>15</v>
      </c>
      <c r="C10" s="66">
        <f t="shared" si="0"/>
        <v>9</v>
      </c>
      <c r="D10" s="56">
        <v>1</v>
      </c>
      <c r="E10" s="56">
        <v>1</v>
      </c>
      <c r="F10" s="56">
        <v>1</v>
      </c>
      <c r="G10" s="56">
        <v>1</v>
      </c>
      <c r="H10" s="56">
        <v>0</v>
      </c>
      <c r="I10" s="56">
        <v>0</v>
      </c>
      <c r="J10" s="56">
        <v>1</v>
      </c>
      <c r="K10" s="56">
        <v>1</v>
      </c>
      <c r="L10" s="56">
        <v>1</v>
      </c>
      <c r="M10" s="56">
        <v>1</v>
      </c>
      <c r="N10" s="56">
        <v>1</v>
      </c>
    </row>
    <row r="11" spans="1:15" x14ac:dyDescent="0.25">
      <c r="A11" s="38" t="s">
        <v>16</v>
      </c>
      <c r="B11" s="38" t="s">
        <v>17</v>
      </c>
      <c r="C11" s="66">
        <f t="shared" si="0"/>
        <v>9</v>
      </c>
      <c r="D11" s="56">
        <v>1</v>
      </c>
      <c r="E11" s="56">
        <v>1</v>
      </c>
      <c r="F11" s="56">
        <v>1</v>
      </c>
      <c r="G11" s="56">
        <v>1</v>
      </c>
      <c r="H11" s="56">
        <v>1</v>
      </c>
      <c r="I11" s="56">
        <v>1</v>
      </c>
      <c r="J11" s="56">
        <v>1</v>
      </c>
      <c r="K11" s="56">
        <v>0</v>
      </c>
      <c r="L11" s="56">
        <v>0</v>
      </c>
      <c r="M11" s="56">
        <v>1</v>
      </c>
      <c r="N11" s="56">
        <v>1</v>
      </c>
    </row>
    <row r="12" spans="1:15" x14ac:dyDescent="0.25">
      <c r="A12" s="38" t="s">
        <v>18</v>
      </c>
      <c r="B12" s="38" t="s">
        <v>19</v>
      </c>
      <c r="C12" s="66">
        <f t="shared" si="0"/>
        <v>11</v>
      </c>
      <c r="D12" s="56">
        <v>1</v>
      </c>
      <c r="E12" s="56">
        <v>1</v>
      </c>
      <c r="F12" s="56">
        <v>1</v>
      </c>
      <c r="G12" s="56">
        <v>1</v>
      </c>
      <c r="H12" s="56">
        <v>1</v>
      </c>
      <c r="I12" s="56">
        <v>1</v>
      </c>
      <c r="J12" s="56">
        <v>1</v>
      </c>
      <c r="K12" s="56">
        <v>1</v>
      </c>
      <c r="L12" s="56">
        <v>1</v>
      </c>
      <c r="M12" s="56">
        <v>1</v>
      </c>
      <c r="N12" s="56">
        <v>1</v>
      </c>
    </row>
    <row r="13" spans="1:15" x14ac:dyDescent="0.25">
      <c r="A13" s="38" t="s">
        <v>20</v>
      </c>
      <c r="B13" s="38" t="s">
        <v>21</v>
      </c>
      <c r="C13" s="66">
        <f t="shared" si="0"/>
        <v>11</v>
      </c>
      <c r="D13" s="56">
        <v>1</v>
      </c>
      <c r="E13" s="56">
        <v>1</v>
      </c>
      <c r="F13" s="56">
        <v>1</v>
      </c>
      <c r="G13" s="56">
        <v>1</v>
      </c>
      <c r="H13" s="56">
        <v>1</v>
      </c>
      <c r="I13" s="56">
        <v>1</v>
      </c>
      <c r="J13" s="56">
        <v>1</v>
      </c>
      <c r="K13" s="56">
        <v>1</v>
      </c>
      <c r="L13" s="56">
        <v>1</v>
      </c>
      <c r="M13" s="56">
        <v>1</v>
      </c>
      <c r="N13" s="56">
        <v>1</v>
      </c>
    </row>
    <row r="14" spans="1:15" x14ac:dyDescent="0.25">
      <c r="A14" s="38" t="s">
        <v>22</v>
      </c>
      <c r="B14" s="38" t="s">
        <v>23</v>
      </c>
      <c r="C14" s="66">
        <f t="shared" si="0"/>
        <v>11</v>
      </c>
      <c r="D14" s="56">
        <v>1</v>
      </c>
      <c r="E14" s="56">
        <v>1</v>
      </c>
      <c r="F14" s="56">
        <v>1</v>
      </c>
      <c r="G14" s="56">
        <v>1</v>
      </c>
      <c r="H14" s="56">
        <v>1</v>
      </c>
      <c r="I14" s="56">
        <v>1</v>
      </c>
      <c r="J14" s="56">
        <v>1</v>
      </c>
      <c r="K14" s="56">
        <v>1</v>
      </c>
      <c r="L14" s="56">
        <v>1</v>
      </c>
      <c r="M14" s="56">
        <v>1</v>
      </c>
      <c r="N14" s="56">
        <v>1</v>
      </c>
    </row>
    <row r="15" spans="1:15" x14ac:dyDescent="0.25">
      <c r="A15" s="38" t="s">
        <v>24</v>
      </c>
      <c r="B15" s="38" t="s">
        <v>25</v>
      </c>
      <c r="C15" s="66">
        <f t="shared" si="0"/>
        <v>10</v>
      </c>
      <c r="D15" s="56">
        <v>1</v>
      </c>
      <c r="E15" s="56">
        <v>1</v>
      </c>
      <c r="F15" s="56">
        <v>1</v>
      </c>
      <c r="G15" s="56">
        <v>1</v>
      </c>
      <c r="H15" s="56">
        <v>1</v>
      </c>
      <c r="I15" s="56">
        <v>1</v>
      </c>
      <c r="J15" s="56">
        <v>1</v>
      </c>
      <c r="K15" s="56">
        <v>1</v>
      </c>
      <c r="L15" s="56">
        <v>0</v>
      </c>
      <c r="M15" s="56">
        <v>1</v>
      </c>
      <c r="N15" s="56">
        <v>1</v>
      </c>
    </row>
    <row r="16" spans="1:15" x14ac:dyDescent="0.25">
      <c r="A16" s="38" t="s">
        <v>26</v>
      </c>
      <c r="B16" s="38" t="s">
        <v>27</v>
      </c>
      <c r="C16" s="66">
        <f t="shared" si="0"/>
        <v>11</v>
      </c>
      <c r="D16" s="56">
        <v>1</v>
      </c>
      <c r="E16" s="56">
        <v>1</v>
      </c>
      <c r="F16" s="56">
        <v>1</v>
      </c>
      <c r="G16" s="56">
        <v>1</v>
      </c>
      <c r="H16" s="56">
        <v>1</v>
      </c>
      <c r="I16" s="56">
        <v>1</v>
      </c>
      <c r="J16" s="56">
        <v>1</v>
      </c>
      <c r="K16" s="56">
        <v>1</v>
      </c>
      <c r="L16" s="56">
        <v>1</v>
      </c>
      <c r="M16" s="56">
        <v>1</v>
      </c>
      <c r="N16" s="56">
        <v>1</v>
      </c>
    </row>
    <row r="17" spans="1:14" x14ac:dyDescent="0.25">
      <c r="A17" s="38" t="s">
        <v>28</v>
      </c>
      <c r="B17" s="38" t="s">
        <v>29</v>
      </c>
      <c r="C17" s="66">
        <f t="shared" si="0"/>
        <v>10</v>
      </c>
      <c r="D17" s="56">
        <v>1</v>
      </c>
      <c r="E17" s="56">
        <v>1</v>
      </c>
      <c r="F17" s="56">
        <v>1</v>
      </c>
      <c r="G17" s="56">
        <v>1</v>
      </c>
      <c r="H17" s="56">
        <v>1</v>
      </c>
      <c r="I17" s="56">
        <v>1</v>
      </c>
      <c r="J17" s="56">
        <v>1</v>
      </c>
      <c r="K17" s="56">
        <v>1</v>
      </c>
      <c r="L17" s="56">
        <v>0</v>
      </c>
      <c r="M17" s="56">
        <v>1</v>
      </c>
      <c r="N17" s="56">
        <v>1</v>
      </c>
    </row>
    <row r="18" spans="1:14" x14ac:dyDescent="0.25">
      <c r="A18" s="38" t="s">
        <v>30</v>
      </c>
      <c r="B18" s="38" t="s">
        <v>31</v>
      </c>
      <c r="C18" s="66">
        <f t="shared" si="0"/>
        <v>9</v>
      </c>
      <c r="D18" s="56">
        <v>1</v>
      </c>
      <c r="E18" s="56">
        <v>1</v>
      </c>
      <c r="F18" s="56">
        <v>1</v>
      </c>
      <c r="G18" s="56">
        <v>1</v>
      </c>
      <c r="H18" s="56">
        <v>1</v>
      </c>
      <c r="I18" s="56">
        <v>1</v>
      </c>
      <c r="J18" s="56">
        <v>1</v>
      </c>
      <c r="K18" s="56">
        <v>1</v>
      </c>
      <c r="L18" s="56">
        <v>1</v>
      </c>
      <c r="M18" s="56">
        <v>0</v>
      </c>
      <c r="N18" s="56">
        <v>0</v>
      </c>
    </row>
    <row r="19" spans="1:14" x14ac:dyDescent="0.25">
      <c r="A19" s="38" t="s">
        <v>32</v>
      </c>
      <c r="B19" s="38" t="s">
        <v>33</v>
      </c>
      <c r="C19" s="66">
        <f t="shared" si="0"/>
        <v>9</v>
      </c>
      <c r="D19" s="56">
        <v>1</v>
      </c>
      <c r="E19" s="56">
        <v>1</v>
      </c>
      <c r="F19" s="56">
        <v>1</v>
      </c>
      <c r="G19" s="56">
        <v>1</v>
      </c>
      <c r="H19" s="56">
        <v>1</v>
      </c>
      <c r="I19" s="56">
        <v>1</v>
      </c>
      <c r="J19" s="56">
        <v>1</v>
      </c>
      <c r="K19" s="56">
        <v>1</v>
      </c>
      <c r="L19" s="56">
        <v>1</v>
      </c>
      <c r="M19" s="56">
        <v>0</v>
      </c>
      <c r="N19" s="56">
        <v>0</v>
      </c>
    </row>
    <row r="20" spans="1:14" x14ac:dyDescent="0.25">
      <c r="A20" s="38" t="s">
        <v>34</v>
      </c>
      <c r="B20" s="38" t="s">
        <v>35</v>
      </c>
      <c r="C20" s="66">
        <f t="shared" si="0"/>
        <v>11</v>
      </c>
      <c r="D20" s="56">
        <v>1</v>
      </c>
      <c r="E20" s="56">
        <v>1</v>
      </c>
      <c r="F20" s="56">
        <v>1</v>
      </c>
      <c r="G20" s="56">
        <v>1</v>
      </c>
      <c r="H20" s="56">
        <v>1</v>
      </c>
      <c r="I20" s="56">
        <v>1</v>
      </c>
      <c r="J20" s="56">
        <v>1</v>
      </c>
      <c r="K20" s="56">
        <v>1</v>
      </c>
      <c r="L20" s="56">
        <v>1</v>
      </c>
      <c r="M20" s="56">
        <v>1</v>
      </c>
      <c r="N20" s="56">
        <v>1</v>
      </c>
    </row>
    <row r="21" spans="1:14" x14ac:dyDescent="0.25">
      <c r="A21" s="38" t="s">
        <v>36</v>
      </c>
      <c r="B21" s="38" t="s">
        <v>37</v>
      </c>
      <c r="C21" s="66">
        <f t="shared" si="0"/>
        <v>8</v>
      </c>
      <c r="D21" s="56">
        <v>1</v>
      </c>
      <c r="E21" s="56">
        <v>1</v>
      </c>
      <c r="F21" s="56">
        <v>1</v>
      </c>
      <c r="G21" s="56">
        <v>1</v>
      </c>
      <c r="H21" s="56">
        <v>1</v>
      </c>
      <c r="I21" s="56">
        <v>1</v>
      </c>
      <c r="J21" s="56">
        <v>1</v>
      </c>
      <c r="K21" s="56">
        <v>0</v>
      </c>
      <c r="L21" s="56">
        <v>1</v>
      </c>
      <c r="M21" s="56">
        <v>0</v>
      </c>
      <c r="N21" s="56">
        <v>0</v>
      </c>
    </row>
    <row r="22" spans="1:14" x14ac:dyDescent="0.25">
      <c r="A22" s="38" t="s">
        <v>38</v>
      </c>
      <c r="B22" s="38" t="s">
        <v>39</v>
      </c>
      <c r="C22" s="66">
        <f t="shared" si="0"/>
        <v>6</v>
      </c>
      <c r="D22" s="56">
        <v>1</v>
      </c>
      <c r="E22" s="56">
        <v>0</v>
      </c>
      <c r="F22" s="56">
        <v>0</v>
      </c>
      <c r="G22" s="56">
        <v>0</v>
      </c>
      <c r="H22" s="56">
        <v>0</v>
      </c>
      <c r="I22" s="56">
        <v>0</v>
      </c>
      <c r="J22" s="56">
        <v>1</v>
      </c>
      <c r="K22" s="56">
        <v>1</v>
      </c>
      <c r="L22" s="56">
        <v>1</v>
      </c>
      <c r="M22" s="56">
        <v>1</v>
      </c>
      <c r="N22" s="56">
        <v>1</v>
      </c>
    </row>
    <row r="23" spans="1:14" x14ac:dyDescent="0.25">
      <c r="A23" s="38" t="s">
        <v>40</v>
      </c>
      <c r="B23" s="38" t="s">
        <v>41</v>
      </c>
      <c r="C23" s="66">
        <f t="shared" si="0"/>
        <v>9</v>
      </c>
      <c r="D23" s="56">
        <v>1</v>
      </c>
      <c r="E23" s="56">
        <v>1</v>
      </c>
      <c r="F23" s="56">
        <v>1</v>
      </c>
      <c r="G23" s="56">
        <v>1</v>
      </c>
      <c r="H23" s="56">
        <v>1</v>
      </c>
      <c r="I23" s="56">
        <v>0</v>
      </c>
      <c r="J23" s="56">
        <v>1</v>
      </c>
      <c r="K23" s="56">
        <v>0</v>
      </c>
      <c r="L23" s="56">
        <v>1</v>
      </c>
      <c r="M23" s="56">
        <v>1</v>
      </c>
      <c r="N23" s="56">
        <v>1</v>
      </c>
    </row>
    <row r="24" spans="1:14" x14ac:dyDescent="0.25">
      <c r="A24" s="38" t="s">
        <v>42</v>
      </c>
      <c r="B24" s="38" t="s">
        <v>43</v>
      </c>
      <c r="C24" s="66">
        <f t="shared" si="0"/>
        <v>11</v>
      </c>
      <c r="D24" s="56">
        <v>1</v>
      </c>
      <c r="E24" s="56">
        <v>1</v>
      </c>
      <c r="F24" s="56">
        <v>1</v>
      </c>
      <c r="G24" s="56">
        <v>1</v>
      </c>
      <c r="H24" s="56">
        <v>1</v>
      </c>
      <c r="I24" s="56">
        <v>1</v>
      </c>
      <c r="J24" s="56">
        <v>1</v>
      </c>
      <c r="K24" s="56">
        <v>1</v>
      </c>
      <c r="L24" s="56">
        <v>1</v>
      </c>
      <c r="M24" s="56">
        <v>1</v>
      </c>
      <c r="N24" s="56">
        <v>1</v>
      </c>
    </row>
    <row r="25" spans="1:14" x14ac:dyDescent="0.25">
      <c r="A25" s="38" t="s">
        <v>44</v>
      </c>
      <c r="B25" s="38" t="s">
        <v>45</v>
      </c>
      <c r="C25" s="66">
        <f t="shared" si="0"/>
        <v>11</v>
      </c>
      <c r="D25" s="56">
        <v>1</v>
      </c>
      <c r="E25" s="56">
        <v>1</v>
      </c>
      <c r="F25" s="56">
        <v>1</v>
      </c>
      <c r="G25" s="56">
        <v>1</v>
      </c>
      <c r="H25" s="56">
        <v>1</v>
      </c>
      <c r="I25" s="56">
        <v>1</v>
      </c>
      <c r="J25" s="56">
        <v>1</v>
      </c>
      <c r="K25" s="56">
        <v>1</v>
      </c>
      <c r="L25" s="56">
        <v>1</v>
      </c>
      <c r="M25" s="56">
        <v>1</v>
      </c>
      <c r="N25" s="56">
        <v>1</v>
      </c>
    </row>
    <row r="26" spans="1:14" x14ac:dyDescent="0.25">
      <c r="A26" s="38" t="s">
        <v>46</v>
      </c>
      <c r="B26" s="38" t="s">
        <v>47</v>
      </c>
      <c r="C26" s="66">
        <f t="shared" si="0"/>
        <v>10</v>
      </c>
      <c r="D26" s="56">
        <v>1</v>
      </c>
      <c r="E26" s="56">
        <v>0</v>
      </c>
      <c r="F26" s="56">
        <v>1</v>
      </c>
      <c r="G26" s="56">
        <v>1</v>
      </c>
      <c r="H26" s="56">
        <v>1</v>
      </c>
      <c r="I26" s="56">
        <v>1</v>
      </c>
      <c r="J26" s="56">
        <v>1</v>
      </c>
      <c r="K26" s="56">
        <v>1</v>
      </c>
      <c r="L26" s="56">
        <v>1</v>
      </c>
      <c r="M26" s="56">
        <v>1</v>
      </c>
      <c r="N26" s="56">
        <v>1</v>
      </c>
    </row>
    <row r="27" spans="1:14" x14ac:dyDescent="0.25">
      <c r="A27" s="38" t="s">
        <v>48</v>
      </c>
      <c r="B27" s="38" t="s">
        <v>49</v>
      </c>
      <c r="C27" s="66">
        <f t="shared" si="0"/>
        <v>2</v>
      </c>
      <c r="D27" s="56">
        <v>1</v>
      </c>
      <c r="E27" s="56">
        <v>1</v>
      </c>
      <c r="F27" s="56">
        <v>0</v>
      </c>
      <c r="G27" s="56">
        <v>0</v>
      </c>
      <c r="H27" s="56">
        <v>0</v>
      </c>
      <c r="I27" s="56">
        <v>0</v>
      </c>
      <c r="J27" s="56">
        <v>0</v>
      </c>
      <c r="K27" s="56">
        <v>0</v>
      </c>
      <c r="L27" s="56">
        <v>0</v>
      </c>
      <c r="M27" s="56">
        <v>0</v>
      </c>
      <c r="N27" s="56">
        <v>0</v>
      </c>
    </row>
    <row r="28" spans="1:14" x14ac:dyDescent="0.25">
      <c r="A28" s="38" t="s">
        <v>50</v>
      </c>
      <c r="B28" s="38" t="s">
        <v>51</v>
      </c>
      <c r="C28" s="66">
        <f t="shared" si="0"/>
        <v>1</v>
      </c>
      <c r="D28" s="56">
        <v>1</v>
      </c>
      <c r="E28" s="56">
        <v>0</v>
      </c>
      <c r="F28" s="56">
        <v>0</v>
      </c>
      <c r="G28" s="56">
        <v>0</v>
      </c>
      <c r="H28" s="56">
        <v>0</v>
      </c>
      <c r="I28" s="56">
        <v>0</v>
      </c>
      <c r="J28" s="56">
        <v>0</v>
      </c>
      <c r="K28" s="56">
        <v>0</v>
      </c>
      <c r="L28" s="56">
        <v>0</v>
      </c>
      <c r="M28" s="56">
        <v>0</v>
      </c>
      <c r="N28" s="56">
        <v>0</v>
      </c>
    </row>
    <row r="29" spans="1:14" x14ac:dyDescent="0.25">
      <c r="A29" s="38" t="s">
        <v>52</v>
      </c>
      <c r="B29" s="38" t="s">
        <v>53</v>
      </c>
      <c r="C29" s="66">
        <f t="shared" si="0"/>
        <v>10</v>
      </c>
      <c r="D29" s="56">
        <v>1</v>
      </c>
      <c r="E29" s="56">
        <v>1</v>
      </c>
      <c r="F29" s="56">
        <v>1</v>
      </c>
      <c r="G29" s="56">
        <v>1</v>
      </c>
      <c r="H29" s="56">
        <v>1</v>
      </c>
      <c r="I29" s="56">
        <v>1</v>
      </c>
      <c r="J29" s="56">
        <v>1</v>
      </c>
      <c r="K29" s="56">
        <v>1</v>
      </c>
      <c r="L29" s="56">
        <v>0</v>
      </c>
      <c r="M29" s="56">
        <v>1</v>
      </c>
      <c r="N29" s="56">
        <v>1</v>
      </c>
    </row>
    <row r="30" spans="1:14" x14ac:dyDescent="0.25">
      <c r="A30" s="38" t="s">
        <v>54</v>
      </c>
      <c r="B30" s="38" t="s">
        <v>55</v>
      </c>
      <c r="C30" s="66">
        <f t="shared" si="0"/>
        <v>7</v>
      </c>
      <c r="D30" s="56">
        <v>1</v>
      </c>
      <c r="E30" s="56">
        <v>0</v>
      </c>
      <c r="F30" s="56">
        <v>1</v>
      </c>
      <c r="G30" s="56">
        <v>1</v>
      </c>
      <c r="H30" s="56">
        <v>1</v>
      </c>
      <c r="I30" s="56">
        <v>0</v>
      </c>
      <c r="J30" s="56">
        <v>0</v>
      </c>
      <c r="K30" s="56">
        <v>0</v>
      </c>
      <c r="L30" s="56">
        <v>1</v>
      </c>
      <c r="M30" s="56">
        <v>1</v>
      </c>
      <c r="N30" s="56">
        <v>1</v>
      </c>
    </row>
    <row r="31" spans="1:14" x14ac:dyDescent="0.25">
      <c r="A31" s="38" t="s">
        <v>56</v>
      </c>
      <c r="B31" s="38" t="s">
        <v>57</v>
      </c>
      <c r="C31" s="66">
        <f t="shared" si="0"/>
        <v>9</v>
      </c>
      <c r="D31" s="56">
        <v>1</v>
      </c>
      <c r="E31" s="56">
        <v>1</v>
      </c>
      <c r="F31" s="56">
        <v>0</v>
      </c>
      <c r="G31" s="56">
        <v>0</v>
      </c>
      <c r="H31" s="56">
        <v>1</v>
      </c>
      <c r="I31" s="56">
        <v>1</v>
      </c>
      <c r="J31" s="56">
        <v>1</v>
      </c>
      <c r="K31" s="56">
        <v>1</v>
      </c>
      <c r="L31" s="56">
        <v>1</v>
      </c>
      <c r="M31" s="56">
        <v>1</v>
      </c>
      <c r="N31" s="56">
        <v>1</v>
      </c>
    </row>
    <row r="32" spans="1:14" x14ac:dyDescent="0.25">
      <c r="A32" s="38" t="s">
        <v>58</v>
      </c>
      <c r="B32" s="38" t="s">
        <v>59</v>
      </c>
      <c r="C32" s="66">
        <f t="shared" si="0"/>
        <v>2</v>
      </c>
      <c r="D32" s="56">
        <v>1</v>
      </c>
      <c r="E32" s="56">
        <v>1</v>
      </c>
      <c r="F32" s="56">
        <v>0</v>
      </c>
      <c r="G32" s="56">
        <v>0</v>
      </c>
      <c r="H32" s="56">
        <v>0</v>
      </c>
      <c r="I32" s="56">
        <v>0</v>
      </c>
      <c r="J32" s="56">
        <v>0</v>
      </c>
      <c r="K32" s="56">
        <v>0</v>
      </c>
      <c r="L32" s="56">
        <v>0</v>
      </c>
      <c r="M32" s="56">
        <v>0</v>
      </c>
      <c r="N32" s="56">
        <v>0</v>
      </c>
    </row>
    <row r="33" spans="1:14" x14ac:dyDescent="0.25">
      <c r="A33" s="38" t="s">
        <v>60</v>
      </c>
      <c r="B33" s="38" t="s">
        <v>61</v>
      </c>
      <c r="C33" s="66">
        <f t="shared" si="0"/>
        <v>1</v>
      </c>
      <c r="D33" s="56">
        <v>1</v>
      </c>
      <c r="E33" s="56">
        <v>0</v>
      </c>
      <c r="F33" s="56">
        <v>0</v>
      </c>
      <c r="G33" s="56">
        <v>0</v>
      </c>
      <c r="H33" s="56">
        <v>0</v>
      </c>
      <c r="I33" s="56">
        <v>0</v>
      </c>
      <c r="J33" s="56">
        <v>0</v>
      </c>
      <c r="K33" s="56">
        <v>0</v>
      </c>
      <c r="L33" s="56">
        <v>0</v>
      </c>
      <c r="M33" s="56">
        <v>0</v>
      </c>
      <c r="N33" s="56">
        <v>0</v>
      </c>
    </row>
    <row r="34" spans="1:14" x14ac:dyDescent="0.25">
      <c r="A34" s="38" t="s">
        <v>62</v>
      </c>
      <c r="B34" s="38" t="s">
        <v>63</v>
      </c>
      <c r="C34" s="66">
        <f t="shared" si="0"/>
        <v>11</v>
      </c>
      <c r="D34" s="56">
        <v>1</v>
      </c>
      <c r="E34" s="56">
        <v>1</v>
      </c>
      <c r="F34" s="56">
        <v>1</v>
      </c>
      <c r="G34" s="56">
        <v>1</v>
      </c>
      <c r="H34" s="56">
        <v>1</v>
      </c>
      <c r="I34" s="56">
        <v>1</v>
      </c>
      <c r="J34" s="56">
        <v>1</v>
      </c>
      <c r="K34" s="56">
        <v>1</v>
      </c>
      <c r="L34" s="56">
        <v>1</v>
      </c>
      <c r="M34" s="56">
        <v>1</v>
      </c>
      <c r="N34" s="56">
        <v>1</v>
      </c>
    </row>
    <row r="35" spans="1:14" x14ac:dyDescent="0.25">
      <c r="A35" s="38" t="s">
        <v>64</v>
      </c>
      <c r="B35" s="38" t="s">
        <v>65</v>
      </c>
      <c r="C35" s="66">
        <f t="shared" ref="C35:C101" si="1">SUM(D35:N35)</f>
        <v>11</v>
      </c>
      <c r="D35" s="56">
        <v>1</v>
      </c>
      <c r="E35" s="56">
        <v>1</v>
      </c>
      <c r="F35" s="56">
        <v>1</v>
      </c>
      <c r="G35" s="56">
        <v>1</v>
      </c>
      <c r="H35" s="56">
        <v>1</v>
      </c>
      <c r="I35" s="56">
        <v>1</v>
      </c>
      <c r="J35" s="56">
        <v>1</v>
      </c>
      <c r="K35" s="56">
        <v>1</v>
      </c>
      <c r="L35" s="56">
        <v>1</v>
      </c>
      <c r="M35" s="56">
        <v>1</v>
      </c>
      <c r="N35" s="56">
        <v>1</v>
      </c>
    </row>
    <row r="36" spans="1:14" x14ac:dyDescent="0.25">
      <c r="A36" s="38" t="s">
        <v>66</v>
      </c>
      <c r="B36" s="38" t="s">
        <v>67</v>
      </c>
      <c r="C36" s="66">
        <f t="shared" si="1"/>
        <v>9</v>
      </c>
      <c r="D36" s="56">
        <v>1</v>
      </c>
      <c r="E36" s="56">
        <v>1</v>
      </c>
      <c r="F36" s="56">
        <v>0</v>
      </c>
      <c r="G36" s="56">
        <v>1</v>
      </c>
      <c r="H36" s="56">
        <v>1</v>
      </c>
      <c r="I36" s="56">
        <v>1</v>
      </c>
      <c r="J36" s="56">
        <v>1</v>
      </c>
      <c r="K36" s="56">
        <v>1</v>
      </c>
      <c r="L36" s="56">
        <v>1</v>
      </c>
      <c r="M36" s="56">
        <v>0</v>
      </c>
      <c r="N36" s="56">
        <v>1</v>
      </c>
    </row>
    <row r="37" spans="1:14" x14ac:dyDescent="0.25">
      <c r="A37" s="38" t="s">
        <v>68</v>
      </c>
      <c r="B37" s="38" t="s">
        <v>69</v>
      </c>
      <c r="C37" s="66">
        <f t="shared" si="1"/>
        <v>8</v>
      </c>
      <c r="D37" s="56">
        <v>1</v>
      </c>
      <c r="E37" s="56">
        <v>1</v>
      </c>
      <c r="F37" s="56">
        <v>1</v>
      </c>
      <c r="G37" s="56">
        <v>1</v>
      </c>
      <c r="H37" s="56">
        <v>1</v>
      </c>
      <c r="I37" s="56">
        <v>1</v>
      </c>
      <c r="J37" s="56">
        <v>1</v>
      </c>
      <c r="K37" s="56">
        <v>1</v>
      </c>
      <c r="L37" s="56">
        <v>0</v>
      </c>
      <c r="M37" s="56">
        <v>0</v>
      </c>
      <c r="N37" s="56">
        <v>0</v>
      </c>
    </row>
    <row r="38" spans="1:14" x14ac:dyDescent="0.25">
      <c r="A38" s="38" t="s">
        <v>70</v>
      </c>
      <c r="B38" s="38" t="s">
        <v>71</v>
      </c>
      <c r="C38" s="66">
        <f t="shared" si="1"/>
        <v>1</v>
      </c>
      <c r="D38" s="56">
        <v>1</v>
      </c>
      <c r="E38" s="56">
        <v>0</v>
      </c>
      <c r="F38" s="56">
        <v>0</v>
      </c>
      <c r="G38" s="56">
        <v>0</v>
      </c>
      <c r="H38" s="56">
        <v>0</v>
      </c>
      <c r="I38" s="56">
        <v>0</v>
      </c>
      <c r="J38" s="56">
        <v>0</v>
      </c>
      <c r="K38" s="56">
        <v>0</v>
      </c>
      <c r="L38" s="56">
        <v>0</v>
      </c>
      <c r="M38" s="56">
        <v>0</v>
      </c>
      <c r="N38" s="56">
        <v>0</v>
      </c>
    </row>
    <row r="39" spans="1:14" x14ac:dyDescent="0.25">
      <c r="A39" s="38" t="s">
        <v>72</v>
      </c>
      <c r="B39" s="38" t="s">
        <v>73</v>
      </c>
      <c r="C39" s="66">
        <f t="shared" si="1"/>
        <v>7</v>
      </c>
      <c r="D39" s="56">
        <v>1</v>
      </c>
      <c r="E39" s="56">
        <v>1</v>
      </c>
      <c r="F39" s="56">
        <v>1</v>
      </c>
      <c r="G39" s="56">
        <v>0</v>
      </c>
      <c r="H39" s="56">
        <v>0</v>
      </c>
      <c r="I39" s="56">
        <v>0</v>
      </c>
      <c r="J39" s="56">
        <v>0</v>
      </c>
      <c r="K39" s="56">
        <v>1</v>
      </c>
      <c r="L39" s="56">
        <v>1</v>
      </c>
      <c r="M39" s="56">
        <v>1</v>
      </c>
      <c r="N39" s="56">
        <v>1</v>
      </c>
    </row>
    <row r="40" spans="1:14" x14ac:dyDescent="0.25">
      <c r="A40" s="38" t="s">
        <v>74</v>
      </c>
      <c r="B40" s="38" t="s">
        <v>75</v>
      </c>
      <c r="C40" s="66">
        <f t="shared" si="1"/>
        <v>11</v>
      </c>
      <c r="D40" s="56">
        <v>1</v>
      </c>
      <c r="E40" s="56">
        <v>1</v>
      </c>
      <c r="F40" s="56">
        <v>1</v>
      </c>
      <c r="G40" s="56">
        <v>1</v>
      </c>
      <c r="H40" s="56">
        <v>1</v>
      </c>
      <c r="I40" s="56">
        <v>1</v>
      </c>
      <c r="J40" s="56">
        <v>1</v>
      </c>
      <c r="K40" s="56">
        <v>1</v>
      </c>
      <c r="L40" s="56">
        <v>1</v>
      </c>
      <c r="M40" s="56">
        <v>1</v>
      </c>
      <c r="N40" s="56">
        <v>1</v>
      </c>
    </row>
    <row r="41" spans="1:14" x14ac:dyDescent="0.25">
      <c r="A41" s="38" t="s">
        <v>76</v>
      </c>
      <c r="B41" s="38" t="s">
        <v>77</v>
      </c>
      <c r="C41" s="66">
        <f t="shared" si="1"/>
        <v>10</v>
      </c>
      <c r="D41" s="56">
        <v>1</v>
      </c>
      <c r="E41" s="56">
        <v>1</v>
      </c>
      <c r="F41" s="56">
        <v>0</v>
      </c>
      <c r="G41" s="56">
        <v>1</v>
      </c>
      <c r="H41" s="56">
        <v>1</v>
      </c>
      <c r="I41" s="56">
        <v>1</v>
      </c>
      <c r="J41" s="56">
        <v>1</v>
      </c>
      <c r="K41" s="56">
        <v>1</v>
      </c>
      <c r="L41" s="56">
        <v>1</v>
      </c>
      <c r="M41" s="56">
        <v>1</v>
      </c>
      <c r="N41" s="56">
        <v>1</v>
      </c>
    </row>
    <row r="42" spans="1:14" x14ac:dyDescent="0.25">
      <c r="A42" s="38" t="s">
        <v>78</v>
      </c>
      <c r="B42" s="38" t="s">
        <v>79</v>
      </c>
      <c r="C42" s="66">
        <f t="shared" si="1"/>
        <v>11</v>
      </c>
      <c r="D42" s="56">
        <v>1</v>
      </c>
      <c r="E42" s="56">
        <v>1</v>
      </c>
      <c r="F42" s="56">
        <v>1</v>
      </c>
      <c r="G42" s="56">
        <v>1</v>
      </c>
      <c r="H42" s="56">
        <v>1</v>
      </c>
      <c r="I42" s="56">
        <v>1</v>
      </c>
      <c r="J42" s="56">
        <v>1</v>
      </c>
      <c r="K42" s="56">
        <v>1</v>
      </c>
      <c r="L42" s="56">
        <v>1</v>
      </c>
      <c r="M42" s="56">
        <v>1</v>
      </c>
      <c r="N42" s="56">
        <v>1</v>
      </c>
    </row>
    <row r="43" spans="1:14" x14ac:dyDescent="0.25">
      <c r="A43" s="38" t="s">
        <v>81</v>
      </c>
      <c r="B43" s="38" t="s">
        <v>82</v>
      </c>
      <c r="C43" s="66">
        <f t="shared" si="1"/>
        <v>10</v>
      </c>
      <c r="D43" s="56">
        <v>1</v>
      </c>
      <c r="E43" s="56">
        <v>1</v>
      </c>
      <c r="F43" s="56">
        <v>1</v>
      </c>
      <c r="G43" s="56">
        <v>1</v>
      </c>
      <c r="H43" s="56">
        <v>1</v>
      </c>
      <c r="I43" s="56">
        <v>1</v>
      </c>
      <c r="J43" s="56">
        <v>1</v>
      </c>
      <c r="K43" s="56">
        <v>0</v>
      </c>
      <c r="L43" s="56">
        <v>1</v>
      </c>
      <c r="M43" s="56">
        <v>1</v>
      </c>
      <c r="N43" s="56">
        <v>1</v>
      </c>
    </row>
    <row r="44" spans="1:14" x14ac:dyDescent="0.25">
      <c r="A44" s="38" t="s">
        <v>273</v>
      </c>
      <c r="B44" s="55" t="s">
        <v>278</v>
      </c>
      <c r="C44" s="66">
        <f t="shared" si="1"/>
        <v>4</v>
      </c>
      <c r="D44" s="56">
        <v>1</v>
      </c>
      <c r="E44" s="56">
        <v>1</v>
      </c>
      <c r="F44" s="56">
        <v>1</v>
      </c>
      <c r="G44" s="56">
        <v>1</v>
      </c>
      <c r="H44" s="56">
        <v>0</v>
      </c>
      <c r="I44" s="56">
        <v>0</v>
      </c>
      <c r="J44" s="56">
        <v>0</v>
      </c>
      <c r="K44" s="56">
        <v>0</v>
      </c>
      <c r="L44" s="56">
        <v>0</v>
      </c>
      <c r="M44" s="56">
        <v>0</v>
      </c>
      <c r="N44" s="56">
        <v>0</v>
      </c>
    </row>
    <row r="45" spans="1:14" x14ac:dyDescent="0.25">
      <c r="A45" s="38" t="s">
        <v>275</v>
      </c>
      <c r="B45" s="55" t="s">
        <v>280</v>
      </c>
      <c r="C45" s="66">
        <f t="shared" si="1"/>
        <v>11</v>
      </c>
      <c r="D45" s="56">
        <v>1</v>
      </c>
      <c r="E45" s="56">
        <v>1</v>
      </c>
      <c r="F45" s="56">
        <v>1</v>
      </c>
      <c r="G45" s="56">
        <v>1</v>
      </c>
      <c r="H45" s="56">
        <v>1</v>
      </c>
      <c r="I45" s="56">
        <v>1</v>
      </c>
      <c r="J45" s="56">
        <v>1</v>
      </c>
      <c r="K45" s="56">
        <v>1</v>
      </c>
      <c r="L45" s="56">
        <v>1</v>
      </c>
      <c r="M45" s="56">
        <v>1</v>
      </c>
      <c r="N45" s="56">
        <v>1</v>
      </c>
    </row>
    <row r="46" spans="1:14" x14ac:dyDescent="0.25">
      <c r="A46" s="38" t="s">
        <v>83</v>
      </c>
      <c r="B46" s="38" t="s">
        <v>84</v>
      </c>
      <c r="C46" s="66">
        <f t="shared" si="1"/>
        <v>11</v>
      </c>
      <c r="D46" s="56">
        <v>1</v>
      </c>
      <c r="E46" s="56">
        <v>1</v>
      </c>
      <c r="F46" s="56">
        <v>1</v>
      </c>
      <c r="G46" s="56">
        <v>1</v>
      </c>
      <c r="H46" s="56">
        <v>1</v>
      </c>
      <c r="I46" s="56">
        <v>1</v>
      </c>
      <c r="J46" s="56">
        <v>1</v>
      </c>
      <c r="K46" s="56">
        <v>1</v>
      </c>
      <c r="L46" s="56">
        <v>1</v>
      </c>
      <c r="M46" s="56">
        <v>1</v>
      </c>
      <c r="N46" s="56">
        <v>1</v>
      </c>
    </row>
    <row r="47" spans="1:14" x14ac:dyDescent="0.25">
      <c r="A47" s="38" t="s">
        <v>85</v>
      </c>
      <c r="B47" s="38" t="s">
        <v>86</v>
      </c>
      <c r="C47" s="66">
        <f t="shared" si="1"/>
        <v>11</v>
      </c>
      <c r="D47" s="56">
        <v>1</v>
      </c>
      <c r="E47" s="56">
        <v>1</v>
      </c>
      <c r="F47" s="56">
        <v>1</v>
      </c>
      <c r="G47" s="56">
        <v>1</v>
      </c>
      <c r="H47" s="56">
        <v>1</v>
      </c>
      <c r="I47" s="56">
        <v>1</v>
      </c>
      <c r="J47" s="56">
        <v>1</v>
      </c>
      <c r="K47" s="56">
        <v>1</v>
      </c>
      <c r="L47" s="56">
        <v>1</v>
      </c>
      <c r="M47" s="56">
        <v>1</v>
      </c>
      <c r="N47" s="56">
        <v>1</v>
      </c>
    </row>
    <row r="48" spans="1:14" x14ac:dyDescent="0.25">
      <c r="A48" s="38" t="s">
        <v>87</v>
      </c>
      <c r="B48" s="38" t="s">
        <v>88</v>
      </c>
      <c r="C48" s="66">
        <f t="shared" si="1"/>
        <v>11</v>
      </c>
      <c r="D48" s="56">
        <v>1</v>
      </c>
      <c r="E48" s="56">
        <v>1</v>
      </c>
      <c r="F48" s="56">
        <v>1</v>
      </c>
      <c r="G48" s="56">
        <v>1</v>
      </c>
      <c r="H48" s="56">
        <v>1</v>
      </c>
      <c r="I48" s="56">
        <v>1</v>
      </c>
      <c r="J48" s="56">
        <v>1</v>
      </c>
      <c r="K48" s="56">
        <v>1</v>
      </c>
      <c r="L48" s="56">
        <v>1</v>
      </c>
      <c r="M48" s="56">
        <v>1</v>
      </c>
      <c r="N48" s="56">
        <v>1</v>
      </c>
    </row>
    <row r="49" spans="1:14" x14ac:dyDescent="0.25">
      <c r="A49" s="38" t="s">
        <v>89</v>
      </c>
      <c r="B49" s="38" t="s">
        <v>90</v>
      </c>
      <c r="C49" s="66">
        <f t="shared" si="1"/>
        <v>11</v>
      </c>
      <c r="D49" s="56">
        <v>1</v>
      </c>
      <c r="E49" s="56">
        <v>1</v>
      </c>
      <c r="F49" s="56">
        <v>1</v>
      </c>
      <c r="G49" s="56">
        <v>1</v>
      </c>
      <c r="H49" s="56">
        <v>1</v>
      </c>
      <c r="I49" s="56">
        <v>1</v>
      </c>
      <c r="J49" s="56">
        <v>1</v>
      </c>
      <c r="K49" s="56">
        <v>1</v>
      </c>
      <c r="L49" s="56">
        <v>1</v>
      </c>
      <c r="M49" s="56">
        <v>1</v>
      </c>
      <c r="N49" s="56">
        <v>1</v>
      </c>
    </row>
    <row r="50" spans="1:14" x14ac:dyDescent="0.25">
      <c r="A50" s="38" t="s">
        <v>91</v>
      </c>
      <c r="B50" s="38" t="s">
        <v>92</v>
      </c>
      <c r="C50" s="66">
        <f t="shared" si="1"/>
        <v>9</v>
      </c>
      <c r="D50" s="56">
        <v>1</v>
      </c>
      <c r="E50" s="56">
        <v>0</v>
      </c>
      <c r="F50" s="56">
        <v>0</v>
      </c>
      <c r="G50" s="56">
        <v>1</v>
      </c>
      <c r="H50" s="56">
        <v>1</v>
      </c>
      <c r="I50" s="56">
        <v>1</v>
      </c>
      <c r="J50" s="56">
        <v>1</v>
      </c>
      <c r="K50" s="56">
        <v>1</v>
      </c>
      <c r="L50" s="56">
        <v>1</v>
      </c>
      <c r="M50" s="56">
        <v>1</v>
      </c>
      <c r="N50" s="56">
        <v>1</v>
      </c>
    </row>
    <row r="51" spans="1:14" x14ac:dyDescent="0.25">
      <c r="A51" s="38" t="s">
        <v>288</v>
      </c>
      <c r="B51" s="55" t="s">
        <v>289</v>
      </c>
      <c r="C51" s="66">
        <f t="shared" si="1"/>
        <v>10</v>
      </c>
      <c r="D51" s="56">
        <v>1</v>
      </c>
      <c r="E51" s="56">
        <v>1</v>
      </c>
      <c r="F51" s="56">
        <v>0</v>
      </c>
      <c r="G51" s="56">
        <v>1</v>
      </c>
      <c r="H51" s="56">
        <v>1</v>
      </c>
      <c r="I51" s="56">
        <v>1</v>
      </c>
      <c r="J51" s="56">
        <v>1</v>
      </c>
      <c r="K51" s="56">
        <v>1</v>
      </c>
      <c r="L51" s="56">
        <v>1</v>
      </c>
      <c r="M51" s="56">
        <v>1</v>
      </c>
      <c r="N51" s="56">
        <v>1</v>
      </c>
    </row>
    <row r="52" spans="1:14" x14ac:dyDescent="0.25">
      <c r="A52" s="38" t="s">
        <v>257</v>
      </c>
      <c r="B52" s="55" t="s">
        <v>258</v>
      </c>
      <c r="C52" s="66">
        <f t="shared" si="1"/>
        <v>7</v>
      </c>
      <c r="D52" s="56">
        <v>1</v>
      </c>
      <c r="E52" s="56">
        <v>0</v>
      </c>
      <c r="F52" s="56">
        <v>1</v>
      </c>
      <c r="G52" s="56">
        <v>1</v>
      </c>
      <c r="H52" s="56">
        <v>1</v>
      </c>
      <c r="I52" s="56">
        <v>1</v>
      </c>
      <c r="J52" s="56">
        <v>0</v>
      </c>
      <c r="K52" s="56">
        <v>0</v>
      </c>
      <c r="L52" s="56">
        <v>1</v>
      </c>
      <c r="M52" s="56">
        <v>1</v>
      </c>
      <c r="N52" s="56">
        <v>0</v>
      </c>
    </row>
    <row r="53" spans="1:14" x14ac:dyDescent="0.25">
      <c r="A53" s="38" t="s">
        <v>93</v>
      </c>
      <c r="B53" s="38" t="s">
        <v>94</v>
      </c>
      <c r="C53" s="66">
        <f t="shared" si="1"/>
        <v>7</v>
      </c>
      <c r="D53" s="56">
        <v>1</v>
      </c>
      <c r="E53" s="56">
        <v>1</v>
      </c>
      <c r="F53" s="56">
        <v>1</v>
      </c>
      <c r="G53" s="56">
        <v>1</v>
      </c>
      <c r="H53" s="56">
        <v>1</v>
      </c>
      <c r="I53" s="56">
        <v>1</v>
      </c>
      <c r="J53" s="56">
        <v>1</v>
      </c>
      <c r="K53" s="56">
        <v>0</v>
      </c>
      <c r="L53" s="56">
        <v>0</v>
      </c>
      <c r="M53" s="56">
        <v>0</v>
      </c>
      <c r="N53" s="56">
        <v>0</v>
      </c>
    </row>
    <row r="54" spans="1:14" x14ac:dyDescent="0.25">
      <c r="A54" s="38" t="s">
        <v>95</v>
      </c>
      <c r="B54" s="38" t="s">
        <v>96</v>
      </c>
      <c r="C54" s="66">
        <f t="shared" si="1"/>
        <v>8</v>
      </c>
      <c r="D54" s="56">
        <v>1</v>
      </c>
      <c r="E54" s="56">
        <v>1</v>
      </c>
      <c r="F54" s="56">
        <v>1</v>
      </c>
      <c r="G54" s="56">
        <v>1</v>
      </c>
      <c r="H54" s="56">
        <v>1</v>
      </c>
      <c r="I54" s="56">
        <v>1</v>
      </c>
      <c r="J54" s="56">
        <v>1</v>
      </c>
      <c r="K54" s="56">
        <v>1</v>
      </c>
      <c r="L54" s="56">
        <v>0</v>
      </c>
      <c r="M54" s="56">
        <v>0</v>
      </c>
      <c r="N54" s="56">
        <v>0</v>
      </c>
    </row>
    <row r="55" spans="1:14" x14ac:dyDescent="0.25">
      <c r="A55" s="38" t="s">
        <v>274</v>
      </c>
      <c r="B55" s="55" t="s">
        <v>279</v>
      </c>
      <c r="C55" s="66">
        <f t="shared" si="1"/>
        <v>11</v>
      </c>
      <c r="D55" s="56">
        <v>1</v>
      </c>
      <c r="E55" s="56">
        <v>1</v>
      </c>
      <c r="F55" s="56">
        <v>1</v>
      </c>
      <c r="G55" s="56">
        <v>1</v>
      </c>
      <c r="H55" s="56">
        <v>1</v>
      </c>
      <c r="I55" s="56">
        <v>1</v>
      </c>
      <c r="J55" s="56">
        <v>1</v>
      </c>
      <c r="K55" s="56">
        <v>1</v>
      </c>
      <c r="L55" s="56">
        <v>1</v>
      </c>
      <c r="M55" s="56">
        <v>1</v>
      </c>
      <c r="N55" s="56">
        <v>1</v>
      </c>
    </row>
    <row r="56" spans="1:14" x14ac:dyDescent="0.25">
      <c r="A56" s="38" t="s">
        <v>291</v>
      </c>
      <c r="B56" s="55" t="s">
        <v>292</v>
      </c>
      <c r="C56" s="66">
        <f t="shared" si="1"/>
        <v>10</v>
      </c>
      <c r="D56" s="56">
        <v>1</v>
      </c>
      <c r="E56" s="56">
        <v>1</v>
      </c>
      <c r="F56" s="56">
        <v>1</v>
      </c>
      <c r="G56" s="56">
        <v>1</v>
      </c>
      <c r="H56" s="56">
        <v>0</v>
      </c>
      <c r="I56" s="56">
        <v>1</v>
      </c>
      <c r="J56" s="56">
        <v>1</v>
      </c>
      <c r="K56" s="56">
        <v>1</v>
      </c>
      <c r="L56" s="56">
        <v>1</v>
      </c>
      <c r="M56" s="56">
        <v>1</v>
      </c>
      <c r="N56" s="56">
        <v>1</v>
      </c>
    </row>
    <row r="57" spans="1:14" x14ac:dyDescent="0.25">
      <c r="A57" s="38" t="s">
        <v>272</v>
      </c>
      <c r="B57" s="55" t="s">
        <v>277</v>
      </c>
      <c r="C57" s="66">
        <f t="shared" si="1"/>
        <v>9</v>
      </c>
      <c r="D57" s="56">
        <v>1</v>
      </c>
      <c r="E57" s="56">
        <v>1</v>
      </c>
      <c r="F57" s="56">
        <v>0</v>
      </c>
      <c r="G57" s="56">
        <v>1</v>
      </c>
      <c r="H57" s="56">
        <v>1</v>
      </c>
      <c r="I57" s="56">
        <v>1</v>
      </c>
      <c r="J57" s="56">
        <v>1</v>
      </c>
      <c r="K57" s="56">
        <v>0</v>
      </c>
      <c r="L57" s="56">
        <v>1</v>
      </c>
      <c r="M57" s="56">
        <v>1</v>
      </c>
      <c r="N57" s="56">
        <v>1</v>
      </c>
    </row>
    <row r="58" spans="1:14" x14ac:dyDescent="0.25">
      <c r="A58" s="38" t="s">
        <v>97</v>
      </c>
      <c r="B58" s="38" t="s">
        <v>98</v>
      </c>
      <c r="C58" s="66">
        <f t="shared" si="1"/>
        <v>11</v>
      </c>
      <c r="D58" s="56">
        <v>1</v>
      </c>
      <c r="E58" s="56">
        <v>1</v>
      </c>
      <c r="F58" s="56">
        <v>1</v>
      </c>
      <c r="G58" s="56">
        <v>1</v>
      </c>
      <c r="H58" s="56">
        <v>1</v>
      </c>
      <c r="I58" s="56">
        <v>1</v>
      </c>
      <c r="J58" s="56">
        <v>1</v>
      </c>
      <c r="K58" s="56">
        <v>1</v>
      </c>
      <c r="L58" s="56">
        <v>1</v>
      </c>
      <c r="M58" s="56">
        <v>1</v>
      </c>
      <c r="N58" s="56">
        <v>1</v>
      </c>
    </row>
    <row r="59" spans="1:14" x14ac:dyDescent="0.25">
      <c r="A59" s="38" t="s">
        <v>259</v>
      </c>
      <c r="B59" s="55" t="s">
        <v>260</v>
      </c>
      <c r="C59" s="66">
        <f t="shared" si="1"/>
        <v>7</v>
      </c>
      <c r="D59" s="56">
        <v>1</v>
      </c>
      <c r="E59" s="56">
        <v>0</v>
      </c>
      <c r="F59" s="56">
        <v>0</v>
      </c>
      <c r="G59" s="56">
        <v>0</v>
      </c>
      <c r="H59" s="56">
        <v>0</v>
      </c>
      <c r="I59" s="56">
        <v>1</v>
      </c>
      <c r="J59" s="56">
        <v>1</v>
      </c>
      <c r="K59" s="56">
        <v>1</v>
      </c>
      <c r="L59" s="56">
        <v>1</v>
      </c>
      <c r="M59" s="56">
        <v>1</v>
      </c>
      <c r="N59" s="56">
        <v>1</v>
      </c>
    </row>
    <row r="60" spans="1:14" x14ac:dyDescent="0.25">
      <c r="A60" s="38" t="s">
        <v>99</v>
      </c>
      <c r="B60" s="38" t="s">
        <v>100</v>
      </c>
      <c r="C60" s="66">
        <f t="shared" si="1"/>
        <v>1</v>
      </c>
      <c r="D60" s="56">
        <v>1</v>
      </c>
      <c r="E60" s="56">
        <v>0</v>
      </c>
      <c r="F60" s="56">
        <v>0</v>
      </c>
      <c r="G60" s="56">
        <v>0</v>
      </c>
      <c r="H60" s="56">
        <v>0</v>
      </c>
      <c r="I60" s="56">
        <v>0</v>
      </c>
      <c r="J60" s="56">
        <v>0</v>
      </c>
      <c r="K60" s="56">
        <v>0</v>
      </c>
      <c r="L60" s="56">
        <v>0</v>
      </c>
      <c r="M60" s="56">
        <v>0</v>
      </c>
      <c r="N60" s="56">
        <v>0</v>
      </c>
    </row>
    <row r="61" spans="1:14" x14ac:dyDescent="0.25">
      <c r="A61" s="38" t="s">
        <v>261</v>
      </c>
      <c r="B61" s="55" t="s">
        <v>262</v>
      </c>
      <c r="C61" s="66">
        <f t="shared" si="1"/>
        <v>9</v>
      </c>
      <c r="D61" s="56">
        <v>1</v>
      </c>
      <c r="E61" s="56">
        <v>1</v>
      </c>
      <c r="F61" s="56">
        <v>1</v>
      </c>
      <c r="G61" s="56">
        <v>1</v>
      </c>
      <c r="H61" s="56">
        <v>1</v>
      </c>
      <c r="I61" s="56">
        <v>1</v>
      </c>
      <c r="J61" s="56">
        <v>1</v>
      </c>
      <c r="K61" s="56">
        <v>0</v>
      </c>
      <c r="L61" s="56">
        <v>1</v>
      </c>
      <c r="M61" s="56">
        <v>0</v>
      </c>
      <c r="N61" s="56">
        <v>1</v>
      </c>
    </row>
    <row r="62" spans="1:14" x14ac:dyDescent="0.25">
      <c r="A62" s="38" t="s">
        <v>263</v>
      </c>
      <c r="B62" s="55" t="s">
        <v>264</v>
      </c>
      <c r="C62" s="66">
        <f t="shared" si="1"/>
        <v>11</v>
      </c>
      <c r="D62" s="56">
        <v>1</v>
      </c>
      <c r="E62" s="56">
        <v>1</v>
      </c>
      <c r="F62" s="56">
        <v>1</v>
      </c>
      <c r="G62" s="56">
        <v>1</v>
      </c>
      <c r="H62" s="56">
        <v>1</v>
      </c>
      <c r="I62" s="56">
        <v>1</v>
      </c>
      <c r="J62" s="56">
        <v>1</v>
      </c>
      <c r="K62" s="56">
        <v>1</v>
      </c>
      <c r="L62" s="56">
        <v>1</v>
      </c>
      <c r="M62" s="56">
        <v>1</v>
      </c>
      <c r="N62" s="56">
        <v>1</v>
      </c>
    </row>
    <row r="63" spans="1:14" x14ac:dyDescent="0.25">
      <c r="A63" s="38" t="s">
        <v>276</v>
      </c>
      <c r="B63" s="55" t="s">
        <v>281</v>
      </c>
      <c r="C63" s="66">
        <f t="shared" si="1"/>
        <v>11</v>
      </c>
      <c r="D63" s="56">
        <v>1</v>
      </c>
      <c r="E63" s="56">
        <v>1</v>
      </c>
      <c r="F63" s="56">
        <v>1</v>
      </c>
      <c r="G63" s="56">
        <v>1</v>
      </c>
      <c r="H63" s="56">
        <v>1</v>
      </c>
      <c r="I63" s="56">
        <v>1</v>
      </c>
      <c r="J63" s="56">
        <v>1</v>
      </c>
      <c r="K63" s="56">
        <v>1</v>
      </c>
      <c r="L63" s="56">
        <v>1</v>
      </c>
      <c r="M63" s="56">
        <v>1</v>
      </c>
      <c r="N63" s="56">
        <v>1</v>
      </c>
    </row>
    <row r="64" spans="1:14" x14ac:dyDescent="0.25">
      <c r="A64" s="38" t="s">
        <v>265</v>
      </c>
      <c r="B64" s="55" t="s">
        <v>266</v>
      </c>
      <c r="C64" s="66">
        <f t="shared" si="1"/>
        <v>10</v>
      </c>
      <c r="D64" s="56">
        <v>1</v>
      </c>
      <c r="E64" s="56">
        <v>1</v>
      </c>
      <c r="F64" s="56">
        <v>1</v>
      </c>
      <c r="G64" s="56">
        <v>0</v>
      </c>
      <c r="H64" s="56">
        <v>1</v>
      </c>
      <c r="I64" s="56">
        <v>1</v>
      </c>
      <c r="J64" s="56">
        <v>1</v>
      </c>
      <c r="K64" s="56">
        <v>1</v>
      </c>
      <c r="L64" s="56">
        <v>1</v>
      </c>
      <c r="M64" s="56">
        <v>1</v>
      </c>
      <c r="N64" s="56">
        <v>1</v>
      </c>
    </row>
    <row r="65" spans="1:14" x14ac:dyDescent="0.25">
      <c r="A65" s="38"/>
      <c r="B65" s="55"/>
      <c r="C65" s="66">
        <f t="shared" si="1"/>
        <v>0</v>
      </c>
      <c r="D65" s="56"/>
      <c r="E65" s="56"/>
      <c r="F65" s="56"/>
      <c r="G65" s="56"/>
      <c r="H65" s="56"/>
      <c r="I65" s="56"/>
      <c r="J65" s="56"/>
      <c r="K65" s="56"/>
      <c r="L65" s="56"/>
      <c r="M65" s="56"/>
      <c r="N65" s="56"/>
    </row>
    <row r="66" spans="1:14" x14ac:dyDescent="0.25">
      <c r="A66" s="38"/>
      <c r="B66" s="55"/>
      <c r="C66" s="66">
        <f t="shared" ref="C66:C100" si="2">SUM(D66:N66)</f>
        <v>0</v>
      </c>
      <c r="D66" s="56"/>
      <c r="E66" s="56"/>
      <c r="F66" s="56"/>
      <c r="G66" s="56"/>
      <c r="H66" s="56"/>
      <c r="I66" s="56"/>
      <c r="J66" s="56"/>
      <c r="K66" s="56"/>
      <c r="L66" s="56"/>
      <c r="M66" s="56"/>
      <c r="N66" s="56"/>
    </row>
    <row r="67" spans="1:14" x14ac:dyDescent="0.25">
      <c r="A67" s="38"/>
      <c r="B67" s="55"/>
      <c r="C67" s="66">
        <f t="shared" si="2"/>
        <v>0</v>
      </c>
      <c r="D67" s="56"/>
      <c r="E67" s="56"/>
      <c r="F67" s="56"/>
      <c r="G67" s="56"/>
      <c r="H67" s="56"/>
      <c r="I67" s="56"/>
      <c r="J67" s="56"/>
      <c r="K67" s="56"/>
      <c r="L67" s="56"/>
      <c r="M67" s="56"/>
      <c r="N67" s="56"/>
    </row>
    <row r="68" spans="1:14" x14ac:dyDescent="0.25">
      <c r="A68" s="38"/>
      <c r="B68" s="55"/>
      <c r="C68" s="66">
        <f t="shared" si="2"/>
        <v>0</v>
      </c>
      <c r="D68" s="56"/>
      <c r="E68" s="56"/>
      <c r="F68" s="56"/>
      <c r="G68" s="56"/>
      <c r="H68" s="56"/>
      <c r="I68" s="56"/>
      <c r="J68" s="56"/>
      <c r="K68" s="56"/>
      <c r="L68" s="56"/>
      <c r="M68" s="56"/>
      <c r="N68" s="56"/>
    </row>
    <row r="69" spans="1:14" x14ac:dyDescent="0.25">
      <c r="A69" s="38"/>
      <c r="B69" s="55"/>
      <c r="C69" s="66">
        <f t="shared" si="2"/>
        <v>0</v>
      </c>
      <c r="D69" s="56"/>
      <c r="E69" s="56"/>
      <c r="F69" s="56"/>
      <c r="G69" s="56"/>
      <c r="H69" s="56"/>
      <c r="I69" s="56"/>
      <c r="J69" s="56"/>
      <c r="K69" s="56"/>
      <c r="L69" s="56"/>
      <c r="M69" s="56"/>
      <c r="N69" s="56"/>
    </row>
    <row r="70" spans="1:14" x14ac:dyDescent="0.25">
      <c r="A70" s="38"/>
      <c r="B70" s="55"/>
      <c r="C70" s="66">
        <f t="shared" si="2"/>
        <v>0</v>
      </c>
      <c r="D70" s="56"/>
      <c r="E70" s="56"/>
      <c r="F70" s="56"/>
      <c r="G70" s="56"/>
      <c r="H70" s="56"/>
      <c r="I70" s="56"/>
      <c r="J70" s="56"/>
      <c r="K70" s="56"/>
      <c r="L70" s="56"/>
      <c r="M70" s="56"/>
      <c r="N70" s="56"/>
    </row>
    <row r="71" spans="1:14" x14ac:dyDescent="0.25">
      <c r="A71" s="38"/>
      <c r="B71" s="55"/>
      <c r="C71" s="66">
        <f t="shared" si="2"/>
        <v>0</v>
      </c>
      <c r="D71" s="56"/>
      <c r="E71" s="56"/>
      <c r="F71" s="56"/>
      <c r="G71" s="56"/>
      <c r="H71" s="56"/>
      <c r="I71" s="56"/>
      <c r="J71" s="56"/>
      <c r="K71" s="56"/>
      <c r="L71" s="56"/>
      <c r="M71" s="56"/>
      <c r="N71" s="56"/>
    </row>
    <row r="72" spans="1:14" x14ac:dyDescent="0.25">
      <c r="A72" s="38"/>
      <c r="B72" s="55"/>
      <c r="C72" s="66">
        <f t="shared" si="2"/>
        <v>0</v>
      </c>
      <c r="D72" s="56"/>
      <c r="E72" s="56"/>
      <c r="F72" s="56"/>
      <c r="G72" s="56"/>
      <c r="H72" s="56"/>
      <c r="I72" s="56"/>
      <c r="J72" s="56"/>
      <c r="K72" s="56"/>
      <c r="L72" s="56"/>
      <c r="M72" s="56"/>
      <c r="N72" s="56"/>
    </row>
    <row r="73" spans="1:14" x14ac:dyDescent="0.25">
      <c r="A73" s="38"/>
      <c r="B73" s="55"/>
      <c r="C73" s="66">
        <f t="shared" si="2"/>
        <v>0</v>
      </c>
      <c r="D73" s="56"/>
      <c r="E73" s="56"/>
      <c r="F73" s="56"/>
      <c r="G73" s="56"/>
      <c r="H73" s="56"/>
      <c r="I73" s="56"/>
      <c r="J73" s="56"/>
      <c r="K73" s="56"/>
      <c r="L73" s="56"/>
      <c r="M73" s="56"/>
      <c r="N73" s="56"/>
    </row>
    <row r="74" spans="1:14" x14ac:dyDescent="0.25">
      <c r="A74" s="38"/>
      <c r="B74" s="55"/>
      <c r="C74" s="66">
        <f t="shared" si="2"/>
        <v>0</v>
      </c>
      <c r="D74" s="56"/>
      <c r="E74" s="56"/>
      <c r="F74" s="56"/>
      <c r="G74" s="56"/>
      <c r="H74" s="56"/>
      <c r="I74" s="56"/>
      <c r="J74" s="56"/>
      <c r="K74" s="56"/>
      <c r="L74" s="56"/>
      <c r="M74" s="56"/>
      <c r="N74" s="56"/>
    </row>
    <row r="75" spans="1:14" x14ac:dyDescent="0.25">
      <c r="A75" s="38"/>
      <c r="B75" s="55"/>
      <c r="C75" s="66">
        <f t="shared" si="2"/>
        <v>0</v>
      </c>
      <c r="D75" s="56"/>
      <c r="E75" s="56"/>
      <c r="F75" s="56"/>
      <c r="G75" s="56"/>
      <c r="H75" s="56"/>
      <c r="I75" s="56"/>
      <c r="J75" s="56"/>
      <c r="K75" s="56"/>
      <c r="L75" s="56"/>
      <c r="M75" s="56"/>
      <c r="N75" s="56"/>
    </row>
    <row r="76" spans="1:14" x14ac:dyDescent="0.25">
      <c r="A76" s="38"/>
      <c r="B76" s="55"/>
      <c r="C76" s="66">
        <f t="shared" si="2"/>
        <v>0</v>
      </c>
      <c r="D76" s="56"/>
      <c r="E76" s="56"/>
      <c r="F76" s="56"/>
      <c r="G76" s="56"/>
      <c r="H76" s="56"/>
      <c r="I76" s="56"/>
      <c r="J76" s="56"/>
      <c r="K76" s="56"/>
      <c r="L76" s="56"/>
      <c r="M76" s="56"/>
      <c r="N76" s="56"/>
    </row>
    <row r="77" spans="1:14" x14ac:dyDescent="0.25">
      <c r="A77" s="38"/>
      <c r="B77" s="55"/>
      <c r="C77" s="66">
        <f t="shared" si="2"/>
        <v>0</v>
      </c>
      <c r="D77" s="56"/>
      <c r="E77" s="56"/>
      <c r="F77" s="56"/>
      <c r="G77" s="56"/>
      <c r="H77" s="56"/>
      <c r="I77" s="56"/>
      <c r="J77" s="56"/>
      <c r="K77" s="56"/>
      <c r="L77" s="56"/>
      <c r="M77" s="56"/>
      <c r="N77" s="56"/>
    </row>
    <row r="78" spans="1:14" x14ac:dyDescent="0.25">
      <c r="A78" s="38"/>
      <c r="B78" s="55"/>
      <c r="C78" s="66">
        <f t="shared" si="2"/>
        <v>0</v>
      </c>
      <c r="D78" s="56"/>
      <c r="E78" s="56"/>
      <c r="F78" s="56"/>
      <c r="G78" s="56"/>
      <c r="H78" s="56"/>
      <c r="I78" s="56"/>
      <c r="J78" s="56"/>
      <c r="K78" s="56"/>
      <c r="L78" s="56"/>
      <c r="M78" s="56"/>
      <c r="N78" s="56"/>
    </row>
    <row r="79" spans="1:14" x14ac:dyDescent="0.25">
      <c r="A79" s="38"/>
      <c r="B79" s="55"/>
      <c r="C79" s="66">
        <f t="shared" si="2"/>
        <v>0</v>
      </c>
      <c r="D79" s="56"/>
      <c r="E79" s="56"/>
      <c r="F79" s="56"/>
      <c r="G79" s="56"/>
      <c r="H79" s="56"/>
      <c r="I79" s="56"/>
      <c r="J79" s="56"/>
      <c r="K79" s="56"/>
      <c r="L79" s="56"/>
      <c r="M79" s="56"/>
      <c r="N79" s="56"/>
    </row>
    <row r="80" spans="1:14" x14ac:dyDescent="0.25">
      <c r="A80" s="38"/>
      <c r="B80" s="55"/>
      <c r="C80" s="66">
        <f t="shared" si="2"/>
        <v>0</v>
      </c>
      <c r="D80" s="56"/>
      <c r="E80" s="56"/>
      <c r="F80" s="56"/>
      <c r="G80" s="56"/>
      <c r="H80" s="56"/>
      <c r="I80" s="56"/>
      <c r="J80" s="56"/>
      <c r="K80" s="56"/>
      <c r="L80" s="56"/>
      <c r="M80" s="56"/>
      <c r="N80" s="56"/>
    </row>
    <row r="81" spans="1:14" x14ac:dyDescent="0.25">
      <c r="A81" s="38"/>
      <c r="B81" s="55"/>
      <c r="C81" s="66">
        <f t="shared" si="2"/>
        <v>0</v>
      </c>
      <c r="D81" s="56"/>
      <c r="E81" s="56"/>
      <c r="F81" s="56"/>
      <c r="G81" s="56"/>
      <c r="H81" s="56"/>
      <c r="I81" s="56"/>
      <c r="J81" s="56"/>
      <c r="K81" s="56"/>
      <c r="L81" s="56"/>
      <c r="M81" s="56"/>
      <c r="N81" s="56"/>
    </row>
    <row r="82" spans="1:14" x14ac:dyDescent="0.25">
      <c r="A82" s="38"/>
      <c r="B82" s="55"/>
      <c r="C82" s="66">
        <f t="shared" si="2"/>
        <v>0</v>
      </c>
      <c r="D82" s="56"/>
      <c r="E82" s="56"/>
      <c r="F82" s="56"/>
      <c r="G82" s="56"/>
      <c r="H82" s="56"/>
      <c r="I82" s="56"/>
      <c r="J82" s="56"/>
      <c r="K82" s="56"/>
      <c r="L82" s="56"/>
      <c r="M82" s="56"/>
      <c r="N82" s="56"/>
    </row>
    <row r="83" spans="1:14" x14ac:dyDescent="0.25">
      <c r="A83" s="38"/>
      <c r="B83" s="55"/>
      <c r="C83" s="66">
        <f t="shared" si="2"/>
        <v>0</v>
      </c>
      <c r="D83" s="56"/>
      <c r="E83" s="56"/>
      <c r="F83" s="56"/>
      <c r="G83" s="56"/>
      <c r="H83" s="56"/>
      <c r="I83" s="56"/>
      <c r="J83" s="56"/>
      <c r="K83" s="56"/>
      <c r="L83" s="56"/>
      <c r="M83" s="56"/>
      <c r="N83" s="56"/>
    </row>
    <row r="84" spans="1:14" x14ac:dyDescent="0.25">
      <c r="A84" s="38"/>
      <c r="B84" s="55"/>
      <c r="C84" s="66">
        <f t="shared" si="2"/>
        <v>0</v>
      </c>
      <c r="D84" s="56"/>
      <c r="E84" s="56"/>
      <c r="F84" s="56"/>
      <c r="G84" s="56"/>
      <c r="H84" s="56"/>
      <c r="I84" s="56"/>
      <c r="J84" s="56"/>
      <c r="K84" s="56"/>
      <c r="L84" s="56"/>
      <c r="M84" s="56"/>
      <c r="N84" s="56"/>
    </row>
    <row r="85" spans="1:14" x14ac:dyDescent="0.25">
      <c r="A85" s="38"/>
      <c r="B85" s="55"/>
      <c r="C85" s="66">
        <f t="shared" si="2"/>
        <v>0</v>
      </c>
      <c r="D85" s="56"/>
      <c r="E85" s="56"/>
      <c r="F85" s="56"/>
      <c r="G85" s="56"/>
      <c r="H85" s="56"/>
      <c r="I85" s="56"/>
      <c r="J85" s="56"/>
      <c r="K85" s="56"/>
      <c r="L85" s="56"/>
      <c r="M85" s="56"/>
      <c r="N85" s="56"/>
    </row>
    <row r="86" spans="1:14" x14ac:dyDescent="0.25">
      <c r="A86" s="38"/>
      <c r="B86" s="55"/>
      <c r="C86" s="66">
        <f t="shared" si="2"/>
        <v>0</v>
      </c>
      <c r="D86" s="56"/>
      <c r="E86" s="56"/>
      <c r="F86" s="56"/>
      <c r="G86" s="56"/>
      <c r="H86" s="56"/>
      <c r="I86" s="56"/>
      <c r="J86" s="56"/>
      <c r="K86" s="56"/>
      <c r="L86" s="56"/>
      <c r="M86" s="56"/>
      <c r="N86" s="56"/>
    </row>
    <row r="87" spans="1:14" x14ac:dyDescent="0.25">
      <c r="A87" s="38"/>
      <c r="B87" s="55"/>
      <c r="C87" s="66">
        <f t="shared" si="2"/>
        <v>0</v>
      </c>
      <c r="D87" s="56"/>
      <c r="E87" s="56"/>
      <c r="F87" s="56"/>
      <c r="G87" s="56"/>
      <c r="H87" s="56"/>
      <c r="I87" s="56"/>
      <c r="J87" s="56"/>
      <c r="K87" s="56"/>
      <c r="L87" s="56"/>
      <c r="M87" s="56"/>
      <c r="N87" s="56"/>
    </row>
    <row r="88" spans="1:14" x14ac:dyDescent="0.25">
      <c r="A88" s="38"/>
      <c r="B88" s="55"/>
      <c r="C88" s="66">
        <f t="shared" si="2"/>
        <v>0</v>
      </c>
      <c r="D88" s="56"/>
      <c r="E88" s="56"/>
      <c r="F88" s="56"/>
      <c r="G88" s="56"/>
      <c r="H88" s="56"/>
      <c r="I88" s="56"/>
      <c r="J88" s="56"/>
      <c r="K88" s="56"/>
      <c r="L88" s="56"/>
      <c r="M88" s="56"/>
      <c r="N88" s="56"/>
    </row>
    <row r="89" spans="1:14" x14ac:dyDescent="0.25">
      <c r="A89" s="38"/>
      <c r="B89" s="55"/>
      <c r="C89" s="66">
        <f t="shared" si="2"/>
        <v>0</v>
      </c>
      <c r="D89" s="56"/>
      <c r="E89" s="56"/>
      <c r="F89" s="56"/>
      <c r="G89" s="56"/>
      <c r="H89" s="56"/>
      <c r="I89" s="56"/>
      <c r="J89" s="56"/>
      <c r="K89" s="56"/>
      <c r="L89" s="56"/>
      <c r="M89" s="56"/>
      <c r="N89" s="56"/>
    </row>
    <row r="90" spans="1:14" x14ac:dyDescent="0.25">
      <c r="A90" s="38"/>
      <c r="B90" s="55"/>
      <c r="C90" s="66">
        <f t="shared" si="2"/>
        <v>0</v>
      </c>
      <c r="D90" s="56"/>
      <c r="E90" s="56"/>
      <c r="F90" s="56"/>
      <c r="G90" s="56"/>
      <c r="H90" s="56"/>
      <c r="I90" s="56"/>
      <c r="J90" s="56"/>
      <c r="K90" s="56"/>
      <c r="L90" s="56"/>
      <c r="M90" s="56"/>
      <c r="N90" s="56"/>
    </row>
    <row r="91" spans="1:14" x14ac:dyDescent="0.25">
      <c r="A91" s="38"/>
      <c r="B91" s="55"/>
      <c r="C91" s="66">
        <f t="shared" si="2"/>
        <v>0</v>
      </c>
      <c r="D91" s="56"/>
      <c r="E91" s="56"/>
      <c r="F91" s="56"/>
      <c r="G91" s="56"/>
      <c r="H91" s="56"/>
      <c r="I91" s="56"/>
      <c r="J91" s="56"/>
      <c r="K91" s="56"/>
      <c r="L91" s="56"/>
      <c r="M91" s="56"/>
      <c r="N91" s="56"/>
    </row>
    <row r="92" spans="1:14" x14ac:dyDescent="0.25">
      <c r="A92" s="38"/>
      <c r="B92" s="55"/>
      <c r="C92" s="66">
        <f t="shared" si="2"/>
        <v>0</v>
      </c>
      <c r="D92" s="56"/>
      <c r="E92" s="56"/>
      <c r="F92" s="56"/>
      <c r="G92" s="56"/>
      <c r="H92" s="56"/>
      <c r="I92" s="56"/>
      <c r="J92" s="56"/>
      <c r="K92" s="56"/>
      <c r="L92" s="56"/>
      <c r="M92" s="56"/>
      <c r="N92" s="56"/>
    </row>
    <row r="93" spans="1:14" x14ac:dyDescent="0.25">
      <c r="A93" s="38"/>
      <c r="B93" s="55"/>
      <c r="C93" s="66">
        <f t="shared" si="2"/>
        <v>0</v>
      </c>
      <c r="D93" s="56"/>
      <c r="E93" s="56"/>
      <c r="F93" s="56"/>
      <c r="G93" s="56"/>
      <c r="H93" s="56"/>
      <c r="I93" s="56"/>
      <c r="J93" s="56"/>
      <c r="K93" s="56"/>
      <c r="L93" s="56"/>
      <c r="M93" s="56"/>
      <c r="N93" s="56"/>
    </row>
    <row r="94" spans="1:14" x14ac:dyDescent="0.25">
      <c r="A94" s="38"/>
      <c r="B94" s="55"/>
      <c r="C94" s="66">
        <f t="shared" si="2"/>
        <v>0</v>
      </c>
      <c r="D94" s="56"/>
      <c r="E94" s="56"/>
      <c r="F94" s="56"/>
      <c r="G94" s="56"/>
      <c r="H94" s="56"/>
      <c r="I94" s="56"/>
      <c r="J94" s="56"/>
      <c r="K94" s="56"/>
      <c r="L94" s="56"/>
      <c r="M94" s="56"/>
      <c r="N94" s="56"/>
    </row>
    <row r="95" spans="1:14" x14ac:dyDescent="0.25">
      <c r="A95" s="38"/>
      <c r="B95" s="55"/>
      <c r="C95" s="66">
        <f t="shared" si="2"/>
        <v>0</v>
      </c>
      <c r="D95" s="56"/>
      <c r="E95" s="56"/>
      <c r="F95" s="56"/>
      <c r="G95" s="56"/>
      <c r="H95" s="56"/>
      <c r="I95" s="56"/>
      <c r="J95" s="56"/>
      <c r="K95" s="56"/>
      <c r="L95" s="56"/>
      <c r="M95" s="56"/>
      <c r="N95" s="56"/>
    </row>
    <row r="96" spans="1:14" x14ac:dyDescent="0.25">
      <c r="A96" s="38"/>
      <c r="B96" s="55"/>
      <c r="C96" s="66">
        <f t="shared" si="2"/>
        <v>0</v>
      </c>
      <c r="D96" s="56"/>
      <c r="E96" s="56"/>
      <c r="F96" s="56"/>
      <c r="G96" s="56"/>
      <c r="H96" s="56"/>
      <c r="I96" s="56"/>
      <c r="J96" s="56"/>
      <c r="K96" s="56"/>
      <c r="L96" s="56"/>
      <c r="M96" s="56"/>
      <c r="N96" s="56"/>
    </row>
    <row r="97" spans="1:14" x14ac:dyDescent="0.25">
      <c r="A97" s="38"/>
      <c r="B97" s="55"/>
      <c r="C97" s="66">
        <f t="shared" si="2"/>
        <v>0</v>
      </c>
      <c r="D97" s="56"/>
      <c r="E97" s="56"/>
      <c r="F97" s="56"/>
      <c r="G97" s="56"/>
      <c r="H97" s="56"/>
      <c r="I97" s="56"/>
      <c r="J97" s="56"/>
      <c r="K97" s="56"/>
      <c r="L97" s="56"/>
      <c r="M97" s="56"/>
      <c r="N97" s="56"/>
    </row>
    <row r="98" spans="1:14" x14ac:dyDescent="0.25">
      <c r="A98" s="38"/>
      <c r="B98" s="55"/>
      <c r="C98" s="66">
        <f t="shared" si="2"/>
        <v>0</v>
      </c>
      <c r="D98" s="56"/>
      <c r="E98" s="56"/>
      <c r="F98" s="56"/>
      <c r="G98" s="56"/>
      <c r="H98" s="56"/>
      <c r="I98" s="56"/>
      <c r="J98" s="56"/>
      <c r="K98" s="56"/>
      <c r="L98" s="56"/>
      <c r="M98" s="56"/>
      <c r="N98" s="56"/>
    </row>
    <row r="99" spans="1:14" x14ac:dyDescent="0.25">
      <c r="A99" s="38"/>
      <c r="B99" s="55"/>
      <c r="C99" s="66">
        <f t="shared" si="2"/>
        <v>0</v>
      </c>
      <c r="D99" s="56"/>
      <c r="E99" s="56"/>
      <c r="F99" s="56"/>
      <c r="G99" s="56"/>
      <c r="H99" s="56"/>
      <c r="I99" s="56"/>
      <c r="J99" s="56"/>
      <c r="K99" s="56"/>
      <c r="L99" s="56"/>
      <c r="M99" s="56"/>
      <c r="N99" s="56"/>
    </row>
    <row r="100" spans="1:14" x14ac:dyDescent="0.25">
      <c r="A100" s="38"/>
      <c r="B100" s="55"/>
      <c r="C100" s="66">
        <f t="shared" si="2"/>
        <v>0</v>
      </c>
      <c r="D100" s="56"/>
      <c r="E100" s="56"/>
      <c r="F100" s="56"/>
      <c r="G100" s="56"/>
      <c r="H100" s="56"/>
      <c r="I100" s="56"/>
      <c r="J100" s="56"/>
      <c r="K100" s="56"/>
      <c r="L100" s="56"/>
      <c r="M100" s="56"/>
      <c r="N100" s="56"/>
    </row>
    <row r="101" spans="1:14" x14ac:dyDescent="0.25">
      <c r="A101" s="38"/>
      <c r="B101" s="55"/>
      <c r="C101" s="66">
        <f t="shared" si="1"/>
        <v>0</v>
      </c>
      <c r="D101" s="56"/>
      <c r="E101" s="56"/>
      <c r="F101" s="56"/>
      <c r="G101" s="56"/>
      <c r="H101" s="56"/>
      <c r="I101" s="56"/>
      <c r="J101" s="56"/>
      <c r="K101" s="56"/>
      <c r="L101" s="56"/>
      <c r="M101" s="56"/>
      <c r="N101" s="56"/>
    </row>
    <row r="102" spans="1:14" x14ac:dyDescent="0.25">
      <c r="A102" s="38"/>
      <c r="B102" s="55"/>
      <c r="C102" s="66">
        <f t="shared" ref="C102" si="3">SUM(D102:N102)</f>
        <v>0</v>
      </c>
      <c r="D102" s="56"/>
      <c r="E102" s="56"/>
      <c r="F102" s="56"/>
      <c r="G102" s="56"/>
      <c r="H102" s="56"/>
      <c r="I102" s="56"/>
      <c r="J102" s="56"/>
      <c r="K102" s="56"/>
      <c r="L102" s="56"/>
      <c r="M102" s="56"/>
      <c r="N102" s="56"/>
    </row>
  </sheetData>
  <autoFilter ref="A2:N2">
    <sortState ref="A3:N67">
      <sortCondition ref="B2"/>
    </sortState>
  </autoFilter>
  <conditionalFormatting sqref="C3:N65 C101:N102">
    <cfRule type="colorScale" priority="36">
      <colorScale>
        <cfvo type="num" val="0"/>
        <cfvo type="num" val="1"/>
        <color rgb="FF00B050"/>
        <color rgb="FFFF0000"/>
      </colorScale>
    </cfRule>
  </conditionalFormatting>
  <conditionalFormatting sqref="C66:N66">
    <cfRule type="colorScale" priority="35">
      <colorScale>
        <cfvo type="num" val="0"/>
        <cfvo type="num" val="1"/>
        <color rgb="FF00B050"/>
        <color rgb="FFFF0000"/>
      </colorScale>
    </cfRule>
  </conditionalFormatting>
  <conditionalFormatting sqref="C67:N67">
    <cfRule type="colorScale" priority="34">
      <colorScale>
        <cfvo type="num" val="0"/>
        <cfvo type="num" val="1"/>
        <color rgb="FF00B050"/>
        <color rgb="FFFF0000"/>
      </colorScale>
    </cfRule>
  </conditionalFormatting>
  <conditionalFormatting sqref="C68:N68">
    <cfRule type="colorScale" priority="33">
      <colorScale>
        <cfvo type="num" val="0"/>
        <cfvo type="num" val="1"/>
        <color rgb="FF00B050"/>
        <color rgb="FFFF0000"/>
      </colorScale>
    </cfRule>
  </conditionalFormatting>
  <conditionalFormatting sqref="C69:N69">
    <cfRule type="colorScale" priority="32">
      <colorScale>
        <cfvo type="num" val="0"/>
        <cfvo type="num" val="1"/>
        <color rgb="FF00B050"/>
        <color rgb="FFFF0000"/>
      </colorScale>
    </cfRule>
  </conditionalFormatting>
  <conditionalFormatting sqref="C70:N70">
    <cfRule type="colorScale" priority="31">
      <colorScale>
        <cfvo type="num" val="0"/>
        <cfvo type="num" val="1"/>
        <color rgb="FF00B050"/>
        <color rgb="FFFF0000"/>
      </colorScale>
    </cfRule>
  </conditionalFormatting>
  <conditionalFormatting sqref="C71:N71">
    <cfRule type="colorScale" priority="30">
      <colorScale>
        <cfvo type="num" val="0"/>
        <cfvo type="num" val="1"/>
        <color rgb="FF00B050"/>
        <color rgb="FFFF0000"/>
      </colorScale>
    </cfRule>
  </conditionalFormatting>
  <conditionalFormatting sqref="C72:N72">
    <cfRule type="colorScale" priority="29">
      <colorScale>
        <cfvo type="num" val="0"/>
        <cfvo type="num" val="1"/>
        <color rgb="FF00B050"/>
        <color rgb="FFFF0000"/>
      </colorScale>
    </cfRule>
  </conditionalFormatting>
  <conditionalFormatting sqref="C73:N73">
    <cfRule type="colorScale" priority="28">
      <colorScale>
        <cfvo type="num" val="0"/>
        <cfvo type="num" val="1"/>
        <color rgb="FF00B050"/>
        <color rgb="FFFF0000"/>
      </colorScale>
    </cfRule>
  </conditionalFormatting>
  <conditionalFormatting sqref="C74:N74">
    <cfRule type="colorScale" priority="27">
      <colorScale>
        <cfvo type="num" val="0"/>
        <cfvo type="num" val="1"/>
        <color rgb="FF00B050"/>
        <color rgb="FFFF0000"/>
      </colorScale>
    </cfRule>
  </conditionalFormatting>
  <conditionalFormatting sqref="C75:N75">
    <cfRule type="colorScale" priority="26">
      <colorScale>
        <cfvo type="num" val="0"/>
        <cfvo type="num" val="1"/>
        <color rgb="FF00B050"/>
        <color rgb="FFFF0000"/>
      </colorScale>
    </cfRule>
  </conditionalFormatting>
  <conditionalFormatting sqref="C76:N76">
    <cfRule type="colorScale" priority="25">
      <colorScale>
        <cfvo type="num" val="0"/>
        <cfvo type="num" val="1"/>
        <color rgb="FF00B050"/>
        <color rgb="FFFF0000"/>
      </colorScale>
    </cfRule>
  </conditionalFormatting>
  <conditionalFormatting sqref="C77:N77">
    <cfRule type="colorScale" priority="24">
      <colorScale>
        <cfvo type="num" val="0"/>
        <cfvo type="num" val="1"/>
        <color rgb="FF00B050"/>
        <color rgb="FFFF0000"/>
      </colorScale>
    </cfRule>
  </conditionalFormatting>
  <conditionalFormatting sqref="C78:N78">
    <cfRule type="colorScale" priority="23">
      <colorScale>
        <cfvo type="num" val="0"/>
        <cfvo type="num" val="1"/>
        <color rgb="FF00B050"/>
        <color rgb="FFFF0000"/>
      </colorScale>
    </cfRule>
  </conditionalFormatting>
  <conditionalFormatting sqref="C79:N79">
    <cfRule type="colorScale" priority="22">
      <colorScale>
        <cfvo type="num" val="0"/>
        <cfvo type="num" val="1"/>
        <color rgb="FF00B050"/>
        <color rgb="FFFF0000"/>
      </colorScale>
    </cfRule>
  </conditionalFormatting>
  <conditionalFormatting sqref="C80:N80">
    <cfRule type="colorScale" priority="21">
      <colorScale>
        <cfvo type="num" val="0"/>
        <cfvo type="num" val="1"/>
        <color rgb="FF00B050"/>
        <color rgb="FFFF0000"/>
      </colorScale>
    </cfRule>
  </conditionalFormatting>
  <conditionalFormatting sqref="C81:N81">
    <cfRule type="colorScale" priority="20">
      <colorScale>
        <cfvo type="num" val="0"/>
        <cfvo type="num" val="1"/>
        <color rgb="FF00B050"/>
        <color rgb="FFFF0000"/>
      </colorScale>
    </cfRule>
  </conditionalFormatting>
  <conditionalFormatting sqref="C82:N82">
    <cfRule type="colorScale" priority="19">
      <colorScale>
        <cfvo type="num" val="0"/>
        <cfvo type="num" val="1"/>
        <color rgb="FF00B050"/>
        <color rgb="FFFF0000"/>
      </colorScale>
    </cfRule>
  </conditionalFormatting>
  <conditionalFormatting sqref="C83:N83">
    <cfRule type="colorScale" priority="18">
      <colorScale>
        <cfvo type="num" val="0"/>
        <cfvo type="num" val="1"/>
        <color rgb="FF00B050"/>
        <color rgb="FFFF0000"/>
      </colorScale>
    </cfRule>
  </conditionalFormatting>
  <conditionalFormatting sqref="C84:N84">
    <cfRule type="colorScale" priority="17">
      <colorScale>
        <cfvo type="num" val="0"/>
        <cfvo type="num" val="1"/>
        <color rgb="FF00B050"/>
        <color rgb="FFFF0000"/>
      </colorScale>
    </cfRule>
  </conditionalFormatting>
  <conditionalFormatting sqref="C85:N85">
    <cfRule type="colorScale" priority="16">
      <colorScale>
        <cfvo type="num" val="0"/>
        <cfvo type="num" val="1"/>
        <color rgb="FF00B050"/>
        <color rgb="FFFF0000"/>
      </colorScale>
    </cfRule>
  </conditionalFormatting>
  <conditionalFormatting sqref="C86:N86">
    <cfRule type="colorScale" priority="15">
      <colorScale>
        <cfvo type="num" val="0"/>
        <cfvo type="num" val="1"/>
        <color rgb="FF00B050"/>
        <color rgb="FFFF0000"/>
      </colorScale>
    </cfRule>
  </conditionalFormatting>
  <conditionalFormatting sqref="C87:N87">
    <cfRule type="colorScale" priority="14">
      <colorScale>
        <cfvo type="num" val="0"/>
        <cfvo type="num" val="1"/>
        <color rgb="FF00B050"/>
        <color rgb="FFFF0000"/>
      </colorScale>
    </cfRule>
  </conditionalFormatting>
  <conditionalFormatting sqref="C88:N88">
    <cfRule type="colorScale" priority="13">
      <colorScale>
        <cfvo type="num" val="0"/>
        <cfvo type="num" val="1"/>
        <color rgb="FF00B050"/>
        <color rgb="FFFF0000"/>
      </colorScale>
    </cfRule>
  </conditionalFormatting>
  <conditionalFormatting sqref="C89:N89">
    <cfRule type="colorScale" priority="12">
      <colorScale>
        <cfvo type="num" val="0"/>
        <cfvo type="num" val="1"/>
        <color rgb="FF00B050"/>
        <color rgb="FFFF0000"/>
      </colorScale>
    </cfRule>
  </conditionalFormatting>
  <conditionalFormatting sqref="C90:N90">
    <cfRule type="colorScale" priority="11">
      <colorScale>
        <cfvo type="num" val="0"/>
        <cfvo type="num" val="1"/>
        <color rgb="FF00B050"/>
        <color rgb="FFFF0000"/>
      </colorScale>
    </cfRule>
  </conditionalFormatting>
  <conditionalFormatting sqref="C91:N91">
    <cfRule type="colorScale" priority="10">
      <colorScale>
        <cfvo type="num" val="0"/>
        <cfvo type="num" val="1"/>
        <color rgb="FF00B050"/>
        <color rgb="FFFF0000"/>
      </colorScale>
    </cfRule>
  </conditionalFormatting>
  <conditionalFormatting sqref="C92:N92">
    <cfRule type="colorScale" priority="9">
      <colorScale>
        <cfvo type="num" val="0"/>
        <cfvo type="num" val="1"/>
        <color rgb="FF00B050"/>
        <color rgb="FFFF0000"/>
      </colorScale>
    </cfRule>
  </conditionalFormatting>
  <conditionalFormatting sqref="C93:N93">
    <cfRule type="colorScale" priority="8">
      <colorScale>
        <cfvo type="num" val="0"/>
        <cfvo type="num" val="1"/>
        <color rgb="FF00B050"/>
        <color rgb="FFFF0000"/>
      </colorScale>
    </cfRule>
  </conditionalFormatting>
  <conditionalFormatting sqref="C94:N94">
    <cfRule type="colorScale" priority="7">
      <colorScale>
        <cfvo type="num" val="0"/>
        <cfvo type="num" val="1"/>
        <color rgb="FF00B050"/>
        <color rgb="FFFF0000"/>
      </colorScale>
    </cfRule>
  </conditionalFormatting>
  <conditionalFormatting sqref="C95:N95">
    <cfRule type="colorScale" priority="6">
      <colorScale>
        <cfvo type="num" val="0"/>
        <cfvo type="num" val="1"/>
        <color rgb="FF00B050"/>
        <color rgb="FFFF0000"/>
      </colorScale>
    </cfRule>
  </conditionalFormatting>
  <conditionalFormatting sqref="C96:N96">
    <cfRule type="colorScale" priority="5">
      <colorScale>
        <cfvo type="num" val="0"/>
        <cfvo type="num" val="1"/>
        <color rgb="FF00B050"/>
        <color rgb="FFFF0000"/>
      </colorScale>
    </cfRule>
  </conditionalFormatting>
  <conditionalFormatting sqref="C97:N97">
    <cfRule type="colorScale" priority="4">
      <colorScale>
        <cfvo type="num" val="0"/>
        <cfvo type="num" val="1"/>
        <color rgb="FF00B050"/>
        <color rgb="FFFF0000"/>
      </colorScale>
    </cfRule>
  </conditionalFormatting>
  <conditionalFormatting sqref="C98:N98">
    <cfRule type="colorScale" priority="3">
      <colorScale>
        <cfvo type="num" val="0"/>
        <cfvo type="num" val="1"/>
        <color rgb="FF00B050"/>
        <color rgb="FFFF0000"/>
      </colorScale>
    </cfRule>
  </conditionalFormatting>
  <conditionalFormatting sqref="C99:N99">
    <cfRule type="colorScale" priority="2">
      <colorScale>
        <cfvo type="num" val="0"/>
        <cfvo type="num" val="1"/>
        <color rgb="FF00B050"/>
        <color rgb="FFFF0000"/>
      </colorScale>
    </cfRule>
  </conditionalFormatting>
  <conditionalFormatting sqref="C100:N100">
    <cfRule type="colorScale" priority="1">
      <colorScale>
        <cfvo type="num" val="0"/>
        <cfvo type="num" val="1"/>
        <color rgb="FF00B050"/>
        <color rgb="FFFF0000"/>
      </colorScale>
    </cfRule>
  </conditionalFormatting>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3"/>
  <sheetViews>
    <sheetView zoomScale="90" zoomScaleNormal="90" workbookViewId="0">
      <pane ySplit="1" topLeftCell="A2" activePane="bottomLeft" state="frozen"/>
      <selection pane="bottomLeft"/>
    </sheetView>
  </sheetViews>
  <sheetFormatPr baseColWidth="10" defaultRowHeight="15" x14ac:dyDescent="0.25"/>
  <cols>
    <col min="1" max="1" width="23.42578125" bestFit="1" customWidth="1"/>
    <col min="2" max="2" width="15.28515625" bestFit="1" customWidth="1"/>
    <col min="3" max="3" width="7.140625" bestFit="1" customWidth="1"/>
    <col min="4" max="4" width="14.28515625" style="86" bestFit="1" customWidth="1"/>
    <col min="5" max="5" width="15.85546875" style="86" bestFit="1" customWidth="1"/>
    <col min="6" max="6" width="13.5703125" style="101" customWidth="1"/>
    <col min="7" max="7" width="15" style="101" customWidth="1"/>
    <col min="8" max="8" width="19.7109375" style="101" bestFit="1" customWidth="1"/>
    <col min="9" max="9" width="21.140625" style="101" bestFit="1" customWidth="1"/>
    <col min="10" max="10" width="19" style="2" bestFit="1" customWidth="1"/>
    <col min="11" max="11" width="20.5703125" style="2" bestFit="1" customWidth="1"/>
    <col min="12" max="12" width="16.28515625" style="2" bestFit="1" customWidth="1"/>
    <col min="13" max="13" width="17.7109375" style="2" bestFit="1" customWidth="1"/>
    <col min="14" max="14" width="16.7109375" style="35" bestFit="1" customWidth="1"/>
    <col min="15" max="15" width="18.28515625" style="35" bestFit="1" customWidth="1"/>
    <col min="16" max="16" width="7.7109375" style="35" bestFit="1" customWidth="1"/>
  </cols>
  <sheetData>
    <row r="1" spans="1:16" x14ac:dyDescent="0.25">
      <c r="A1" s="1" t="s">
        <v>0</v>
      </c>
      <c r="B1" s="1" t="s">
        <v>1</v>
      </c>
      <c r="C1" s="1" t="s">
        <v>137</v>
      </c>
      <c r="D1" s="85" t="s">
        <v>202</v>
      </c>
      <c r="E1" s="85" t="s">
        <v>203</v>
      </c>
      <c r="F1" s="100" t="s">
        <v>138</v>
      </c>
      <c r="G1" s="100" t="s">
        <v>139</v>
      </c>
      <c r="H1" s="100" t="s">
        <v>144</v>
      </c>
      <c r="I1" s="100" t="s">
        <v>145</v>
      </c>
      <c r="J1" s="33" t="s">
        <v>161</v>
      </c>
      <c r="K1" s="33" t="s">
        <v>162</v>
      </c>
      <c r="L1" s="33" t="s">
        <v>255</v>
      </c>
      <c r="M1" s="33" t="s">
        <v>256</v>
      </c>
      <c r="N1" s="34" t="s">
        <v>140</v>
      </c>
      <c r="O1" s="34" t="s">
        <v>141</v>
      </c>
      <c r="P1" s="34" t="s">
        <v>163</v>
      </c>
    </row>
    <row r="2" spans="1:16" x14ac:dyDescent="0.25">
      <c r="A2" t="s">
        <v>76</v>
      </c>
      <c r="B2" t="s">
        <v>142</v>
      </c>
      <c r="C2">
        <v>2013</v>
      </c>
      <c r="F2" s="101">
        <v>8.7200000000000006</v>
      </c>
      <c r="G2" s="101">
        <v>4.91</v>
      </c>
      <c r="N2" s="35">
        <v>41.5</v>
      </c>
      <c r="O2" s="35">
        <v>53.5</v>
      </c>
      <c r="P2" s="35">
        <v>100</v>
      </c>
    </row>
    <row r="3" spans="1:16" x14ac:dyDescent="0.25">
      <c r="A3" t="s">
        <v>2</v>
      </c>
      <c r="B3" t="s">
        <v>3</v>
      </c>
      <c r="C3">
        <v>2007</v>
      </c>
      <c r="F3" s="101">
        <v>5.13</v>
      </c>
      <c r="G3" s="101">
        <v>2.81</v>
      </c>
      <c r="N3" s="35">
        <v>81.5</v>
      </c>
      <c r="O3" s="35">
        <v>81.5</v>
      </c>
      <c r="P3" s="35">
        <v>175</v>
      </c>
    </row>
    <row r="4" spans="1:16" x14ac:dyDescent="0.25">
      <c r="A4" t="s">
        <v>4</v>
      </c>
      <c r="B4" t="s">
        <v>5</v>
      </c>
      <c r="C4">
        <v>2005</v>
      </c>
      <c r="J4" s="2">
        <v>40.479999999999997</v>
      </c>
      <c r="N4" s="35">
        <v>80.5</v>
      </c>
      <c r="O4" s="35">
        <v>80.5</v>
      </c>
      <c r="P4" s="35">
        <v>175</v>
      </c>
    </row>
    <row r="5" spans="1:16" x14ac:dyDescent="0.25">
      <c r="A5" t="s">
        <v>4</v>
      </c>
      <c r="B5" t="s">
        <v>5</v>
      </c>
      <c r="C5">
        <v>2006</v>
      </c>
      <c r="J5" s="2">
        <v>45.73</v>
      </c>
      <c r="N5" s="35">
        <v>80.5</v>
      </c>
      <c r="O5" s="35">
        <v>82.5</v>
      </c>
      <c r="P5" s="35">
        <v>175</v>
      </c>
    </row>
    <row r="6" spans="1:16" x14ac:dyDescent="0.25">
      <c r="A6" t="s">
        <v>4</v>
      </c>
      <c r="B6" t="s">
        <v>5</v>
      </c>
      <c r="C6">
        <v>2007</v>
      </c>
      <c r="J6" s="2">
        <v>52.57</v>
      </c>
      <c r="N6" s="35">
        <v>80.5</v>
      </c>
      <c r="O6" s="35">
        <v>88.5</v>
      </c>
      <c r="P6" s="35">
        <v>175</v>
      </c>
    </row>
    <row r="7" spans="1:16" x14ac:dyDescent="0.25">
      <c r="A7" t="s">
        <v>4</v>
      </c>
      <c r="B7" t="s">
        <v>5</v>
      </c>
      <c r="C7">
        <v>2008</v>
      </c>
      <c r="J7" s="2">
        <v>51.57</v>
      </c>
      <c r="N7" s="35">
        <v>80.5</v>
      </c>
      <c r="O7" s="35">
        <v>117</v>
      </c>
      <c r="P7" s="35">
        <v>175</v>
      </c>
    </row>
    <row r="8" spans="1:16" x14ac:dyDescent="0.25">
      <c r="A8" t="s">
        <v>6</v>
      </c>
      <c r="B8" t="s">
        <v>7</v>
      </c>
      <c r="C8">
        <v>2005</v>
      </c>
      <c r="J8" s="2">
        <v>12.35</v>
      </c>
      <c r="N8" s="35">
        <v>91.5</v>
      </c>
      <c r="O8" s="35">
        <v>88.5</v>
      </c>
      <c r="P8" s="35">
        <v>175</v>
      </c>
    </row>
    <row r="9" spans="1:16" x14ac:dyDescent="0.25">
      <c r="A9" t="s">
        <v>6</v>
      </c>
      <c r="B9" t="s">
        <v>7</v>
      </c>
      <c r="C9">
        <v>2006</v>
      </c>
      <c r="J9" s="2">
        <v>12.73</v>
      </c>
      <c r="N9" s="35">
        <v>91.5</v>
      </c>
      <c r="O9" s="35">
        <v>88.5</v>
      </c>
      <c r="P9" s="35">
        <v>175</v>
      </c>
    </row>
    <row r="10" spans="1:16" x14ac:dyDescent="0.25">
      <c r="A10" t="s">
        <v>6</v>
      </c>
      <c r="B10" t="s">
        <v>7</v>
      </c>
      <c r="C10">
        <v>2007</v>
      </c>
      <c r="J10" s="2">
        <v>13.25</v>
      </c>
      <c r="N10" s="35">
        <v>91.5</v>
      </c>
      <c r="O10" s="35">
        <v>86.5</v>
      </c>
      <c r="P10" s="35">
        <v>175</v>
      </c>
    </row>
    <row r="11" spans="1:16" x14ac:dyDescent="0.25">
      <c r="A11" t="s">
        <v>6</v>
      </c>
      <c r="B11" t="s">
        <v>7</v>
      </c>
      <c r="C11">
        <v>2008</v>
      </c>
      <c r="F11" s="101">
        <v>4.84</v>
      </c>
      <c r="G11" s="101">
        <v>2.44</v>
      </c>
      <c r="N11" s="35">
        <v>33</v>
      </c>
      <c r="O11" s="35">
        <v>33</v>
      </c>
      <c r="P11" s="35">
        <v>100</v>
      </c>
    </row>
    <row r="12" spans="1:16" x14ac:dyDescent="0.25">
      <c r="A12" t="s">
        <v>6</v>
      </c>
      <c r="B12" t="s">
        <v>7</v>
      </c>
      <c r="C12">
        <v>2008</v>
      </c>
      <c r="J12" s="2">
        <v>13.26</v>
      </c>
      <c r="N12" s="35">
        <v>91.5</v>
      </c>
      <c r="O12" s="35">
        <v>85.5</v>
      </c>
      <c r="P12" s="35">
        <v>175</v>
      </c>
    </row>
    <row r="13" spans="1:16" x14ac:dyDescent="0.25">
      <c r="A13" t="s">
        <v>6</v>
      </c>
      <c r="B13" t="s">
        <v>7</v>
      </c>
      <c r="C13">
        <v>2009</v>
      </c>
      <c r="J13" s="2">
        <v>13.4</v>
      </c>
      <c r="N13" s="35">
        <v>91.5</v>
      </c>
      <c r="O13" s="35">
        <v>83.5</v>
      </c>
      <c r="P13" s="35">
        <v>175</v>
      </c>
    </row>
    <row r="14" spans="1:16" x14ac:dyDescent="0.25">
      <c r="A14" t="s">
        <v>6</v>
      </c>
      <c r="B14" t="s">
        <v>7</v>
      </c>
      <c r="C14">
        <v>2010</v>
      </c>
      <c r="F14" s="101">
        <v>10.119999999999999</v>
      </c>
      <c r="G14" s="101">
        <v>2.13</v>
      </c>
      <c r="N14" s="35">
        <v>33</v>
      </c>
      <c r="O14" s="35">
        <v>49</v>
      </c>
      <c r="P14" s="35">
        <v>100</v>
      </c>
    </row>
    <row r="15" spans="1:16" x14ac:dyDescent="0.25">
      <c r="A15" s="55" t="s">
        <v>6</v>
      </c>
      <c r="B15" s="55" t="s">
        <v>7</v>
      </c>
      <c r="C15" s="52">
        <v>2013</v>
      </c>
      <c r="D15" s="87"/>
      <c r="E15" s="87"/>
      <c r="F15" s="94">
        <v>3.13</v>
      </c>
      <c r="G15" s="94">
        <v>2.6419999999999999</v>
      </c>
      <c r="H15" s="94"/>
      <c r="I15" s="94"/>
      <c r="J15" s="53"/>
      <c r="K15" s="53"/>
      <c r="L15" s="53"/>
      <c r="M15" s="53"/>
      <c r="N15" s="54">
        <v>113</v>
      </c>
      <c r="O15" s="54">
        <v>120</v>
      </c>
      <c r="P15" s="54">
        <v>250</v>
      </c>
    </row>
    <row r="16" spans="1:16" x14ac:dyDescent="0.25">
      <c r="A16" s="55" t="s">
        <v>6</v>
      </c>
      <c r="B16" s="55" t="s">
        <v>7</v>
      </c>
      <c r="C16" s="52">
        <v>2014</v>
      </c>
      <c r="D16" s="87"/>
      <c r="E16" s="87"/>
      <c r="F16" s="94">
        <v>4.5199999999999996</v>
      </c>
      <c r="G16" s="94">
        <v>1.704</v>
      </c>
      <c r="H16" s="94"/>
      <c r="I16" s="94"/>
      <c r="J16" s="53"/>
      <c r="K16" s="53"/>
      <c r="L16" s="53"/>
      <c r="M16" s="53"/>
      <c r="N16" s="54">
        <v>113</v>
      </c>
      <c r="O16" s="54">
        <v>120</v>
      </c>
      <c r="P16" s="54">
        <v>250</v>
      </c>
    </row>
    <row r="17" spans="1:16" x14ac:dyDescent="0.25">
      <c r="A17" s="52" t="s">
        <v>8</v>
      </c>
      <c r="B17" s="52" t="s">
        <v>9</v>
      </c>
      <c r="C17" s="52">
        <v>2006</v>
      </c>
      <c r="D17" s="87"/>
      <c r="E17" s="87"/>
      <c r="F17" s="94">
        <v>2.93</v>
      </c>
      <c r="G17" s="94">
        <v>1.69</v>
      </c>
      <c r="H17" s="94"/>
      <c r="I17" s="94"/>
      <c r="J17" s="53"/>
      <c r="K17" s="53"/>
      <c r="L17" s="53"/>
      <c r="M17" s="53"/>
      <c r="N17" s="54">
        <v>106</v>
      </c>
      <c r="O17" s="54">
        <v>98</v>
      </c>
      <c r="P17" s="54">
        <v>175</v>
      </c>
    </row>
    <row r="18" spans="1:16" x14ac:dyDescent="0.25">
      <c r="A18" s="52" t="s">
        <v>8</v>
      </c>
      <c r="B18" s="52" t="s">
        <v>9</v>
      </c>
      <c r="C18" s="52">
        <v>2007</v>
      </c>
      <c r="D18" s="87"/>
      <c r="E18" s="87"/>
      <c r="F18" s="94">
        <v>1.93</v>
      </c>
      <c r="G18" s="94">
        <v>2.12</v>
      </c>
      <c r="H18" s="94"/>
      <c r="I18" s="94"/>
      <c r="J18" s="53"/>
      <c r="K18" s="53"/>
      <c r="L18" s="53"/>
      <c r="M18" s="53"/>
      <c r="N18" s="54">
        <v>106</v>
      </c>
      <c r="O18" s="54">
        <v>98</v>
      </c>
      <c r="P18" s="54">
        <v>175</v>
      </c>
    </row>
    <row r="19" spans="1:16" x14ac:dyDescent="0.25">
      <c r="A19" s="52" t="s">
        <v>8</v>
      </c>
      <c r="B19" s="52" t="s">
        <v>9</v>
      </c>
      <c r="C19" s="52">
        <v>2008</v>
      </c>
      <c r="D19" s="87"/>
      <c r="E19" s="87"/>
      <c r="F19" s="94">
        <v>2.48</v>
      </c>
      <c r="G19" s="94">
        <v>2.19</v>
      </c>
      <c r="H19" s="94"/>
      <c r="I19" s="94"/>
      <c r="J19" s="53"/>
      <c r="K19" s="53"/>
      <c r="L19" s="53"/>
      <c r="M19" s="53"/>
      <c r="N19" s="54">
        <v>106</v>
      </c>
      <c r="O19" s="54">
        <v>98</v>
      </c>
      <c r="P19" s="54">
        <v>175</v>
      </c>
    </row>
    <row r="20" spans="1:16" x14ac:dyDescent="0.25">
      <c r="A20" s="52" t="s">
        <v>8</v>
      </c>
      <c r="B20" s="52" t="s">
        <v>9</v>
      </c>
      <c r="C20" s="52">
        <v>2010</v>
      </c>
      <c r="D20" s="87"/>
      <c r="E20" s="87"/>
      <c r="F20" s="94">
        <v>1.4</v>
      </c>
      <c r="G20" s="94">
        <v>1.84</v>
      </c>
      <c r="H20" s="94"/>
      <c r="I20" s="94"/>
      <c r="J20" s="53"/>
      <c r="K20" s="53"/>
      <c r="L20" s="53"/>
      <c r="M20" s="53"/>
      <c r="N20" s="54">
        <v>106</v>
      </c>
      <c r="O20" s="54">
        <v>98</v>
      </c>
      <c r="P20" s="54">
        <v>175</v>
      </c>
    </row>
    <row r="21" spans="1:16" x14ac:dyDescent="0.25">
      <c r="A21" s="52" t="s">
        <v>8</v>
      </c>
      <c r="B21" s="52" t="s">
        <v>9</v>
      </c>
      <c r="C21" s="52">
        <v>2011</v>
      </c>
      <c r="D21" s="87"/>
      <c r="E21" s="87"/>
      <c r="F21" s="94">
        <v>1.1000000000000001</v>
      </c>
      <c r="G21" s="94">
        <v>1.87</v>
      </c>
      <c r="H21" s="94"/>
      <c r="I21" s="94"/>
      <c r="J21" s="53"/>
      <c r="K21" s="53"/>
      <c r="L21" s="53"/>
      <c r="M21" s="53"/>
      <c r="N21" s="54">
        <v>106</v>
      </c>
      <c r="O21" s="54">
        <v>98</v>
      </c>
      <c r="P21" s="54">
        <v>175</v>
      </c>
    </row>
    <row r="22" spans="1:16" x14ac:dyDescent="0.25">
      <c r="A22" s="52" t="s">
        <v>8</v>
      </c>
      <c r="B22" s="52" t="s">
        <v>9</v>
      </c>
      <c r="C22" s="52">
        <v>2012</v>
      </c>
      <c r="D22" s="87"/>
      <c r="E22" s="87"/>
      <c r="F22" s="94">
        <v>1.95</v>
      </c>
      <c r="G22" s="94">
        <v>2.08</v>
      </c>
      <c r="H22" s="94"/>
      <c r="I22" s="94"/>
      <c r="J22" s="53"/>
      <c r="K22" s="53"/>
      <c r="L22" s="53"/>
      <c r="M22" s="53"/>
      <c r="N22" s="54">
        <v>106</v>
      </c>
      <c r="O22" s="54">
        <v>98</v>
      </c>
      <c r="P22" s="54">
        <v>175</v>
      </c>
    </row>
    <row r="23" spans="1:16" x14ac:dyDescent="0.25">
      <c r="A23" s="52" t="s">
        <v>8</v>
      </c>
      <c r="B23" s="52" t="s">
        <v>9</v>
      </c>
      <c r="C23" s="52">
        <v>2013</v>
      </c>
      <c r="D23" s="87"/>
      <c r="E23" s="87"/>
      <c r="F23" s="94">
        <v>2.35</v>
      </c>
      <c r="G23" s="94">
        <v>2.33</v>
      </c>
      <c r="H23" s="94"/>
      <c r="I23" s="94"/>
      <c r="J23" s="53"/>
      <c r="K23" s="53"/>
      <c r="L23" s="53"/>
      <c r="M23" s="53"/>
      <c r="N23" s="54">
        <v>106</v>
      </c>
      <c r="O23" s="54">
        <v>98</v>
      </c>
      <c r="P23" s="54">
        <v>175</v>
      </c>
    </row>
    <row r="24" spans="1:16" x14ac:dyDescent="0.25">
      <c r="A24" s="55" t="s">
        <v>8</v>
      </c>
      <c r="B24" s="55" t="s">
        <v>9</v>
      </c>
      <c r="C24" s="52">
        <v>2014</v>
      </c>
      <c r="D24" s="87"/>
      <c r="E24" s="87"/>
      <c r="F24" s="94">
        <v>2.33</v>
      </c>
      <c r="G24" s="94">
        <v>2.31</v>
      </c>
      <c r="H24" s="94"/>
      <c r="I24" s="94"/>
      <c r="J24" s="53"/>
      <c r="K24" s="53"/>
      <c r="L24" s="53"/>
      <c r="M24" s="53"/>
      <c r="N24" s="54">
        <v>98</v>
      </c>
      <c r="O24" s="54">
        <v>100</v>
      </c>
      <c r="P24" s="54">
        <v>175</v>
      </c>
    </row>
    <row r="25" spans="1:16" x14ac:dyDescent="0.25">
      <c r="A25" s="55" t="s">
        <v>12</v>
      </c>
      <c r="B25" s="55" t="s">
        <v>13</v>
      </c>
      <c r="C25" s="52">
        <v>2005</v>
      </c>
      <c r="D25" s="87"/>
      <c r="E25" s="87"/>
      <c r="F25" s="94">
        <v>1.31</v>
      </c>
      <c r="G25" s="94">
        <v>1.08</v>
      </c>
      <c r="H25" s="94"/>
      <c r="I25" s="94"/>
      <c r="J25" s="53"/>
      <c r="K25" s="53"/>
      <c r="L25" s="53"/>
      <c r="M25" s="53"/>
      <c r="N25" s="54">
        <v>81.5</v>
      </c>
      <c r="O25" s="54">
        <v>50</v>
      </c>
      <c r="P25" s="54">
        <v>175</v>
      </c>
    </row>
    <row r="26" spans="1:16" x14ac:dyDescent="0.25">
      <c r="A26" s="55" t="s">
        <v>12</v>
      </c>
      <c r="B26" s="55" t="s">
        <v>13</v>
      </c>
      <c r="C26" s="52">
        <v>2006</v>
      </c>
      <c r="D26" s="87"/>
      <c r="E26" s="87"/>
      <c r="F26" s="94">
        <v>0.74</v>
      </c>
      <c r="G26" s="94">
        <v>0.9</v>
      </c>
      <c r="H26" s="94"/>
      <c r="I26" s="94"/>
      <c r="J26" s="53"/>
      <c r="K26" s="53"/>
      <c r="L26" s="53"/>
      <c r="M26" s="53"/>
      <c r="N26" s="54">
        <v>81.5</v>
      </c>
      <c r="O26" s="54">
        <v>50</v>
      </c>
      <c r="P26" s="54">
        <v>175</v>
      </c>
    </row>
    <row r="27" spans="1:16" x14ac:dyDescent="0.25">
      <c r="A27" s="55" t="s">
        <v>12</v>
      </c>
      <c r="B27" s="55" t="s">
        <v>13</v>
      </c>
      <c r="C27" s="52">
        <v>2007</v>
      </c>
      <c r="D27" s="87"/>
      <c r="E27" s="87"/>
      <c r="F27" s="94">
        <v>0.13</v>
      </c>
      <c r="G27" s="94">
        <v>0.69</v>
      </c>
      <c r="H27" s="94"/>
      <c r="I27" s="94"/>
      <c r="J27" s="53"/>
      <c r="K27" s="53"/>
      <c r="L27" s="53"/>
      <c r="M27" s="53"/>
      <c r="N27" s="54">
        <v>81.5</v>
      </c>
      <c r="O27" s="54">
        <v>50</v>
      </c>
      <c r="P27" s="54">
        <v>175</v>
      </c>
    </row>
    <row r="28" spans="1:16" x14ac:dyDescent="0.25">
      <c r="A28" s="55" t="s">
        <v>12</v>
      </c>
      <c r="B28" s="55" t="s">
        <v>13</v>
      </c>
      <c r="C28" s="52">
        <v>2008</v>
      </c>
      <c r="D28" s="87"/>
      <c r="E28" s="87"/>
      <c r="F28" s="94">
        <v>0.34</v>
      </c>
      <c r="G28" s="94">
        <v>0.78</v>
      </c>
      <c r="H28" s="94"/>
      <c r="I28" s="94"/>
      <c r="J28" s="53"/>
      <c r="K28" s="53"/>
      <c r="L28" s="53"/>
      <c r="M28" s="53"/>
      <c r="N28" s="54">
        <v>81.5</v>
      </c>
      <c r="O28" s="54">
        <v>50</v>
      </c>
      <c r="P28" s="54">
        <v>175</v>
      </c>
    </row>
    <row r="29" spans="1:16" x14ac:dyDescent="0.25">
      <c r="A29" s="55" t="s">
        <v>12</v>
      </c>
      <c r="B29" s="55" t="s">
        <v>13</v>
      </c>
      <c r="C29" s="52">
        <v>2009</v>
      </c>
      <c r="D29" s="87"/>
      <c r="E29" s="87"/>
      <c r="F29" s="94">
        <v>0.08</v>
      </c>
      <c r="G29" s="94">
        <v>0.78</v>
      </c>
      <c r="H29" s="94"/>
      <c r="I29" s="94"/>
      <c r="J29" s="53"/>
      <c r="K29" s="53"/>
      <c r="L29" s="53"/>
      <c r="M29" s="53"/>
      <c r="N29" s="54">
        <v>81.5</v>
      </c>
      <c r="O29" s="54">
        <v>50</v>
      </c>
      <c r="P29" s="54">
        <v>175</v>
      </c>
    </row>
    <row r="30" spans="1:16" x14ac:dyDescent="0.25">
      <c r="A30" s="55" t="s">
        <v>12</v>
      </c>
      <c r="B30" s="55" t="s">
        <v>13</v>
      </c>
      <c r="C30" s="52">
        <v>2010</v>
      </c>
      <c r="D30" s="87"/>
      <c r="E30" s="87"/>
      <c r="F30" s="94">
        <v>0.39</v>
      </c>
      <c r="G30" s="94">
        <v>0.79</v>
      </c>
      <c r="H30" s="94"/>
      <c r="I30" s="94"/>
      <c r="J30" s="53"/>
      <c r="K30" s="53"/>
      <c r="L30" s="53"/>
      <c r="M30" s="53"/>
      <c r="N30" s="54">
        <v>81.5</v>
      </c>
      <c r="O30" s="54">
        <v>50</v>
      </c>
      <c r="P30" s="54">
        <v>175</v>
      </c>
    </row>
    <row r="31" spans="1:16" x14ac:dyDescent="0.25">
      <c r="A31" s="55" t="s">
        <v>12</v>
      </c>
      <c r="B31" s="55" t="s">
        <v>13</v>
      </c>
      <c r="C31" s="52">
        <v>2011</v>
      </c>
      <c r="D31" s="87"/>
      <c r="E31" s="87"/>
      <c r="F31" s="94">
        <v>0.13</v>
      </c>
      <c r="G31" s="94">
        <v>0.67</v>
      </c>
      <c r="H31" s="94"/>
      <c r="I31" s="94"/>
      <c r="J31" s="53"/>
      <c r="K31" s="53"/>
      <c r="L31" s="53"/>
      <c r="M31" s="53"/>
      <c r="N31" s="54">
        <v>81.5</v>
      </c>
      <c r="O31" s="54">
        <v>50</v>
      </c>
      <c r="P31" s="54">
        <v>175</v>
      </c>
    </row>
    <row r="32" spans="1:16" x14ac:dyDescent="0.25">
      <c r="A32" s="55" t="s">
        <v>12</v>
      </c>
      <c r="B32" s="55" t="s">
        <v>13</v>
      </c>
      <c r="C32" s="52">
        <v>2012</v>
      </c>
      <c r="D32" s="87"/>
      <c r="E32" s="87"/>
      <c r="F32" s="94">
        <v>-1.22</v>
      </c>
      <c r="G32" s="94">
        <v>0.57999999999999996</v>
      </c>
      <c r="H32" s="94"/>
      <c r="I32" s="94"/>
      <c r="J32" s="53"/>
      <c r="K32" s="53"/>
      <c r="L32" s="53"/>
      <c r="M32" s="53"/>
      <c r="N32" s="54">
        <v>81.5</v>
      </c>
      <c r="O32" s="54">
        <v>50</v>
      </c>
      <c r="P32" s="54">
        <v>175</v>
      </c>
    </row>
    <row r="33" spans="1:16" x14ac:dyDescent="0.25">
      <c r="A33" s="55" t="s">
        <v>12</v>
      </c>
      <c r="B33" s="55" t="s">
        <v>13</v>
      </c>
      <c r="C33" s="52">
        <v>2013</v>
      </c>
      <c r="D33" s="87"/>
      <c r="E33" s="87"/>
      <c r="F33" s="94">
        <v>0.21</v>
      </c>
      <c r="G33" s="94">
        <v>0.63</v>
      </c>
      <c r="H33" s="94"/>
      <c r="I33" s="94"/>
      <c r="J33" s="53"/>
      <c r="K33" s="53"/>
      <c r="L33" s="53"/>
      <c r="M33" s="53"/>
      <c r="N33" s="54">
        <v>81.5</v>
      </c>
      <c r="O33" s="54">
        <v>50</v>
      </c>
      <c r="P33" s="54">
        <v>175</v>
      </c>
    </row>
    <row r="34" spans="1:16" x14ac:dyDescent="0.25">
      <c r="A34" s="55" t="s">
        <v>12</v>
      </c>
      <c r="B34" s="55" t="s">
        <v>13</v>
      </c>
      <c r="C34" s="52">
        <v>2014</v>
      </c>
      <c r="D34" s="87"/>
      <c r="E34" s="87"/>
      <c r="F34" s="94">
        <v>0.65</v>
      </c>
      <c r="G34" s="94">
        <v>0.53</v>
      </c>
      <c r="H34" s="94"/>
      <c r="I34" s="94"/>
      <c r="J34" s="53"/>
      <c r="K34" s="53"/>
      <c r="L34" s="53"/>
      <c r="M34" s="53"/>
      <c r="N34" s="54">
        <v>81.5</v>
      </c>
      <c r="O34" s="54">
        <v>50</v>
      </c>
      <c r="P34" s="54">
        <v>175</v>
      </c>
    </row>
    <row r="35" spans="1:16" x14ac:dyDescent="0.25">
      <c r="A35" s="38" t="s">
        <v>81</v>
      </c>
      <c r="B35" s="38" t="s">
        <v>172</v>
      </c>
      <c r="C35">
        <v>2008</v>
      </c>
      <c r="F35" s="101">
        <v>2.83</v>
      </c>
      <c r="G35" s="101">
        <v>1.84</v>
      </c>
      <c r="N35" s="35">
        <v>83.5</v>
      </c>
      <c r="O35" s="35">
        <v>90.5</v>
      </c>
      <c r="P35" s="35">
        <v>175</v>
      </c>
    </row>
    <row r="36" spans="1:16" x14ac:dyDescent="0.25">
      <c r="A36" s="52" t="s">
        <v>273</v>
      </c>
      <c r="B36" s="52" t="s">
        <v>283</v>
      </c>
      <c r="C36">
        <v>2005</v>
      </c>
      <c r="L36" s="2">
        <v>119.9</v>
      </c>
      <c r="O36" s="35">
        <v>116.5</v>
      </c>
      <c r="P36" s="35">
        <v>250</v>
      </c>
    </row>
    <row r="37" spans="1:16" x14ac:dyDescent="0.25">
      <c r="A37" s="52" t="s">
        <v>273</v>
      </c>
      <c r="B37" s="52" t="s">
        <v>283</v>
      </c>
      <c r="C37">
        <v>2006</v>
      </c>
      <c r="F37" s="101">
        <v>12.49</v>
      </c>
      <c r="G37" s="101">
        <v>4.8049999999999997</v>
      </c>
      <c r="L37" s="2">
        <v>160.69999999999999</v>
      </c>
      <c r="O37" s="35">
        <v>116.5</v>
      </c>
      <c r="P37" s="35">
        <v>250</v>
      </c>
    </row>
    <row r="38" spans="1:16" x14ac:dyDescent="0.25">
      <c r="A38" s="52" t="s">
        <v>273</v>
      </c>
      <c r="B38" s="52" t="s">
        <v>283</v>
      </c>
      <c r="C38">
        <v>2007</v>
      </c>
      <c r="F38" s="101">
        <v>5.6</v>
      </c>
      <c r="G38" s="101">
        <v>3.1280000000000001</v>
      </c>
      <c r="L38" s="2">
        <v>166.3</v>
      </c>
      <c r="O38" s="35">
        <v>116.5</v>
      </c>
      <c r="P38" s="35">
        <v>250</v>
      </c>
    </row>
    <row r="39" spans="1:16" x14ac:dyDescent="0.25">
      <c r="A39" s="52" t="s">
        <v>273</v>
      </c>
      <c r="B39" s="52" t="s">
        <v>283</v>
      </c>
      <c r="C39">
        <v>2008</v>
      </c>
      <c r="L39" s="2">
        <v>168.5</v>
      </c>
      <c r="O39" s="35">
        <v>116.5</v>
      </c>
      <c r="P39" s="35">
        <v>250</v>
      </c>
    </row>
    <row r="40" spans="1:16" x14ac:dyDescent="0.25">
      <c r="A40" s="52" t="s">
        <v>273</v>
      </c>
      <c r="B40" s="52" t="s">
        <v>283</v>
      </c>
      <c r="C40">
        <v>2009</v>
      </c>
      <c r="L40" s="2">
        <v>168.9</v>
      </c>
      <c r="O40" s="35">
        <v>116.5</v>
      </c>
      <c r="P40" s="35">
        <v>250</v>
      </c>
    </row>
    <row r="41" spans="1:16" x14ac:dyDescent="0.25">
      <c r="A41" s="52" t="s">
        <v>273</v>
      </c>
      <c r="B41" s="52" t="s">
        <v>283</v>
      </c>
      <c r="C41">
        <v>2010</v>
      </c>
      <c r="L41" s="2">
        <v>170.3</v>
      </c>
      <c r="O41" s="35">
        <v>116.5</v>
      </c>
      <c r="P41" s="35">
        <v>250</v>
      </c>
    </row>
    <row r="42" spans="1:16" x14ac:dyDescent="0.25">
      <c r="A42" s="52" t="s">
        <v>273</v>
      </c>
      <c r="B42" s="52" t="s">
        <v>283</v>
      </c>
      <c r="C42">
        <v>2011</v>
      </c>
      <c r="L42" s="2">
        <v>171.1</v>
      </c>
      <c r="O42" s="35">
        <v>116.5</v>
      </c>
      <c r="P42" s="35">
        <v>250</v>
      </c>
    </row>
    <row r="43" spans="1:16" x14ac:dyDescent="0.25">
      <c r="A43" t="s">
        <v>14</v>
      </c>
      <c r="B43" t="s">
        <v>15</v>
      </c>
      <c r="C43">
        <v>2010</v>
      </c>
      <c r="F43" s="101">
        <v>1.52</v>
      </c>
      <c r="G43" s="101">
        <v>2.1</v>
      </c>
      <c r="N43" s="35">
        <v>121</v>
      </c>
      <c r="O43" s="35">
        <v>126.5</v>
      </c>
      <c r="P43" s="35">
        <v>175</v>
      </c>
    </row>
    <row r="44" spans="1:16" x14ac:dyDescent="0.25">
      <c r="A44" t="s">
        <v>14</v>
      </c>
      <c r="B44" t="s">
        <v>15</v>
      </c>
      <c r="C44">
        <v>2011</v>
      </c>
      <c r="F44" s="101">
        <v>2.89</v>
      </c>
      <c r="G44" s="101">
        <v>2.4700000000000002</v>
      </c>
      <c r="N44" s="35">
        <v>121</v>
      </c>
      <c r="O44" s="35">
        <v>126.5</v>
      </c>
      <c r="P44" s="35">
        <v>175</v>
      </c>
    </row>
    <row r="45" spans="1:16" x14ac:dyDescent="0.25">
      <c r="A45" s="38" t="s">
        <v>16</v>
      </c>
      <c r="B45" s="38" t="s">
        <v>17</v>
      </c>
      <c r="C45">
        <v>2007</v>
      </c>
      <c r="F45" s="101">
        <v>4.0999999999999996</v>
      </c>
      <c r="G45" s="101">
        <v>3.86</v>
      </c>
      <c r="N45" s="35">
        <v>92</v>
      </c>
      <c r="O45" s="35">
        <v>101.5</v>
      </c>
      <c r="P45" s="35">
        <v>175</v>
      </c>
    </row>
    <row r="46" spans="1:16" x14ac:dyDescent="0.25">
      <c r="A46" t="s">
        <v>16</v>
      </c>
      <c r="B46" t="s">
        <v>17</v>
      </c>
      <c r="C46">
        <v>2008</v>
      </c>
      <c r="F46" s="101">
        <v>6.39</v>
      </c>
      <c r="G46" s="101">
        <v>2.02</v>
      </c>
      <c r="N46" s="35">
        <v>92</v>
      </c>
      <c r="O46" s="35">
        <v>101.5</v>
      </c>
      <c r="P46" s="35">
        <v>175</v>
      </c>
    </row>
    <row r="47" spans="1:16" x14ac:dyDescent="0.25">
      <c r="A47" t="s">
        <v>24</v>
      </c>
      <c r="B47" t="s">
        <v>25</v>
      </c>
      <c r="C47">
        <v>2005</v>
      </c>
      <c r="J47" s="2">
        <v>15.28</v>
      </c>
      <c r="N47" s="35">
        <v>98</v>
      </c>
      <c r="O47" s="35">
        <v>97.5</v>
      </c>
      <c r="P47" s="35">
        <v>175</v>
      </c>
    </row>
    <row r="48" spans="1:16" x14ac:dyDescent="0.25">
      <c r="A48" t="s">
        <v>24</v>
      </c>
      <c r="B48" t="s">
        <v>25</v>
      </c>
      <c r="C48">
        <v>2006</v>
      </c>
      <c r="J48" s="2">
        <v>16.809999999999999</v>
      </c>
      <c r="N48" s="35">
        <v>98</v>
      </c>
      <c r="O48" s="35">
        <v>95.5</v>
      </c>
      <c r="P48" s="35">
        <v>175</v>
      </c>
    </row>
    <row r="49" spans="1:16" x14ac:dyDescent="0.25">
      <c r="A49" t="s">
        <v>24</v>
      </c>
      <c r="B49" t="s">
        <v>25</v>
      </c>
      <c r="C49">
        <v>2007</v>
      </c>
      <c r="F49" s="101">
        <v>5.84</v>
      </c>
      <c r="G49" s="101">
        <v>3.8</v>
      </c>
      <c r="N49" s="35">
        <v>58</v>
      </c>
      <c r="O49" s="35">
        <v>63</v>
      </c>
      <c r="P49" s="35">
        <v>100</v>
      </c>
    </row>
    <row r="50" spans="1:16" x14ac:dyDescent="0.25">
      <c r="A50" t="s">
        <v>28</v>
      </c>
      <c r="B50" t="s">
        <v>29</v>
      </c>
      <c r="C50">
        <v>2005</v>
      </c>
      <c r="J50" s="2">
        <v>9.99</v>
      </c>
      <c r="N50" s="35">
        <v>75.5</v>
      </c>
      <c r="O50" s="35">
        <v>72.5</v>
      </c>
      <c r="P50" s="35">
        <v>175</v>
      </c>
    </row>
    <row r="51" spans="1:16" x14ac:dyDescent="0.25">
      <c r="A51" t="s">
        <v>28</v>
      </c>
      <c r="B51" t="s">
        <v>29</v>
      </c>
      <c r="C51">
        <v>2006</v>
      </c>
      <c r="J51" s="2">
        <v>11.16</v>
      </c>
      <c r="N51" s="35">
        <v>75.5</v>
      </c>
      <c r="O51" s="35">
        <v>71.5</v>
      </c>
      <c r="P51" s="35">
        <v>175</v>
      </c>
    </row>
    <row r="52" spans="1:16" x14ac:dyDescent="0.25">
      <c r="A52" t="s">
        <v>28</v>
      </c>
      <c r="B52" t="s">
        <v>29</v>
      </c>
      <c r="C52">
        <v>2007</v>
      </c>
      <c r="F52" s="101">
        <v>8.7100000000000009</v>
      </c>
      <c r="G52" s="101">
        <v>1.83</v>
      </c>
      <c r="N52" s="35">
        <v>29</v>
      </c>
      <c r="O52" s="35">
        <v>38.5</v>
      </c>
      <c r="P52" s="35">
        <v>100</v>
      </c>
    </row>
    <row r="53" spans="1:16" x14ac:dyDescent="0.25">
      <c r="A53" t="s">
        <v>32</v>
      </c>
      <c r="B53" t="s">
        <v>33</v>
      </c>
      <c r="C53">
        <v>2007</v>
      </c>
      <c r="J53" s="2">
        <v>1.53</v>
      </c>
      <c r="L53" s="2">
        <v>729.2</v>
      </c>
      <c r="N53" s="35">
        <v>89</v>
      </c>
      <c r="O53" s="35">
        <v>92.5</v>
      </c>
      <c r="P53" s="35">
        <v>250</v>
      </c>
    </row>
    <row r="54" spans="1:16" x14ac:dyDescent="0.25">
      <c r="A54" t="s">
        <v>34</v>
      </c>
      <c r="B54" t="s">
        <v>35</v>
      </c>
      <c r="C54">
        <v>2005</v>
      </c>
      <c r="J54" s="2">
        <v>1.5</v>
      </c>
      <c r="L54" s="2">
        <v>68096</v>
      </c>
      <c r="N54" s="35">
        <v>117.5</v>
      </c>
      <c r="O54" s="35">
        <v>93.5</v>
      </c>
      <c r="P54" s="35">
        <v>250</v>
      </c>
    </row>
    <row r="55" spans="1:16" x14ac:dyDescent="0.25">
      <c r="A55" t="s">
        <v>34</v>
      </c>
      <c r="B55" t="s">
        <v>35</v>
      </c>
      <c r="C55">
        <v>2006</v>
      </c>
      <c r="J55" s="2">
        <v>1.36</v>
      </c>
      <c r="L55" s="2">
        <v>66196</v>
      </c>
      <c r="N55" s="35">
        <v>117.5</v>
      </c>
      <c r="O55" s="35">
        <v>93.5</v>
      </c>
      <c r="P55" s="35">
        <v>250</v>
      </c>
    </row>
    <row r="56" spans="1:16" x14ac:dyDescent="0.25">
      <c r="A56" t="s">
        <v>34</v>
      </c>
      <c r="B56" t="s">
        <v>35</v>
      </c>
      <c r="C56">
        <v>2007</v>
      </c>
      <c r="J56" s="2">
        <v>1.22</v>
      </c>
      <c r="L56" s="2">
        <v>62607</v>
      </c>
      <c r="N56" s="35">
        <v>117.5</v>
      </c>
      <c r="O56" s="35">
        <v>93.5</v>
      </c>
      <c r="P56" s="35">
        <v>250</v>
      </c>
    </row>
    <row r="57" spans="1:16" x14ac:dyDescent="0.25">
      <c r="A57" t="s">
        <v>34</v>
      </c>
      <c r="B57" t="s">
        <v>35</v>
      </c>
      <c r="C57">
        <v>2008</v>
      </c>
      <c r="J57" s="2">
        <v>1.34</v>
      </c>
      <c r="L57" s="2">
        <v>55144</v>
      </c>
      <c r="N57" s="35">
        <v>117.5</v>
      </c>
      <c r="O57" s="35">
        <v>93.5</v>
      </c>
      <c r="P57" s="35">
        <v>250</v>
      </c>
    </row>
    <row r="58" spans="1:16" x14ac:dyDescent="0.25">
      <c r="A58" t="s">
        <v>34</v>
      </c>
      <c r="B58" t="s">
        <v>35</v>
      </c>
      <c r="C58">
        <v>2009</v>
      </c>
      <c r="J58" s="2">
        <v>1.64</v>
      </c>
      <c r="L58" s="2">
        <v>52473</v>
      </c>
      <c r="N58" s="35">
        <v>117.5</v>
      </c>
      <c r="O58" s="35">
        <v>93.5</v>
      </c>
      <c r="P58" s="35">
        <v>250</v>
      </c>
    </row>
    <row r="59" spans="1:16" x14ac:dyDescent="0.25">
      <c r="A59" t="s">
        <v>34</v>
      </c>
      <c r="B59" t="s">
        <v>35</v>
      </c>
      <c r="C59">
        <v>2010</v>
      </c>
      <c r="J59" s="2">
        <v>1.56</v>
      </c>
      <c r="L59" s="2">
        <v>57809</v>
      </c>
      <c r="N59" s="35">
        <v>117.5</v>
      </c>
      <c r="O59" s="35">
        <v>93.5</v>
      </c>
      <c r="P59" s="35">
        <v>250</v>
      </c>
    </row>
    <row r="60" spans="1:16" x14ac:dyDescent="0.25">
      <c r="A60" t="s">
        <v>34</v>
      </c>
      <c r="B60" t="s">
        <v>35</v>
      </c>
      <c r="C60">
        <v>2011</v>
      </c>
      <c r="J60" s="2">
        <v>1.54</v>
      </c>
      <c r="L60" s="2">
        <v>56811</v>
      </c>
      <c r="N60" s="35">
        <v>117.5</v>
      </c>
      <c r="O60" s="35">
        <v>93.5</v>
      </c>
      <c r="P60" s="35">
        <v>250</v>
      </c>
    </row>
    <row r="61" spans="1:16" x14ac:dyDescent="0.25">
      <c r="A61" t="s">
        <v>34</v>
      </c>
      <c r="B61" t="s">
        <v>35</v>
      </c>
      <c r="C61">
        <v>2012</v>
      </c>
      <c r="J61" s="2">
        <v>1.55</v>
      </c>
      <c r="L61" s="2">
        <v>49659</v>
      </c>
      <c r="N61" s="35">
        <v>117.5</v>
      </c>
      <c r="O61" s="35">
        <v>93.5</v>
      </c>
      <c r="P61" s="35">
        <v>250</v>
      </c>
    </row>
    <row r="62" spans="1:16" x14ac:dyDescent="0.25">
      <c r="A62" t="s">
        <v>34</v>
      </c>
      <c r="B62" t="s">
        <v>35</v>
      </c>
      <c r="C62">
        <v>2013</v>
      </c>
      <c r="J62" s="2">
        <v>1.46</v>
      </c>
      <c r="L62" s="2">
        <v>48919</v>
      </c>
      <c r="N62" s="35">
        <v>117.5</v>
      </c>
      <c r="O62" s="35">
        <v>93.5</v>
      </c>
      <c r="P62" s="35">
        <v>250</v>
      </c>
    </row>
    <row r="63" spans="1:16" x14ac:dyDescent="0.25">
      <c r="A63" t="s">
        <v>34</v>
      </c>
      <c r="B63" t="s">
        <v>35</v>
      </c>
      <c r="C63" s="52">
        <v>2014</v>
      </c>
      <c r="F63" s="101">
        <v>2.2200000000000002</v>
      </c>
      <c r="G63" s="101">
        <v>0.41770000000000002</v>
      </c>
      <c r="N63" s="35">
        <v>83</v>
      </c>
      <c r="O63" s="35">
        <v>83</v>
      </c>
      <c r="P63" s="54">
        <v>175</v>
      </c>
    </row>
    <row r="64" spans="1:16" x14ac:dyDescent="0.25">
      <c r="A64" t="s">
        <v>257</v>
      </c>
      <c r="B64" t="s">
        <v>267</v>
      </c>
      <c r="C64">
        <v>2005</v>
      </c>
      <c r="F64" s="101">
        <v>1.48</v>
      </c>
      <c r="G64" s="101">
        <v>1.9</v>
      </c>
      <c r="O64" s="35">
        <v>145</v>
      </c>
      <c r="P64" s="35">
        <v>250</v>
      </c>
    </row>
    <row r="65" spans="1:16" x14ac:dyDescent="0.25">
      <c r="A65" t="s">
        <v>257</v>
      </c>
      <c r="B65" t="s">
        <v>267</v>
      </c>
      <c r="C65">
        <v>2008</v>
      </c>
      <c r="F65" s="101">
        <v>1.95</v>
      </c>
      <c r="G65" s="101">
        <v>2.19</v>
      </c>
      <c r="O65" s="35">
        <v>145</v>
      </c>
      <c r="P65" s="35">
        <v>250</v>
      </c>
    </row>
    <row r="66" spans="1:16" x14ac:dyDescent="0.25">
      <c r="A66" t="s">
        <v>257</v>
      </c>
      <c r="B66" t="s">
        <v>267</v>
      </c>
      <c r="C66">
        <v>2009</v>
      </c>
      <c r="F66" s="101">
        <v>1.93</v>
      </c>
      <c r="G66" s="101">
        <v>2.4700000000000002</v>
      </c>
      <c r="O66" s="35">
        <v>145</v>
      </c>
      <c r="P66" s="35">
        <v>250</v>
      </c>
    </row>
    <row r="67" spans="1:16" x14ac:dyDescent="0.25">
      <c r="A67" t="s">
        <v>257</v>
      </c>
      <c r="B67" t="s">
        <v>267</v>
      </c>
      <c r="C67">
        <v>2014</v>
      </c>
      <c r="F67" s="101">
        <v>3.02</v>
      </c>
      <c r="G67" s="101">
        <v>3.78</v>
      </c>
      <c r="O67" s="35">
        <v>145</v>
      </c>
      <c r="P67" s="35">
        <v>250</v>
      </c>
    </row>
    <row r="68" spans="1:16" x14ac:dyDescent="0.25">
      <c r="A68" s="38" t="s">
        <v>36</v>
      </c>
      <c r="B68" s="38" t="s">
        <v>37</v>
      </c>
      <c r="C68">
        <v>2005</v>
      </c>
      <c r="F68" s="101">
        <v>1.25</v>
      </c>
      <c r="G68" s="101">
        <v>1.129</v>
      </c>
      <c r="N68" s="35">
        <v>86.5</v>
      </c>
      <c r="O68" s="35">
        <v>104.5</v>
      </c>
      <c r="P68" s="35">
        <v>250</v>
      </c>
    </row>
    <row r="69" spans="1:16" x14ac:dyDescent="0.25">
      <c r="A69" s="38" t="s">
        <v>36</v>
      </c>
      <c r="B69" s="38" t="s">
        <v>37</v>
      </c>
      <c r="C69">
        <v>2006</v>
      </c>
      <c r="F69" s="101">
        <v>1.6</v>
      </c>
      <c r="G69" s="101">
        <v>1.119</v>
      </c>
      <c r="H69" s="101">
        <v>0.96</v>
      </c>
      <c r="I69" s="101">
        <v>0.70499999999999996</v>
      </c>
      <c r="N69" s="35">
        <v>86.5</v>
      </c>
      <c r="O69" s="35">
        <v>104.5</v>
      </c>
      <c r="P69" s="35">
        <v>250</v>
      </c>
    </row>
    <row r="70" spans="1:16" x14ac:dyDescent="0.25">
      <c r="A70" s="38" t="s">
        <v>36</v>
      </c>
      <c r="B70" s="38" t="s">
        <v>37</v>
      </c>
      <c r="C70">
        <v>2008</v>
      </c>
      <c r="F70" s="101">
        <v>1.73</v>
      </c>
      <c r="G70" s="101">
        <v>1.21</v>
      </c>
      <c r="N70" s="35">
        <v>86.5</v>
      </c>
      <c r="O70" s="35">
        <v>104.5</v>
      </c>
      <c r="P70" s="35">
        <v>250</v>
      </c>
    </row>
    <row r="71" spans="1:16" x14ac:dyDescent="0.25">
      <c r="A71" s="38" t="s">
        <v>36</v>
      </c>
      <c r="B71" s="38" t="s">
        <v>37</v>
      </c>
      <c r="C71">
        <v>2009</v>
      </c>
      <c r="H71" s="101">
        <v>0.46</v>
      </c>
      <c r="I71" s="101">
        <v>0.8</v>
      </c>
      <c r="N71" s="35">
        <v>86.5</v>
      </c>
      <c r="O71" s="35">
        <v>104.5</v>
      </c>
      <c r="P71" s="35">
        <v>250</v>
      </c>
    </row>
    <row r="72" spans="1:16" x14ac:dyDescent="0.25">
      <c r="A72" s="38" t="s">
        <v>38</v>
      </c>
      <c r="B72" s="38" t="s">
        <v>39</v>
      </c>
      <c r="C72">
        <v>2006</v>
      </c>
      <c r="J72" s="2">
        <v>14.11</v>
      </c>
      <c r="L72" s="2">
        <v>3877</v>
      </c>
      <c r="N72" s="35">
        <v>107</v>
      </c>
      <c r="O72" s="35">
        <v>108.5</v>
      </c>
      <c r="P72" s="35">
        <v>250</v>
      </c>
    </row>
    <row r="73" spans="1:16" x14ac:dyDescent="0.25">
      <c r="A73" s="38" t="s">
        <v>38</v>
      </c>
      <c r="B73" s="38" t="s">
        <v>39</v>
      </c>
      <c r="C73">
        <v>2010</v>
      </c>
      <c r="F73" s="101">
        <v>3.35</v>
      </c>
      <c r="G73" s="94">
        <v>2.35</v>
      </c>
      <c r="N73" s="54">
        <v>144.5</v>
      </c>
      <c r="O73" s="35">
        <v>166.5</v>
      </c>
      <c r="P73" s="35">
        <v>300</v>
      </c>
    </row>
    <row r="74" spans="1:16" x14ac:dyDescent="0.25">
      <c r="A74" s="38" t="s">
        <v>38</v>
      </c>
      <c r="B74" s="38" t="s">
        <v>39</v>
      </c>
      <c r="C74">
        <v>2011</v>
      </c>
      <c r="F74" s="101">
        <v>0.66</v>
      </c>
      <c r="G74" s="94">
        <v>2.16</v>
      </c>
      <c r="N74" s="54">
        <v>144.5</v>
      </c>
      <c r="O74" s="35">
        <v>166.5</v>
      </c>
      <c r="P74" s="35">
        <v>300</v>
      </c>
    </row>
    <row r="75" spans="1:16" x14ac:dyDescent="0.25">
      <c r="A75" s="38" t="s">
        <v>38</v>
      </c>
      <c r="B75" s="38" t="s">
        <v>39</v>
      </c>
      <c r="C75">
        <v>2012</v>
      </c>
      <c r="F75" s="101">
        <v>1.25</v>
      </c>
      <c r="G75" s="94">
        <v>2.31</v>
      </c>
      <c r="N75" s="54">
        <v>144.5</v>
      </c>
      <c r="O75" s="35">
        <v>166.5</v>
      </c>
      <c r="P75" s="35">
        <v>300</v>
      </c>
    </row>
    <row r="76" spans="1:16" x14ac:dyDescent="0.25">
      <c r="A76" s="55" t="s">
        <v>38</v>
      </c>
      <c r="B76" s="55" t="s">
        <v>39</v>
      </c>
      <c r="C76" s="52">
        <v>2013</v>
      </c>
      <c r="D76" s="87"/>
      <c r="E76" s="87"/>
      <c r="F76" s="94">
        <v>3.39</v>
      </c>
      <c r="G76" s="94">
        <v>2.5</v>
      </c>
      <c r="H76" s="94"/>
      <c r="I76" s="94"/>
      <c r="J76" s="53"/>
      <c r="K76" s="53"/>
      <c r="L76" s="53"/>
      <c r="M76" s="53"/>
      <c r="N76" s="54">
        <v>144.5</v>
      </c>
      <c r="O76" s="54">
        <v>166.5</v>
      </c>
      <c r="P76" s="54">
        <v>300</v>
      </c>
    </row>
    <row r="77" spans="1:16" x14ac:dyDescent="0.25">
      <c r="A77" s="55" t="s">
        <v>38</v>
      </c>
      <c r="B77" s="55" t="s">
        <v>39</v>
      </c>
      <c r="C77" s="52">
        <v>2014</v>
      </c>
      <c r="D77" s="87"/>
      <c r="E77" s="87"/>
      <c r="F77" s="94">
        <v>1.19</v>
      </c>
      <c r="G77" s="94">
        <v>2.5099999999999998</v>
      </c>
      <c r="H77" s="94"/>
      <c r="I77" s="94"/>
      <c r="J77" s="53"/>
      <c r="K77" s="53"/>
      <c r="L77" s="53"/>
      <c r="M77" s="53"/>
      <c r="N77" s="54">
        <v>144.5</v>
      </c>
      <c r="O77" s="54">
        <v>166.5</v>
      </c>
      <c r="P77" s="54">
        <v>300</v>
      </c>
    </row>
    <row r="78" spans="1:16" x14ac:dyDescent="0.25">
      <c r="A78" t="s">
        <v>93</v>
      </c>
      <c r="B78" t="s">
        <v>143</v>
      </c>
      <c r="C78">
        <v>2004</v>
      </c>
      <c r="E78" s="86">
        <v>16.625</v>
      </c>
      <c r="N78" s="35">
        <v>81</v>
      </c>
      <c r="O78" s="35">
        <v>90.5</v>
      </c>
      <c r="P78" s="35">
        <v>175</v>
      </c>
    </row>
    <row r="79" spans="1:16" x14ac:dyDescent="0.25">
      <c r="A79" t="s">
        <v>93</v>
      </c>
      <c r="B79" t="s">
        <v>143</v>
      </c>
      <c r="C79">
        <v>2005</v>
      </c>
      <c r="E79" s="86">
        <v>18.056000000000001</v>
      </c>
      <c r="F79" s="101">
        <v>4.99</v>
      </c>
      <c r="G79" s="101">
        <v>1.22</v>
      </c>
      <c r="H79" s="101">
        <v>3.06</v>
      </c>
      <c r="I79" s="101">
        <v>0.70899999999999996</v>
      </c>
      <c r="J79" s="2">
        <v>17.13</v>
      </c>
      <c r="N79" s="35">
        <v>81</v>
      </c>
      <c r="O79" s="35">
        <v>90.5</v>
      </c>
      <c r="P79" s="35">
        <v>175</v>
      </c>
    </row>
    <row r="80" spans="1:16" x14ac:dyDescent="0.25">
      <c r="A80" t="s">
        <v>93</v>
      </c>
      <c r="B80" t="s">
        <v>143</v>
      </c>
      <c r="C80">
        <v>2006</v>
      </c>
      <c r="E80" s="86">
        <v>22.499000000000002</v>
      </c>
      <c r="F80" s="101">
        <v>5.71</v>
      </c>
      <c r="G80" s="101">
        <v>1.51</v>
      </c>
      <c r="H80" s="101">
        <v>3.32</v>
      </c>
      <c r="I80" s="101">
        <v>0.83499999999999996</v>
      </c>
      <c r="J80" s="2">
        <v>18.89</v>
      </c>
      <c r="N80" s="35">
        <v>81</v>
      </c>
      <c r="O80" s="35">
        <v>90.5</v>
      </c>
      <c r="P80" s="35">
        <v>175</v>
      </c>
    </row>
    <row r="81" spans="1:16" x14ac:dyDescent="0.25">
      <c r="A81" t="s">
        <v>93</v>
      </c>
      <c r="B81" t="s">
        <v>143</v>
      </c>
      <c r="C81">
        <v>2007</v>
      </c>
      <c r="E81" s="86">
        <v>23.975999999999999</v>
      </c>
      <c r="F81" s="101">
        <v>4.62</v>
      </c>
      <c r="G81" s="101">
        <v>1.48</v>
      </c>
      <c r="H81" s="101">
        <v>3.05</v>
      </c>
      <c r="I81" s="101">
        <v>0.94199999999999995</v>
      </c>
      <c r="J81" s="2">
        <v>8.8000000000000007</v>
      </c>
      <c r="N81" s="35">
        <v>81</v>
      </c>
      <c r="O81" s="35">
        <v>90.5</v>
      </c>
      <c r="P81" s="35">
        <v>175</v>
      </c>
    </row>
    <row r="82" spans="1:16" x14ac:dyDescent="0.25">
      <c r="A82" t="s">
        <v>93</v>
      </c>
      <c r="B82" t="s">
        <v>143</v>
      </c>
      <c r="C82">
        <v>2008</v>
      </c>
      <c r="E82" s="86">
        <v>9.3239999999999998</v>
      </c>
      <c r="F82" s="101">
        <v>2.36</v>
      </c>
      <c r="G82" s="101">
        <v>1.48</v>
      </c>
      <c r="H82" s="101">
        <v>1.68</v>
      </c>
      <c r="I82" s="101">
        <v>1.04</v>
      </c>
      <c r="J82" s="2">
        <v>1.37</v>
      </c>
      <c r="N82" s="35">
        <v>81</v>
      </c>
      <c r="O82" s="35">
        <v>90.5</v>
      </c>
      <c r="P82" s="35">
        <v>175</v>
      </c>
    </row>
    <row r="83" spans="1:16" x14ac:dyDescent="0.25">
      <c r="A83" s="52" t="s">
        <v>274</v>
      </c>
      <c r="B83" s="52" t="s">
        <v>284</v>
      </c>
      <c r="C83">
        <v>2005</v>
      </c>
      <c r="J83" s="2">
        <v>10.23</v>
      </c>
      <c r="L83" s="2">
        <v>814.3</v>
      </c>
      <c r="O83" s="35">
        <v>152.5</v>
      </c>
      <c r="P83" s="35">
        <v>250</v>
      </c>
    </row>
    <row r="84" spans="1:16" x14ac:dyDescent="0.25">
      <c r="A84" s="52" t="s">
        <v>274</v>
      </c>
      <c r="B84" s="52" t="s">
        <v>284</v>
      </c>
      <c r="C84">
        <v>2006</v>
      </c>
      <c r="J84" s="2">
        <v>12.01</v>
      </c>
      <c r="L84" s="2">
        <v>825.7</v>
      </c>
      <c r="O84" s="35">
        <v>152.5</v>
      </c>
      <c r="P84" s="35">
        <v>250</v>
      </c>
    </row>
    <row r="85" spans="1:16" x14ac:dyDescent="0.25">
      <c r="A85" s="38" t="s">
        <v>40</v>
      </c>
      <c r="B85" s="38" t="s">
        <v>41</v>
      </c>
      <c r="C85">
        <v>2008</v>
      </c>
      <c r="F85" s="101">
        <v>1.25</v>
      </c>
      <c r="G85" s="101">
        <v>1.51</v>
      </c>
      <c r="N85" s="35">
        <v>83</v>
      </c>
      <c r="O85" s="35">
        <v>84.5</v>
      </c>
      <c r="P85" s="35">
        <v>175</v>
      </c>
    </row>
    <row r="86" spans="1:16" x14ac:dyDescent="0.25">
      <c r="A86" t="s">
        <v>40</v>
      </c>
      <c r="B86" t="s">
        <v>41</v>
      </c>
      <c r="C86">
        <v>2010</v>
      </c>
      <c r="F86" s="101">
        <v>2.5299999999999998</v>
      </c>
      <c r="G86" s="101">
        <v>1.61</v>
      </c>
      <c r="N86" s="35">
        <v>83</v>
      </c>
      <c r="O86" s="35">
        <v>84.5</v>
      </c>
      <c r="P86" s="35">
        <v>175</v>
      </c>
    </row>
    <row r="87" spans="1:16" x14ac:dyDescent="0.25">
      <c r="A87" s="52" t="s">
        <v>272</v>
      </c>
      <c r="B87" s="52" t="s">
        <v>282</v>
      </c>
      <c r="C87">
        <v>2008</v>
      </c>
      <c r="F87" s="101">
        <v>2.2000000000000002</v>
      </c>
      <c r="G87" s="101">
        <v>2.5099999999999998</v>
      </c>
      <c r="O87" s="35">
        <v>122.5</v>
      </c>
      <c r="P87" s="35">
        <v>250</v>
      </c>
    </row>
    <row r="88" spans="1:16" x14ac:dyDescent="0.25">
      <c r="A88" s="52" t="s">
        <v>272</v>
      </c>
      <c r="B88" s="52" t="s">
        <v>282</v>
      </c>
      <c r="C88">
        <v>2013</v>
      </c>
      <c r="F88" s="101">
        <v>5.18</v>
      </c>
      <c r="G88" s="101">
        <v>3.1070000000000002</v>
      </c>
      <c r="O88" s="35">
        <v>122.5</v>
      </c>
      <c r="P88" s="35">
        <v>250</v>
      </c>
    </row>
    <row r="89" spans="1:16" x14ac:dyDescent="0.25">
      <c r="A89" s="38" t="s">
        <v>46</v>
      </c>
      <c r="B89" s="38" t="s">
        <v>47</v>
      </c>
      <c r="C89">
        <v>2014</v>
      </c>
      <c r="F89" s="101">
        <v>11.9</v>
      </c>
      <c r="G89" s="101">
        <v>15.59</v>
      </c>
      <c r="N89" s="35">
        <v>87.5</v>
      </c>
      <c r="O89" s="35">
        <v>97.5</v>
      </c>
      <c r="P89" s="35">
        <v>175</v>
      </c>
    </row>
    <row r="90" spans="1:16" x14ac:dyDescent="0.25">
      <c r="A90" s="55" t="s">
        <v>48</v>
      </c>
      <c r="B90" s="55" t="s">
        <v>49</v>
      </c>
      <c r="C90" s="52">
        <v>2011</v>
      </c>
      <c r="D90" s="87"/>
      <c r="E90" s="87"/>
      <c r="F90" s="94">
        <v>3.49</v>
      </c>
      <c r="G90" s="94">
        <v>4.46</v>
      </c>
      <c r="H90" s="94"/>
      <c r="I90" s="94"/>
      <c r="J90" s="53"/>
      <c r="K90" s="53"/>
      <c r="L90" s="53"/>
      <c r="M90" s="53"/>
      <c r="N90" s="54">
        <v>101.5</v>
      </c>
      <c r="O90" s="54">
        <v>101.5</v>
      </c>
      <c r="P90" s="54">
        <v>175</v>
      </c>
    </row>
    <row r="91" spans="1:16" x14ac:dyDescent="0.25">
      <c r="A91" s="55" t="s">
        <v>48</v>
      </c>
      <c r="B91" s="55" t="s">
        <v>49</v>
      </c>
      <c r="C91" s="52">
        <v>2012</v>
      </c>
      <c r="D91" s="87"/>
      <c r="E91" s="87"/>
      <c r="F91" s="94">
        <v>3.86</v>
      </c>
      <c r="G91" s="94">
        <v>4.4400000000000004</v>
      </c>
      <c r="H91" s="94"/>
      <c r="I91" s="94"/>
      <c r="J91" s="53"/>
      <c r="K91" s="53"/>
      <c r="L91" s="53"/>
      <c r="M91" s="53"/>
      <c r="N91" s="54">
        <v>101.5</v>
      </c>
      <c r="O91" s="54">
        <v>101.5</v>
      </c>
      <c r="P91" s="54">
        <v>175</v>
      </c>
    </row>
    <row r="92" spans="1:16" x14ac:dyDescent="0.25">
      <c r="A92" s="55" t="s">
        <v>48</v>
      </c>
      <c r="B92" s="55" t="s">
        <v>49</v>
      </c>
      <c r="C92" s="52">
        <v>2013</v>
      </c>
      <c r="D92" s="87"/>
      <c r="E92" s="87"/>
      <c r="F92" s="94">
        <v>4.8099999999999996</v>
      </c>
      <c r="G92" s="94">
        <v>5.68</v>
      </c>
      <c r="H92" s="94"/>
      <c r="I92" s="94"/>
      <c r="J92" s="53"/>
      <c r="K92" s="53"/>
      <c r="L92" s="53"/>
      <c r="M92" s="53"/>
      <c r="N92" s="54">
        <v>101.5</v>
      </c>
      <c r="O92" s="54">
        <v>101.5</v>
      </c>
      <c r="P92" s="54">
        <v>175</v>
      </c>
    </row>
    <row r="93" spans="1:16" x14ac:dyDescent="0.25">
      <c r="A93" t="s">
        <v>259</v>
      </c>
      <c r="B93" t="s">
        <v>268</v>
      </c>
      <c r="C93">
        <v>2011</v>
      </c>
      <c r="F93" s="101">
        <v>3.38</v>
      </c>
      <c r="G93" s="101">
        <v>3.64</v>
      </c>
      <c r="O93" s="35">
        <v>126.5</v>
      </c>
      <c r="P93" s="35">
        <v>250</v>
      </c>
    </row>
    <row r="94" spans="1:16" x14ac:dyDescent="0.25">
      <c r="A94" t="s">
        <v>259</v>
      </c>
      <c r="B94" t="s">
        <v>268</v>
      </c>
      <c r="C94">
        <v>2012</v>
      </c>
      <c r="F94" s="101">
        <v>2.67</v>
      </c>
      <c r="G94" s="101">
        <v>3.62</v>
      </c>
      <c r="O94" s="35">
        <v>126.5</v>
      </c>
      <c r="P94" s="35">
        <v>250</v>
      </c>
    </row>
    <row r="95" spans="1:16" x14ac:dyDescent="0.25">
      <c r="A95" t="s">
        <v>259</v>
      </c>
      <c r="B95" t="s">
        <v>268</v>
      </c>
      <c r="C95">
        <v>2013</v>
      </c>
      <c r="F95" s="101">
        <v>4.9400000000000004</v>
      </c>
      <c r="G95" s="101">
        <v>3.8</v>
      </c>
      <c r="O95" s="35">
        <v>126.5</v>
      </c>
      <c r="P95" s="35">
        <v>250</v>
      </c>
    </row>
    <row r="96" spans="1:16" x14ac:dyDescent="0.25">
      <c r="A96" t="s">
        <v>259</v>
      </c>
      <c r="B96" t="s">
        <v>268</v>
      </c>
      <c r="C96">
        <v>2014</v>
      </c>
      <c r="F96" s="101">
        <v>1.75</v>
      </c>
      <c r="G96" s="101">
        <v>3.82</v>
      </c>
      <c r="O96" s="35">
        <v>126.5</v>
      </c>
      <c r="P96" s="35">
        <v>250</v>
      </c>
    </row>
    <row r="97" spans="1:16" x14ac:dyDescent="0.25">
      <c r="A97" s="38" t="s">
        <v>99</v>
      </c>
      <c r="B97" s="38" t="s">
        <v>170</v>
      </c>
      <c r="C97" s="52">
        <v>2014</v>
      </c>
      <c r="F97" s="101">
        <v>4.04</v>
      </c>
      <c r="G97" s="101">
        <v>5.51</v>
      </c>
      <c r="N97" s="35">
        <v>73.5</v>
      </c>
      <c r="O97" s="35">
        <v>77</v>
      </c>
      <c r="P97" s="54">
        <v>175</v>
      </c>
    </row>
    <row r="98" spans="1:16" x14ac:dyDescent="0.25">
      <c r="A98" s="52" t="s">
        <v>50</v>
      </c>
      <c r="B98" s="52" t="s">
        <v>51</v>
      </c>
      <c r="C98" s="52">
        <v>2008</v>
      </c>
      <c r="D98" s="87"/>
      <c r="E98" s="87"/>
      <c r="F98" s="94"/>
      <c r="G98" s="94">
        <v>2.38</v>
      </c>
      <c r="H98" s="94"/>
      <c r="I98" s="94">
        <v>1.07919028340081</v>
      </c>
      <c r="J98" s="53"/>
      <c r="K98" s="53">
        <v>3.7949999999999999</v>
      </c>
      <c r="L98" s="53"/>
      <c r="M98" s="53"/>
      <c r="N98" s="54">
        <v>68.5</v>
      </c>
      <c r="O98" s="54">
        <v>96.5</v>
      </c>
      <c r="P98" s="54">
        <v>175</v>
      </c>
    </row>
    <row r="99" spans="1:16" x14ac:dyDescent="0.25">
      <c r="A99" s="52" t="s">
        <v>50</v>
      </c>
      <c r="B99" s="52" t="s">
        <v>51</v>
      </c>
      <c r="C99" s="52">
        <v>2009</v>
      </c>
      <c r="D99" s="87"/>
      <c r="E99" s="87"/>
      <c r="F99" s="94"/>
      <c r="G99" s="94">
        <v>3.21</v>
      </c>
      <c r="H99" s="94"/>
      <c r="I99" s="94">
        <v>0.985079365079365</v>
      </c>
      <c r="J99" s="53"/>
      <c r="K99" s="53">
        <v>4.3775000000000004</v>
      </c>
      <c r="L99" s="53"/>
      <c r="M99" s="53"/>
      <c r="N99" s="54">
        <v>68.5</v>
      </c>
      <c r="O99" s="54">
        <v>96.5</v>
      </c>
      <c r="P99" s="54">
        <v>175</v>
      </c>
    </row>
    <row r="100" spans="1:16" x14ac:dyDescent="0.25">
      <c r="A100" s="52" t="s">
        <v>50</v>
      </c>
      <c r="B100" s="52" t="s">
        <v>51</v>
      </c>
      <c r="C100" s="52">
        <v>2010</v>
      </c>
      <c r="D100" s="87"/>
      <c r="E100" s="87"/>
      <c r="F100" s="94">
        <v>5.98</v>
      </c>
      <c r="G100" s="94">
        <v>3.2</v>
      </c>
      <c r="H100" s="94"/>
      <c r="I100" s="94">
        <v>1.0368715083798883</v>
      </c>
      <c r="J100" s="53"/>
      <c r="K100" s="53">
        <v>5.125</v>
      </c>
      <c r="L100" s="53"/>
      <c r="M100" s="53"/>
      <c r="N100" s="54">
        <v>68.5</v>
      </c>
      <c r="O100" s="54">
        <v>96.5</v>
      </c>
      <c r="P100" s="54">
        <v>175</v>
      </c>
    </row>
    <row r="101" spans="1:16" x14ac:dyDescent="0.25">
      <c r="A101" s="52" t="s">
        <v>50</v>
      </c>
      <c r="B101" s="52" t="s">
        <v>51</v>
      </c>
      <c r="C101" s="52">
        <v>2011</v>
      </c>
      <c r="D101" s="87"/>
      <c r="E101" s="87"/>
      <c r="F101" s="94"/>
      <c r="G101" s="94"/>
      <c r="H101" s="94"/>
      <c r="I101" s="94">
        <v>0.8765743073047858</v>
      </c>
      <c r="J101" s="53"/>
      <c r="K101" s="53">
        <v>4.9800000000000004</v>
      </c>
      <c r="L101" s="53"/>
      <c r="M101" s="53"/>
      <c r="N101" s="54">
        <v>68.5</v>
      </c>
      <c r="O101" s="54">
        <v>96.5</v>
      </c>
      <c r="P101" s="54">
        <v>175</v>
      </c>
    </row>
    <row r="102" spans="1:16" x14ac:dyDescent="0.25">
      <c r="A102" s="52" t="s">
        <v>50</v>
      </c>
      <c r="B102" s="52" t="s">
        <v>51</v>
      </c>
      <c r="C102" s="52">
        <v>2012</v>
      </c>
      <c r="D102" s="87"/>
      <c r="E102" s="87"/>
      <c r="F102" s="94"/>
      <c r="G102" s="94"/>
      <c r="H102" s="94">
        <v>0.5</v>
      </c>
      <c r="I102" s="94">
        <v>1.1426592797783934</v>
      </c>
      <c r="J102" s="53"/>
      <c r="K102" s="53"/>
      <c r="L102" s="53"/>
      <c r="M102" s="53"/>
      <c r="N102" s="54">
        <v>68.5</v>
      </c>
      <c r="O102" s="54">
        <v>96.5</v>
      </c>
      <c r="P102" s="54">
        <v>175</v>
      </c>
    </row>
    <row r="103" spans="1:16" x14ac:dyDescent="0.25">
      <c r="A103" s="52" t="s">
        <v>50</v>
      </c>
      <c r="B103" s="52" t="s">
        <v>51</v>
      </c>
      <c r="C103" s="52">
        <v>2013</v>
      </c>
      <c r="D103" s="87"/>
      <c r="E103" s="87"/>
      <c r="F103" s="94">
        <v>4.51</v>
      </c>
      <c r="G103" s="94">
        <v>2.79</v>
      </c>
      <c r="H103" s="94"/>
      <c r="I103" s="94"/>
      <c r="J103" s="53"/>
      <c r="K103" s="53"/>
      <c r="L103" s="53"/>
      <c r="M103" s="53"/>
      <c r="N103" s="54">
        <v>106</v>
      </c>
      <c r="O103" s="54">
        <v>104</v>
      </c>
      <c r="P103" s="54">
        <v>250</v>
      </c>
    </row>
    <row r="104" spans="1:16" x14ac:dyDescent="0.25">
      <c r="A104" s="55" t="s">
        <v>50</v>
      </c>
      <c r="B104" s="55" t="s">
        <v>51</v>
      </c>
      <c r="C104" s="52">
        <v>2014</v>
      </c>
      <c r="D104" s="87"/>
      <c r="E104" s="87"/>
      <c r="F104" s="94">
        <v>1.74</v>
      </c>
      <c r="G104" s="94">
        <v>3.4</v>
      </c>
      <c r="H104" s="94"/>
      <c r="I104" s="94"/>
      <c r="J104" s="53"/>
      <c r="K104" s="53"/>
      <c r="L104" s="53"/>
      <c r="M104" s="53"/>
      <c r="N104" s="54">
        <v>106</v>
      </c>
      <c r="O104" s="54">
        <v>104</v>
      </c>
      <c r="P104" s="54">
        <v>250</v>
      </c>
    </row>
    <row r="105" spans="1:16" x14ac:dyDescent="0.25">
      <c r="A105" t="s">
        <v>261</v>
      </c>
      <c r="B105" t="s">
        <v>269</v>
      </c>
      <c r="C105">
        <v>2006</v>
      </c>
      <c r="G105" s="101">
        <v>0.34</v>
      </c>
      <c r="O105" s="35">
        <v>154</v>
      </c>
      <c r="P105" s="35">
        <v>250</v>
      </c>
    </row>
    <row r="106" spans="1:16" x14ac:dyDescent="0.25">
      <c r="A106" t="s">
        <v>261</v>
      </c>
      <c r="B106" t="s">
        <v>269</v>
      </c>
      <c r="C106">
        <v>2008</v>
      </c>
      <c r="F106" s="101">
        <v>-0.19</v>
      </c>
      <c r="G106" s="101">
        <v>1.05</v>
      </c>
      <c r="O106" s="35">
        <v>154</v>
      </c>
      <c r="P106" s="35">
        <v>250</v>
      </c>
    </row>
    <row r="107" spans="1:16" x14ac:dyDescent="0.25">
      <c r="A107" t="s">
        <v>52</v>
      </c>
      <c r="B107" t="s">
        <v>53</v>
      </c>
      <c r="C107" s="52">
        <v>2007</v>
      </c>
      <c r="F107" s="101">
        <v>1.98</v>
      </c>
      <c r="G107" s="101">
        <v>3.3</v>
      </c>
      <c r="N107" s="35">
        <v>77.5</v>
      </c>
      <c r="O107" s="35">
        <v>85</v>
      </c>
      <c r="P107" s="54">
        <v>175</v>
      </c>
    </row>
    <row r="108" spans="1:16" x14ac:dyDescent="0.25">
      <c r="A108" s="52" t="s">
        <v>54</v>
      </c>
      <c r="B108" s="52" t="s">
        <v>55</v>
      </c>
      <c r="C108" s="52">
        <v>2005</v>
      </c>
      <c r="D108" s="87"/>
      <c r="E108" s="87"/>
      <c r="F108" s="94"/>
      <c r="G108" s="94"/>
      <c r="H108" s="94"/>
      <c r="I108" s="94"/>
      <c r="J108" s="53">
        <v>8.2100000000000009</v>
      </c>
      <c r="K108" s="53"/>
      <c r="L108" s="53">
        <v>2182</v>
      </c>
      <c r="M108" s="53"/>
      <c r="N108" s="54">
        <v>82.5</v>
      </c>
      <c r="O108" s="54">
        <v>85.5</v>
      </c>
      <c r="P108" s="54">
        <v>250</v>
      </c>
    </row>
    <row r="109" spans="1:16" x14ac:dyDescent="0.25">
      <c r="A109" s="52" t="s">
        <v>54</v>
      </c>
      <c r="B109" s="52" t="s">
        <v>55</v>
      </c>
      <c r="C109" s="52">
        <v>2006</v>
      </c>
      <c r="D109" s="87"/>
      <c r="E109" s="87"/>
      <c r="F109" s="94"/>
      <c r="G109" s="94"/>
      <c r="H109" s="94"/>
      <c r="I109" s="94"/>
      <c r="J109" s="53">
        <v>8.1</v>
      </c>
      <c r="K109" s="53"/>
      <c r="L109" s="53">
        <v>2168</v>
      </c>
      <c r="M109" s="53"/>
      <c r="N109" s="54">
        <v>82.5</v>
      </c>
      <c r="O109" s="54">
        <v>85.5</v>
      </c>
      <c r="P109" s="54">
        <v>250</v>
      </c>
    </row>
    <row r="110" spans="1:16" x14ac:dyDescent="0.25">
      <c r="A110" s="52" t="s">
        <v>54</v>
      </c>
      <c r="B110" s="52" t="s">
        <v>55</v>
      </c>
      <c r="C110" s="52">
        <v>2007</v>
      </c>
      <c r="D110" s="87"/>
      <c r="E110" s="87"/>
      <c r="F110" s="94"/>
      <c r="G110" s="94"/>
      <c r="H110" s="94"/>
      <c r="I110" s="94"/>
      <c r="J110" s="53">
        <v>8.3699999999999992</v>
      </c>
      <c r="K110" s="53"/>
      <c r="L110" s="53">
        <v>2173</v>
      </c>
      <c r="M110" s="53"/>
      <c r="N110" s="54">
        <v>82.5</v>
      </c>
      <c r="O110" s="54">
        <v>85.5</v>
      </c>
      <c r="P110" s="54">
        <v>250</v>
      </c>
    </row>
    <row r="111" spans="1:16" x14ac:dyDescent="0.25">
      <c r="A111" s="52" t="s">
        <v>54</v>
      </c>
      <c r="B111" s="52" t="s">
        <v>55</v>
      </c>
      <c r="C111" s="52">
        <v>2008</v>
      </c>
      <c r="D111" s="87"/>
      <c r="E111" s="87"/>
      <c r="F111" s="94">
        <v>3.64</v>
      </c>
      <c r="G111" s="94">
        <v>2.85</v>
      </c>
      <c r="H111" s="94"/>
      <c r="I111" s="94"/>
      <c r="J111" s="53">
        <v>8.9</v>
      </c>
      <c r="K111" s="53"/>
      <c r="L111" s="53">
        <v>2108</v>
      </c>
      <c r="M111" s="53"/>
      <c r="N111" s="54">
        <v>82.5</v>
      </c>
      <c r="O111" s="54">
        <v>104</v>
      </c>
      <c r="P111" s="54">
        <v>250</v>
      </c>
    </row>
    <row r="112" spans="1:16" x14ac:dyDescent="0.25">
      <c r="A112" s="52" t="s">
        <v>54</v>
      </c>
      <c r="B112" s="52" t="s">
        <v>55</v>
      </c>
      <c r="C112" s="52">
        <v>2009</v>
      </c>
      <c r="D112" s="87"/>
      <c r="E112" s="87"/>
      <c r="F112" s="94">
        <v>5.65</v>
      </c>
      <c r="G112" s="94">
        <v>1.31</v>
      </c>
      <c r="H112" s="94"/>
      <c r="I112" s="94"/>
      <c r="J112" s="53"/>
      <c r="K112" s="53"/>
      <c r="L112" s="53"/>
      <c r="M112" s="53"/>
      <c r="N112" s="54">
        <v>82.5</v>
      </c>
      <c r="O112" s="54">
        <v>104</v>
      </c>
      <c r="P112" s="54">
        <v>250</v>
      </c>
    </row>
    <row r="113" spans="1:16" x14ac:dyDescent="0.25">
      <c r="A113" s="52" t="s">
        <v>54</v>
      </c>
      <c r="B113" s="52" t="s">
        <v>55</v>
      </c>
      <c r="C113" s="52">
        <v>2010</v>
      </c>
      <c r="D113" s="87"/>
      <c r="E113" s="87"/>
      <c r="F113" s="94">
        <v>0.28000000000000003</v>
      </c>
      <c r="G113" s="94">
        <v>3.42</v>
      </c>
      <c r="H113" s="94"/>
      <c r="I113" s="94"/>
      <c r="J113" s="53"/>
      <c r="K113" s="53"/>
      <c r="L113" s="53"/>
      <c r="M113" s="53"/>
      <c r="N113" s="54">
        <v>25.5</v>
      </c>
      <c r="O113" s="54">
        <v>24</v>
      </c>
      <c r="P113" s="54">
        <v>100</v>
      </c>
    </row>
    <row r="114" spans="1:16" x14ac:dyDescent="0.25">
      <c r="A114" s="52" t="s">
        <v>54</v>
      </c>
      <c r="B114" s="52" t="s">
        <v>55</v>
      </c>
      <c r="C114" s="52">
        <v>2014</v>
      </c>
      <c r="D114" s="87"/>
      <c r="E114" s="87"/>
      <c r="F114" s="94">
        <v>4.07</v>
      </c>
      <c r="G114" s="94">
        <v>1.67</v>
      </c>
      <c r="H114" s="94"/>
      <c r="I114" s="94"/>
      <c r="J114" s="53"/>
      <c r="K114" s="53"/>
      <c r="L114" s="53"/>
      <c r="M114" s="53"/>
      <c r="N114" s="54">
        <v>82.5</v>
      </c>
      <c r="O114" s="54">
        <v>104</v>
      </c>
      <c r="P114" s="54">
        <v>250</v>
      </c>
    </row>
    <row r="115" spans="1:16" x14ac:dyDescent="0.25">
      <c r="A115" s="55" t="s">
        <v>56</v>
      </c>
      <c r="B115" s="55" t="s">
        <v>57</v>
      </c>
      <c r="C115" s="52">
        <v>2012</v>
      </c>
      <c r="D115" s="87"/>
      <c r="E115" s="87"/>
      <c r="F115" s="94">
        <v>2</v>
      </c>
      <c r="G115" s="94">
        <v>2.73</v>
      </c>
      <c r="H115" s="94"/>
      <c r="I115" s="94"/>
      <c r="J115" s="53"/>
      <c r="K115" s="53"/>
      <c r="L115" s="53"/>
      <c r="M115" s="53"/>
      <c r="N115" s="54">
        <v>99</v>
      </c>
      <c r="O115" s="54">
        <v>99</v>
      </c>
      <c r="P115" s="54">
        <v>175</v>
      </c>
    </row>
    <row r="116" spans="1:16" x14ac:dyDescent="0.25">
      <c r="A116" s="55" t="s">
        <v>56</v>
      </c>
      <c r="B116" s="55" t="s">
        <v>57</v>
      </c>
      <c r="C116" s="52">
        <v>2013</v>
      </c>
      <c r="D116" s="87"/>
      <c r="E116" s="87"/>
      <c r="F116" s="94">
        <v>2.58</v>
      </c>
      <c r="G116" s="94">
        <v>2.67</v>
      </c>
      <c r="H116" s="94"/>
      <c r="I116" s="94"/>
      <c r="J116" s="53"/>
      <c r="K116" s="53"/>
      <c r="L116" s="53"/>
      <c r="M116" s="53"/>
      <c r="N116" s="54">
        <v>99</v>
      </c>
      <c r="O116" s="54">
        <v>99</v>
      </c>
      <c r="P116" s="54">
        <v>175</v>
      </c>
    </row>
    <row r="117" spans="1:16" x14ac:dyDescent="0.25">
      <c r="A117" s="55" t="s">
        <v>58</v>
      </c>
      <c r="B117" s="55" t="s">
        <v>59</v>
      </c>
      <c r="C117" s="52">
        <v>2008</v>
      </c>
      <c r="D117" s="87"/>
      <c r="E117" s="87">
        <v>1.242</v>
      </c>
      <c r="F117" s="94">
        <v>1.92</v>
      </c>
      <c r="G117" s="94">
        <v>0.09</v>
      </c>
      <c r="H117" s="94">
        <v>1.1200000000000001</v>
      </c>
      <c r="I117" s="94">
        <v>4.080971659919029E-2</v>
      </c>
      <c r="J117" s="53">
        <v>15.18</v>
      </c>
      <c r="K117" s="53">
        <v>11.385</v>
      </c>
      <c r="L117" s="53"/>
      <c r="M117" s="53"/>
      <c r="N117" s="54">
        <v>63.5</v>
      </c>
      <c r="O117" s="54">
        <v>93.5</v>
      </c>
      <c r="P117" s="54">
        <v>175</v>
      </c>
    </row>
    <row r="118" spans="1:16" x14ac:dyDescent="0.25">
      <c r="A118" s="55" t="s">
        <v>58</v>
      </c>
      <c r="B118" s="55" t="s">
        <v>59</v>
      </c>
      <c r="C118" s="52">
        <v>2009</v>
      </c>
      <c r="D118" s="87"/>
      <c r="E118" s="87">
        <v>7.5809999999999995</v>
      </c>
      <c r="F118" s="94">
        <v>2.0299999999999998</v>
      </c>
      <c r="G118" s="94">
        <v>0.56999999999999995</v>
      </c>
      <c r="H118" s="94">
        <v>1.1599999999999999</v>
      </c>
      <c r="I118" s="94">
        <v>0.17492063492063489</v>
      </c>
      <c r="J118" s="53">
        <v>17.510000000000002</v>
      </c>
      <c r="K118" s="53">
        <v>13.1325</v>
      </c>
      <c r="L118" s="53"/>
      <c r="M118" s="53"/>
      <c r="N118" s="54">
        <v>63.5</v>
      </c>
      <c r="O118" s="54">
        <v>93.5</v>
      </c>
      <c r="P118" s="54">
        <v>175</v>
      </c>
    </row>
    <row r="119" spans="1:16" x14ac:dyDescent="0.25">
      <c r="A119" s="55" t="s">
        <v>58</v>
      </c>
      <c r="B119" s="55" t="s">
        <v>59</v>
      </c>
      <c r="C119" s="52">
        <v>2010</v>
      </c>
      <c r="D119" s="87"/>
      <c r="E119" s="87">
        <v>4.9779999999999998</v>
      </c>
      <c r="F119" s="94">
        <v>2.39</v>
      </c>
      <c r="G119" s="94">
        <v>0.38</v>
      </c>
      <c r="H119" s="94">
        <v>1.1599999999999999</v>
      </c>
      <c r="I119" s="94">
        <v>0.12312849162011172</v>
      </c>
      <c r="J119" s="53">
        <v>20.5</v>
      </c>
      <c r="K119" s="53">
        <v>15.375</v>
      </c>
      <c r="L119" s="53"/>
      <c r="M119" s="53"/>
      <c r="N119" s="54">
        <v>63.5</v>
      </c>
      <c r="O119" s="54">
        <v>93.5</v>
      </c>
      <c r="P119" s="54">
        <v>175</v>
      </c>
    </row>
    <row r="120" spans="1:16" x14ac:dyDescent="0.25">
      <c r="A120" s="55" t="s">
        <v>58</v>
      </c>
      <c r="B120" s="55" t="s">
        <v>59</v>
      </c>
      <c r="C120" s="52">
        <v>2011</v>
      </c>
      <c r="D120" s="87"/>
      <c r="E120" s="87">
        <v>18.138999999999999</v>
      </c>
      <c r="F120" s="94">
        <v>1.99</v>
      </c>
      <c r="G120" s="94">
        <v>0.97</v>
      </c>
      <c r="H120" s="94">
        <v>1.1599999999999999</v>
      </c>
      <c r="I120" s="94">
        <v>0.28342569269521412</v>
      </c>
      <c r="J120" s="53">
        <v>19.920000000000002</v>
      </c>
      <c r="K120" s="53">
        <v>14.940000000000001</v>
      </c>
      <c r="L120" s="53"/>
      <c r="M120" s="53"/>
      <c r="N120" s="54">
        <v>63.5</v>
      </c>
      <c r="O120" s="54">
        <v>93.5</v>
      </c>
      <c r="P120" s="54">
        <v>175</v>
      </c>
    </row>
    <row r="121" spans="1:16" x14ac:dyDescent="0.25">
      <c r="A121" s="55" t="s">
        <v>58</v>
      </c>
      <c r="B121" s="55" t="s">
        <v>59</v>
      </c>
      <c r="C121" s="52">
        <v>2012</v>
      </c>
      <c r="D121" s="87"/>
      <c r="E121" s="87">
        <v>12.9</v>
      </c>
      <c r="F121" s="94">
        <v>1.69</v>
      </c>
      <c r="G121" s="94">
        <v>0.86</v>
      </c>
      <c r="H121" s="94">
        <v>1</v>
      </c>
      <c r="I121" s="94">
        <v>0.35734072022160668</v>
      </c>
      <c r="J121" s="53"/>
      <c r="K121" s="53"/>
      <c r="L121" s="53"/>
      <c r="M121" s="53"/>
      <c r="N121" s="54">
        <v>63.5</v>
      </c>
      <c r="O121" s="54">
        <v>93.5</v>
      </c>
      <c r="P121" s="54">
        <v>175</v>
      </c>
    </row>
    <row r="122" spans="1:16" x14ac:dyDescent="0.25">
      <c r="A122" s="55" t="s">
        <v>58</v>
      </c>
      <c r="B122" s="55" t="s">
        <v>59</v>
      </c>
      <c r="C122" s="52">
        <v>2013</v>
      </c>
      <c r="D122" s="87"/>
      <c r="E122" s="87"/>
      <c r="F122" s="94">
        <v>2.19</v>
      </c>
      <c r="G122" s="94">
        <v>1.29</v>
      </c>
      <c r="H122" s="94"/>
      <c r="I122" s="94"/>
      <c r="J122" s="53"/>
      <c r="K122" s="53"/>
      <c r="L122" s="53"/>
      <c r="M122" s="53"/>
      <c r="N122" s="54">
        <v>63.5</v>
      </c>
      <c r="O122" s="54">
        <v>93.5</v>
      </c>
      <c r="P122" s="54">
        <v>175</v>
      </c>
    </row>
    <row r="123" spans="1:16" x14ac:dyDescent="0.25">
      <c r="A123" s="38" t="s">
        <v>60</v>
      </c>
      <c r="B123" s="38" t="s">
        <v>61</v>
      </c>
      <c r="C123">
        <v>2009</v>
      </c>
      <c r="F123" s="101">
        <v>3.8</v>
      </c>
      <c r="G123" s="101">
        <v>4.28</v>
      </c>
      <c r="N123" s="35">
        <v>91.5</v>
      </c>
      <c r="O123" s="35">
        <v>89.5</v>
      </c>
      <c r="P123" s="35">
        <v>175</v>
      </c>
    </row>
    <row r="124" spans="1:16" x14ac:dyDescent="0.25">
      <c r="A124" s="38" t="s">
        <v>60</v>
      </c>
      <c r="B124" s="38" t="s">
        <v>61</v>
      </c>
      <c r="C124">
        <v>2010</v>
      </c>
      <c r="F124" s="101">
        <v>2.0099999999999998</v>
      </c>
      <c r="G124" s="101">
        <v>2.29</v>
      </c>
      <c r="N124" s="35">
        <v>91.5</v>
      </c>
      <c r="O124" s="35">
        <v>89.5</v>
      </c>
      <c r="P124" s="35">
        <v>175</v>
      </c>
    </row>
    <row r="125" spans="1:16" x14ac:dyDescent="0.25">
      <c r="A125" s="52" t="s">
        <v>66</v>
      </c>
      <c r="B125" s="52" t="s">
        <v>67</v>
      </c>
      <c r="C125" s="52">
        <v>2005</v>
      </c>
      <c r="D125" s="87"/>
      <c r="E125" s="87"/>
      <c r="F125" s="94"/>
      <c r="G125" s="94"/>
      <c r="H125" s="94"/>
      <c r="I125" s="94"/>
      <c r="J125" s="53">
        <v>8.92</v>
      </c>
      <c r="K125" s="53"/>
      <c r="L125" s="53">
        <v>7361</v>
      </c>
      <c r="M125" s="53"/>
      <c r="N125" s="54">
        <v>99</v>
      </c>
      <c r="O125" s="54">
        <v>104</v>
      </c>
      <c r="P125" s="54">
        <v>250</v>
      </c>
    </row>
    <row r="126" spans="1:16" x14ac:dyDescent="0.25">
      <c r="A126" s="52" t="s">
        <v>66</v>
      </c>
      <c r="B126" s="52" t="s">
        <v>67</v>
      </c>
      <c r="C126" s="52">
        <v>2006</v>
      </c>
      <c r="D126" s="87"/>
      <c r="E126" s="87"/>
      <c r="F126" s="94">
        <v>2.66</v>
      </c>
      <c r="G126" s="94">
        <v>1.52</v>
      </c>
      <c r="H126" s="94"/>
      <c r="I126" s="94"/>
      <c r="J126" s="53">
        <v>10.02</v>
      </c>
      <c r="K126" s="53"/>
      <c r="L126" s="53">
        <v>7124</v>
      </c>
      <c r="M126" s="53"/>
      <c r="N126" s="54">
        <v>99</v>
      </c>
      <c r="O126" s="54">
        <v>104</v>
      </c>
      <c r="P126" s="54">
        <v>250</v>
      </c>
    </row>
    <row r="127" spans="1:16" x14ac:dyDescent="0.25">
      <c r="A127" s="52" t="s">
        <v>66</v>
      </c>
      <c r="B127" s="52" t="s">
        <v>67</v>
      </c>
      <c r="C127" s="52">
        <v>2007</v>
      </c>
      <c r="D127" s="87"/>
      <c r="E127" s="87"/>
      <c r="F127" s="94"/>
      <c r="G127" s="94"/>
      <c r="H127" s="94"/>
      <c r="I127" s="94"/>
      <c r="J127" s="53">
        <v>9.6199999999999992</v>
      </c>
      <c r="K127" s="53"/>
      <c r="L127" s="53">
        <v>6761</v>
      </c>
      <c r="M127" s="53"/>
      <c r="N127" s="54">
        <v>99</v>
      </c>
      <c r="O127" s="54">
        <v>104</v>
      </c>
      <c r="P127" s="54">
        <v>250</v>
      </c>
    </row>
    <row r="128" spans="1:16" x14ac:dyDescent="0.25">
      <c r="A128" s="52" t="s">
        <v>66</v>
      </c>
      <c r="B128" s="52" t="s">
        <v>67</v>
      </c>
      <c r="C128" s="52">
        <v>2008</v>
      </c>
      <c r="D128" s="87"/>
      <c r="E128" s="87"/>
      <c r="F128" s="94"/>
      <c r="G128" s="94"/>
      <c r="H128" s="94"/>
      <c r="I128" s="94"/>
      <c r="J128" s="53">
        <v>8.5299999999999994</v>
      </c>
      <c r="K128" s="53"/>
      <c r="L128" s="53">
        <v>6746</v>
      </c>
      <c r="M128" s="53"/>
      <c r="N128" s="54">
        <v>99</v>
      </c>
      <c r="O128" s="54">
        <v>104</v>
      </c>
      <c r="P128" s="54">
        <v>250</v>
      </c>
    </row>
    <row r="129" spans="1:16" x14ac:dyDescent="0.25">
      <c r="A129" t="s">
        <v>66</v>
      </c>
      <c r="B129" t="s">
        <v>67</v>
      </c>
      <c r="C129">
        <v>2013</v>
      </c>
      <c r="F129" s="101">
        <v>3.19</v>
      </c>
      <c r="G129" s="101">
        <v>1.65</v>
      </c>
      <c r="N129" s="35">
        <v>26</v>
      </c>
      <c r="O129" s="35">
        <v>35.5</v>
      </c>
      <c r="P129" s="35">
        <v>100</v>
      </c>
    </row>
    <row r="130" spans="1:16" x14ac:dyDescent="0.25">
      <c r="A130" s="52" t="s">
        <v>70</v>
      </c>
      <c r="B130" s="52" t="s">
        <v>71</v>
      </c>
      <c r="C130" s="52">
        <v>2005</v>
      </c>
      <c r="D130" s="87"/>
      <c r="E130" s="87"/>
      <c r="F130" s="94">
        <v>2.66</v>
      </c>
      <c r="G130" s="94">
        <v>2.5299999999999998</v>
      </c>
      <c r="H130" s="94"/>
      <c r="I130" s="94"/>
      <c r="J130" s="53">
        <v>7.07</v>
      </c>
      <c r="K130" s="53"/>
      <c r="L130" s="53">
        <v>2473</v>
      </c>
      <c r="M130" s="53"/>
      <c r="N130" s="54">
        <v>139</v>
      </c>
      <c r="O130" s="54">
        <v>134</v>
      </c>
      <c r="P130" s="54">
        <v>250</v>
      </c>
    </row>
    <row r="131" spans="1:16" x14ac:dyDescent="0.25">
      <c r="A131" s="52" t="s">
        <v>70</v>
      </c>
      <c r="B131" s="52" t="s">
        <v>71</v>
      </c>
      <c r="C131" s="52">
        <v>2006</v>
      </c>
      <c r="D131" s="87"/>
      <c r="E131" s="87"/>
      <c r="F131" s="94">
        <v>2.64</v>
      </c>
      <c r="G131" s="94">
        <v>2.4900000000000002</v>
      </c>
      <c r="H131" s="94"/>
      <c r="I131" s="94"/>
      <c r="J131" s="53"/>
      <c r="K131" s="53"/>
      <c r="L131" s="53"/>
      <c r="M131" s="53"/>
      <c r="N131" s="54">
        <v>139</v>
      </c>
      <c r="O131" s="54">
        <v>134</v>
      </c>
      <c r="P131" s="54">
        <v>250</v>
      </c>
    </row>
    <row r="132" spans="1:16" x14ac:dyDescent="0.25">
      <c r="A132" s="52" t="s">
        <v>70</v>
      </c>
      <c r="B132" s="52" t="s">
        <v>71</v>
      </c>
      <c r="C132" s="52">
        <v>2007</v>
      </c>
      <c r="D132" s="87"/>
      <c r="E132" s="87"/>
      <c r="F132" s="94">
        <v>3.04</v>
      </c>
      <c r="G132" s="94">
        <v>2.84</v>
      </c>
      <c r="H132" s="94"/>
      <c r="I132" s="94"/>
      <c r="J132" s="53"/>
      <c r="K132" s="53"/>
      <c r="L132" s="53"/>
      <c r="M132" s="53"/>
      <c r="N132" s="54">
        <v>139</v>
      </c>
      <c r="O132" s="54">
        <v>134</v>
      </c>
      <c r="P132" s="54">
        <v>250</v>
      </c>
    </row>
    <row r="133" spans="1:16" x14ac:dyDescent="0.25">
      <c r="A133" s="52" t="s">
        <v>70</v>
      </c>
      <c r="B133" s="52" t="s">
        <v>71</v>
      </c>
      <c r="C133" s="52">
        <v>2008</v>
      </c>
      <c r="D133" s="87"/>
      <c r="E133" s="87"/>
      <c r="F133" s="94">
        <v>3.64</v>
      </c>
      <c r="G133" s="94">
        <v>3.4</v>
      </c>
      <c r="H133" s="94"/>
      <c r="I133" s="94"/>
      <c r="J133" s="53"/>
      <c r="K133" s="53"/>
      <c r="L133" s="53"/>
      <c r="M133" s="53"/>
      <c r="N133" s="54">
        <v>139</v>
      </c>
      <c r="O133" s="54">
        <v>134</v>
      </c>
      <c r="P133" s="54">
        <v>250</v>
      </c>
    </row>
    <row r="134" spans="1:16" x14ac:dyDescent="0.25">
      <c r="A134" s="52" t="s">
        <v>70</v>
      </c>
      <c r="B134" s="52" t="s">
        <v>71</v>
      </c>
      <c r="C134" s="52">
        <v>2009</v>
      </c>
      <c r="D134" s="87"/>
      <c r="E134" s="87"/>
      <c r="F134" s="94">
        <v>4.26</v>
      </c>
      <c r="G134" s="94">
        <v>3.39</v>
      </c>
      <c r="H134" s="94"/>
      <c r="I134" s="94"/>
      <c r="J134" s="53"/>
      <c r="K134" s="53"/>
      <c r="L134" s="53"/>
      <c r="M134" s="53"/>
      <c r="N134" s="54">
        <v>139</v>
      </c>
      <c r="O134" s="54">
        <v>134</v>
      </c>
      <c r="P134" s="54">
        <v>250</v>
      </c>
    </row>
    <row r="135" spans="1:16" x14ac:dyDescent="0.25">
      <c r="A135" s="52" t="s">
        <v>70</v>
      </c>
      <c r="B135" s="52" t="s">
        <v>71</v>
      </c>
      <c r="C135" s="52">
        <v>2010</v>
      </c>
      <c r="D135" s="87"/>
      <c r="E135" s="87"/>
      <c r="F135" s="94">
        <v>4.1100000000000003</v>
      </c>
      <c r="G135" s="94">
        <v>3.47</v>
      </c>
      <c r="H135" s="94"/>
      <c r="I135" s="94"/>
      <c r="J135" s="53"/>
      <c r="K135" s="53"/>
      <c r="L135" s="53"/>
      <c r="M135" s="53"/>
      <c r="N135" s="54">
        <v>139</v>
      </c>
      <c r="O135" s="54">
        <v>134</v>
      </c>
      <c r="P135" s="54">
        <v>250</v>
      </c>
    </row>
    <row r="136" spans="1:16" x14ac:dyDescent="0.25">
      <c r="A136" s="52" t="s">
        <v>70</v>
      </c>
      <c r="B136" s="52" t="s">
        <v>71</v>
      </c>
      <c r="C136" s="52">
        <v>2011</v>
      </c>
      <c r="D136" s="87"/>
      <c r="E136" s="87"/>
      <c r="F136" s="94">
        <v>3.93</v>
      </c>
      <c r="G136" s="94">
        <v>3.85</v>
      </c>
      <c r="H136" s="94"/>
      <c r="I136" s="94"/>
      <c r="J136" s="53"/>
      <c r="K136" s="53"/>
      <c r="L136" s="53"/>
      <c r="M136" s="53"/>
      <c r="N136" s="54">
        <v>139</v>
      </c>
      <c r="O136" s="54">
        <v>134</v>
      </c>
      <c r="P136" s="54">
        <v>250</v>
      </c>
    </row>
    <row r="137" spans="1:16" x14ac:dyDescent="0.25">
      <c r="A137" s="52" t="s">
        <v>70</v>
      </c>
      <c r="B137" s="52" t="s">
        <v>71</v>
      </c>
      <c r="C137" s="52">
        <v>2012</v>
      </c>
      <c r="D137" s="87"/>
      <c r="E137" s="87"/>
      <c r="F137" s="94">
        <v>3.66</v>
      </c>
      <c r="G137" s="94">
        <v>3.06</v>
      </c>
      <c r="H137" s="94"/>
      <c r="I137" s="94"/>
      <c r="J137" s="53"/>
      <c r="K137" s="53"/>
      <c r="L137" s="53"/>
      <c r="M137" s="53"/>
      <c r="N137" s="54">
        <v>139</v>
      </c>
      <c r="O137" s="54">
        <v>134</v>
      </c>
      <c r="P137" s="54">
        <v>250</v>
      </c>
    </row>
    <row r="138" spans="1:16" x14ac:dyDescent="0.25">
      <c r="A138" s="52" t="s">
        <v>70</v>
      </c>
      <c r="B138" s="52" t="s">
        <v>71</v>
      </c>
      <c r="C138" s="52">
        <v>2013</v>
      </c>
      <c r="D138" s="87"/>
      <c r="E138" s="87"/>
      <c r="F138" s="94">
        <v>3.86</v>
      </c>
      <c r="G138" s="94">
        <v>3.83</v>
      </c>
      <c r="H138" s="94"/>
      <c r="I138" s="94"/>
      <c r="J138" s="53"/>
      <c r="K138" s="53"/>
      <c r="L138" s="53"/>
      <c r="M138" s="53"/>
      <c r="N138" s="54">
        <v>139</v>
      </c>
      <c r="O138" s="54">
        <v>134</v>
      </c>
      <c r="P138" s="54">
        <v>250</v>
      </c>
    </row>
    <row r="139" spans="1:16" x14ac:dyDescent="0.25">
      <c r="A139" s="52" t="s">
        <v>70</v>
      </c>
      <c r="B139" s="52" t="s">
        <v>71</v>
      </c>
      <c r="C139" s="52">
        <v>2014</v>
      </c>
      <c r="D139" s="87"/>
      <c r="E139" s="87"/>
      <c r="F139" s="94">
        <v>4.01</v>
      </c>
      <c r="G139" s="94">
        <v>3.98</v>
      </c>
      <c r="H139" s="94"/>
      <c r="I139" s="94"/>
      <c r="J139" s="53"/>
      <c r="K139" s="53"/>
      <c r="L139" s="53"/>
      <c r="M139" s="53"/>
      <c r="N139" s="54">
        <v>139</v>
      </c>
      <c r="O139" s="54">
        <v>134</v>
      </c>
      <c r="P139" s="54">
        <v>250</v>
      </c>
    </row>
    <row r="140" spans="1:16" x14ac:dyDescent="0.25">
      <c r="A140" t="s">
        <v>72</v>
      </c>
      <c r="B140" t="s">
        <v>73</v>
      </c>
      <c r="C140">
        <v>2005</v>
      </c>
      <c r="J140" s="2">
        <v>14.36</v>
      </c>
      <c r="L140" s="2">
        <v>2763</v>
      </c>
      <c r="N140" s="35">
        <v>120.5</v>
      </c>
      <c r="O140" s="35">
        <v>136.5</v>
      </c>
      <c r="P140" s="35">
        <v>250</v>
      </c>
    </row>
    <row r="141" spans="1:16" x14ac:dyDescent="0.25">
      <c r="A141" t="s">
        <v>72</v>
      </c>
      <c r="B141" t="s">
        <v>73</v>
      </c>
      <c r="C141">
        <v>2006</v>
      </c>
      <c r="J141" s="2">
        <v>16.670000000000002</v>
      </c>
      <c r="L141" s="2">
        <v>2912</v>
      </c>
      <c r="N141" s="35">
        <v>120.5</v>
      </c>
      <c r="O141" s="35">
        <v>136.5</v>
      </c>
      <c r="P141" s="35">
        <v>250</v>
      </c>
    </row>
    <row r="142" spans="1:16" x14ac:dyDescent="0.25">
      <c r="A142" t="s">
        <v>72</v>
      </c>
      <c r="B142" t="s">
        <v>73</v>
      </c>
      <c r="C142">
        <v>2007</v>
      </c>
      <c r="J142" s="2">
        <v>17.04</v>
      </c>
      <c r="L142" s="2">
        <v>2968</v>
      </c>
      <c r="N142" s="35">
        <v>120.5</v>
      </c>
      <c r="O142" s="35">
        <v>136.5</v>
      </c>
      <c r="P142" s="35">
        <v>250</v>
      </c>
    </row>
    <row r="143" spans="1:16" x14ac:dyDescent="0.25">
      <c r="A143" t="s">
        <v>72</v>
      </c>
      <c r="B143" t="s">
        <v>73</v>
      </c>
      <c r="C143">
        <v>2008</v>
      </c>
      <c r="J143" s="2">
        <v>14.05</v>
      </c>
      <c r="L143" s="2">
        <v>2968</v>
      </c>
      <c r="N143" s="35">
        <v>120.5</v>
      </c>
      <c r="O143" s="35">
        <v>136.5</v>
      </c>
      <c r="P143" s="35">
        <v>250</v>
      </c>
    </row>
    <row r="144" spans="1:16" x14ac:dyDescent="0.25">
      <c r="A144" t="s">
        <v>72</v>
      </c>
      <c r="B144" t="s">
        <v>73</v>
      </c>
      <c r="C144">
        <v>2009</v>
      </c>
      <c r="F144" s="101">
        <v>1.29</v>
      </c>
      <c r="G144" s="101">
        <v>2.4</v>
      </c>
      <c r="J144" s="2">
        <v>14.67</v>
      </c>
      <c r="L144" s="2">
        <v>2836</v>
      </c>
      <c r="N144" s="35">
        <v>120.5</v>
      </c>
      <c r="O144" s="35">
        <v>136.5</v>
      </c>
      <c r="P144" s="35">
        <v>250</v>
      </c>
    </row>
    <row r="145" spans="1:16" x14ac:dyDescent="0.25">
      <c r="A145" t="s">
        <v>72</v>
      </c>
      <c r="B145" t="s">
        <v>73</v>
      </c>
      <c r="C145">
        <v>2010</v>
      </c>
      <c r="F145" s="101">
        <v>0.9</v>
      </c>
      <c r="G145" s="101">
        <v>2.2000000000000002</v>
      </c>
      <c r="J145" s="2">
        <v>13.64</v>
      </c>
      <c r="L145" s="2">
        <v>2828</v>
      </c>
      <c r="N145" s="35">
        <v>120.5</v>
      </c>
      <c r="O145" s="35">
        <v>136.5</v>
      </c>
      <c r="P145" s="35">
        <v>250</v>
      </c>
    </row>
    <row r="146" spans="1:16" x14ac:dyDescent="0.25">
      <c r="A146" t="s">
        <v>72</v>
      </c>
      <c r="B146" t="s">
        <v>73</v>
      </c>
      <c r="C146">
        <v>2011</v>
      </c>
      <c r="F146" s="101">
        <v>0.85</v>
      </c>
      <c r="G146" s="101">
        <v>2.15</v>
      </c>
      <c r="J146" s="2">
        <v>12.69</v>
      </c>
      <c r="L146" s="2">
        <v>2836</v>
      </c>
      <c r="N146" s="35">
        <v>120.5</v>
      </c>
      <c r="O146" s="35">
        <v>136.5</v>
      </c>
      <c r="P146" s="35">
        <v>250</v>
      </c>
    </row>
    <row r="147" spans="1:16" x14ac:dyDescent="0.25">
      <c r="A147" t="s">
        <v>72</v>
      </c>
      <c r="B147" t="s">
        <v>73</v>
      </c>
      <c r="C147">
        <v>2012</v>
      </c>
      <c r="F147" s="101">
        <v>0.31</v>
      </c>
      <c r="G147" s="101">
        <v>2.2400000000000002</v>
      </c>
      <c r="J147" s="2">
        <v>11.6</v>
      </c>
      <c r="L147" s="2">
        <v>2858</v>
      </c>
      <c r="N147" s="35">
        <v>120.5</v>
      </c>
      <c r="O147" s="35">
        <v>136.5</v>
      </c>
      <c r="P147" s="35">
        <v>250</v>
      </c>
    </row>
    <row r="148" spans="1:16" x14ac:dyDescent="0.25">
      <c r="A148" t="s">
        <v>72</v>
      </c>
      <c r="B148" t="s">
        <v>73</v>
      </c>
      <c r="C148">
        <v>2013</v>
      </c>
      <c r="J148" s="2">
        <v>13.57</v>
      </c>
      <c r="L148" s="2">
        <v>2862</v>
      </c>
      <c r="N148" s="35">
        <v>120.5</v>
      </c>
      <c r="O148" s="35">
        <v>136.5</v>
      </c>
      <c r="P148" s="35">
        <v>250</v>
      </c>
    </row>
    <row r="149" spans="1:16" x14ac:dyDescent="0.25">
      <c r="A149" t="s">
        <v>265</v>
      </c>
      <c r="B149" t="s">
        <v>271</v>
      </c>
      <c r="C149">
        <v>2012</v>
      </c>
      <c r="F149" s="101">
        <v>0.79</v>
      </c>
      <c r="G149" s="101">
        <v>1.54</v>
      </c>
      <c r="O149" s="35">
        <v>148.5</v>
      </c>
      <c r="P149" s="35">
        <v>250</v>
      </c>
    </row>
    <row r="150" spans="1:16" x14ac:dyDescent="0.25">
      <c r="A150" t="s">
        <v>288</v>
      </c>
      <c r="B150" t="s">
        <v>290</v>
      </c>
      <c r="C150">
        <v>2013</v>
      </c>
      <c r="F150" s="101">
        <v>4.93</v>
      </c>
      <c r="G150" s="101">
        <v>4.21</v>
      </c>
      <c r="N150" s="35">
        <v>153.5</v>
      </c>
      <c r="O150" s="35">
        <v>161</v>
      </c>
      <c r="P150" s="35">
        <v>300</v>
      </c>
    </row>
    <row r="151" spans="1:16" x14ac:dyDescent="0.25">
      <c r="A151" s="55" t="s">
        <v>291</v>
      </c>
      <c r="B151" s="55" t="s">
        <v>293</v>
      </c>
      <c r="C151">
        <v>2011</v>
      </c>
      <c r="F151" s="101">
        <v>1.17</v>
      </c>
      <c r="G151" s="101">
        <v>1.29</v>
      </c>
      <c r="N151" s="35">
        <v>219</v>
      </c>
      <c r="O151" s="35">
        <v>219</v>
      </c>
      <c r="P151" s="35">
        <v>300</v>
      </c>
    </row>
    <row r="152" spans="1:16" x14ac:dyDescent="0.25">
      <c r="A152" s="38" t="s">
        <v>91</v>
      </c>
      <c r="B152" s="38" t="s">
        <v>198</v>
      </c>
      <c r="C152">
        <v>2014</v>
      </c>
      <c r="F152" s="101">
        <v>4.41</v>
      </c>
      <c r="G152" s="101">
        <v>2.3050000000000002</v>
      </c>
      <c r="N152" s="35">
        <v>116.5</v>
      </c>
      <c r="O152" s="35">
        <v>126</v>
      </c>
      <c r="P152" s="35">
        <v>300</v>
      </c>
    </row>
    <row r="153" spans="1:16" x14ac:dyDescent="0.25">
      <c r="A153" s="38" t="s">
        <v>91</v>
      </c>
      <c r="B153" s="38" t="s">
        <v>198</v>
      </c>
      <c r="C153">
        <v>2013</v>
      </c>
      <c r="F153" s="101">
        <v>2.39</v>
      </c>
      <c r="G153" s="101">
        <v>2.2210000000000001</v>
      </c>
      <c r="N153" s="35">
        <v>116.5</v>
      </c>
      <c r="O153" s="35">
        <v>126</v>
      </c>
      <c r="P153" s="35">
        <v>300</v>
      </c>
    </row>
  </sheetData>
  <autoFilter ref="A1:P1">
    <sortState ref="A2:P149">
      <sortCondition ref="B1"/>
    </sortState>
  </autoFilter>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02"/>
  <sheetViews>
    <sheetView tabSelected="1" zoomScale="60" zoomScaleNormal="60" workbookViewId="0">
      <pane ySplit="2" topLeftCell="A3" activePane="bottomLeft" state="frozenSplit"/>
      <selection pane="bottomLeft"/>
    </sheetView>
  </sheetViews>
  <sheetFormatPr baseColWidth="10" defaultRowHeight="15" outlineLevelCol="1" x14ac:dyDescent="0.25"/>
  <cols>
    <col min="1" max="1" width="28" style="38" bestFit="1" customWidth="1"/>
    <col min="2" max="2" width="20.85546875" style="38" bestFit="1" customWidth="1"/>
    <col min="3" max="3" width="12.28515625" style="38" bestFit="1" customWidth="1"/>
    <col min="4" max="4" width="18.42578125" style="38" customWidth="1"/>
    <col min="5" max="5" width="2.7109375" style="38" customWidth="1"/>
    <col min="6" max="6" width="18.42578125" style="66" hidden="1" customWidth="1" outlineLevel="1"/>
    <col min="7" max="7" width="12.7109375" style="38" hidden="1" customWidth="1" outlineLevel="1"/>
    <col min="8" max="8" width="14.7109375" style="38" hidden="1" customWidth="1" outlineLevel="1"/>
    <col min="9" max="9" width="16.85546875" style="38" hidden="1" customWidth="1" outlineLevel="1"/>
    <col min="10" max="10" width="18" style="38" hidden="1" customWidth="1" outlineLevel="1"/>
    <col min="11" max="11" width="22.7109375" style="38" hidden="1" customWidth="1" outlineLevel="1"/>
    <col min="12" max="12" width="12.7109375" style="38" hidden="1" customWidth="1" outlineLevel="1"/>
    <col min="13" max="13" width="14.7109375" style="38" hidden="1" customWidth="1" outlineLevel="1"/>
    <col min="14" max="14" width="16.85546875" style="38" hidden="1" customWidth="1" outlineLevel="1"/>
    <col min="15" max="15" width="18" style="38" hidden="1" customWidth="1" outlineLevel="1"/>
    <col min="16" max="16" width="22.7109375" style="38" hidden="1" customWidth="1" outlineLevel="1"/>
    <col min="17" max="17" width="16.85546875" style="38" bestFit="1" customWidth="1" collapsed="1"/>
    <col min="18" max="18" width="25.85546875" style="38" customWidth="1"/>
    <col min="19" max="19" width="2.7109375" style="38" customWidth="1"/>
    <col min="20" max="22" width="17" style="38" hidden="1" customWidth="1" outlineLevel="1"/>
    <col min="23" max="23" width="18" style="38" hidden="1" customWidth="1" outlineLevel="1"/>
    <col min="24" max="25" width="24.140625" style="38" hidden="1" customWidth="1" outlineLevel="1"/>
    <col min="26" max="26" width="17" style="38" customWidth="1" collapsed="1"/>
    <col min="27" max="27" width="18" style="38" customWidth="1"/>
    <col min="28" max="28" width="24.140625" style="38" customWidth="1"/>
    <col min="29" max="29" width="2.7109375" style="38" customWidth="1"/>
    <col min="30" max="31" width="16.28515625" style="38" hidden="1" customWidth="1" outlineLevel="1"/>
    <col min="32" max="32" width="16.85546875" style="38" hidden="1" customWidth="1" outlineLevel="1"/>
    <col min="33" max="33" width="17.28515625" style="38" hidden="1" customWidth="1" outlineLevel="1"/>
    <col min="34" max="35" width="23.28515625" style="38" hidden="1" customWidth="1" outlineLevel="1"/>
    <col min="36" max="36" width="16.85546875" style="38" bestFit="1" customWidth="1" collapsed="1"/>
    <col min="37" max="37" width="17.28515625" style="38" bestFit="1" customWidth="1"/>
    <col min="38" max="38" width="23.28515625" style="38" bestFit="1" customWidth="1"/>
    <col min="39" max="39" width="2.7109375" style="38" customWidth="1"/>
    <col min="40" max="42" width="17.7109375" style="38" hidden="1" customWidth="1" outlineLevel="1"/>
    <col min="43" max="43" width="20.140625" style="38" hidden="1" customWidth="1" outlineLevel="1"/>
    <col min="44" max="45" width="24.85546875" style="38" hidden="1" customWidth="1" outlineLevel="1"/>
    <col min="46" max="46" width="17.7109375" style="38" bestFit="1" customWidth="1" collapsed="1"/>
    <col min="47" max="47" width="20.140625" style="38" bestFit="1" customWidth="1"/>
    <col min="48" max="48" width="24.85546875" style="38" bestFit="1" customWidth="1"/>
    <col min="49" max="49" width="2.7109375" style="38" customWidth="1"/>
    <col min="50" max="50" width="12.7109375" style="38" hidden="1" customWidth="1" outlineLevel="1"/>
    <col min="51" max="51" width="13" style="38" hidden="1" customWidth="1" outlineLevel="1"/>
    <col min="52" max="52" width="16.85546875" style="38" hidden="1" customWidth="1" outlineLevel="1"/>
    <col min="53" max="53" width="12.7109375" style="38" customWidth="1" collapsed="1"/>
    <col min="54" max="54" width="13" style="38" customWidth="1"/>
    <col min="55" max="55" width="16.85546875" style="38" bestFit="1" customWidth="1"/>
    <col min="56" max="56" width="2.7109375" style="38" customWidth="1"/>
    <col min="57" max="57" width="11.28515625" style="38" hidden="1" customWidth="1" outlineLevel="1"/>
    <col min="58" max="58" width="13" style="38" hidden="1" customWidth="1" outlineLevel="1"/>
    <col min="59" max="59" width="16.85546875" style="38" hidden="1" customWidth="1" outlineLevel="1"/>
    <col min="60" max="60" width="11.28515625" style="38" bestFit="1" customWidth="1" collapsed="1"/>
    <col min="61" max="61" width="13" style="38" bestFit="1" customWidth="1"/>
    <col min="62" max="62" width="16.85546875" style="38" bestFit="1" customWidth="1"/>
    <col min="63" max="63" width="2.7109375" style="38" customWidth="1"/>
    <col min="64" max="65" width="13.28515625" style="38" hidden="1" customWidth="1" outlineLevel="1"/>
    <col min="66" max="66" width="16.85546875" style="38" hidden="1" customWidth="1" outlineLevel="1"/>
    <col min="67" max="67" width="13.28515625" style="38" bestFit="1" customWidth="1" collapsed="1"/>
    <col min="68" max="68" width="13.28515625" style="38" bestFit="1" customWidth="1"/>
    <col min="69" max="69" width="16.85546875" style="38" bestFit="1" customWidth="1"/>
    <col min="70" max="16384" width="11.42578125" style="38"/>
  </cols>
  <sheetData>
    <row r="1" spans="1:69" x14ac:dyDescent="0.25">
      <c r="A1" s="37" t="s">
        <v>146</v>
      </c>
      <c r="B1" s="42">
        <v>42123</v>
      </c>
      <c r="C1" s="42"/>
      <c r="D1" s="37"/>
      <c r="E1" s="44"/>
      <c r="G1" s="39"/>
      <c r="H1" s="39"/>
      <c r="I1" s="39"/>
      <c r="J1" s="39"/>
      <c r="K1" s="39"/>
      <c r="Q1" s="112" t="str">
        <f>CONCATENATE("Preis (",Bewertung_Stammdaten!A9," von ",Bewertung_Stammdaten!B7,")")</f>
        <v>Preis (85 von 300)</v>
      </c>
      <c r="R1" s="112"/>
      <c r="S1" s="36"/>
      <c r="T1" s="39"/>
      <c r="U1" s="39"/>
      <c r="V1" s="39"/>
      <c r="W1" s="39"/>
      <c r="X1" s="39"/>
      <c r="Y1" s="39"/>
      <c r="Z1" s="112" t="str">
        <f>CONCATENATE("Wert (",Bewertung_Stammdaten!A22," von ",Bewertung_Stammdaten!B7,")")</f>
        <v>Wert (40 von 300)</v>
      </c>
      <c r="AA1" s="112"/>
      <c r="AB1" s="112"/>
      <c r="AC1" s="36"/>
      <c r="AD1" s="39"/>
      <c r="AE1" s="39"/>
      <c r="AF1" s="39"/>
      <c r="AG1" s="39"/>
      <c r="AH1" s="39"/>
      <c r="AI1" s="39"/>
      <c r="AJ1" s="112" t="str">
        <f>CONCATENATE("Ergebnis (",Bewertung_Stammdaten!A35," von ",Bewertung_Stammdaten!B7,")")</f>
        <v>Ergebnis (45 von 300)</v>
      </c>
      <c r="AK1" s="112"/>
      <c r="AL1" s="112"/>
      <c r="AM1" s="36"/>
      <c r="AN1" s="39"/>
      <c r="AO1" s="39"/>
      <c r="AP1" s="39"/>
      <c r="AQ1" s="39"/>
      <c r="AR1" s="39"/>
      <c r="AS1" s="39"/>
      <c r="AT1" s="112" t="str">
        <f>CONCATENATE("Dividende (",Bewertung_Stammdaten!A48," von ",Bewertung_Stammdaten!B7,")")</f>
        <v>Dividende (45 von 300)</v>
      </c>
      <c r="AU1" s="112"/>
      <c r="AV1" s="112"/>
      <c r="AW1" s="36"/>
      <c r="AX1" s="39"/>
      <c r="AY1" s="39"/>
      <c r="AZ1" s="39"/>
      <c r="BA1" s="112" t="str">
        <f>CONCATENATE("Dividendenrendite (",Bewertung_Stammdaten!A61," von ",Bewertung_Stammdaten!B7,")")</f>
        <v>Dividendenrendite (30 von 300)</v>
      </c>
      <c r="BB1" s="112"/>
      <c r="BC1" s="112"/>
      <c r="BD1" s="36"/>
      <c r="BE1" s="39"/>
      <c r="BF1" s="39"/>
      <c r="BG1" s="39"/>
      <c r="BH1" s="112" t="str">
        <f>CONCATENATE("Aktienrückkäufe (",Bewertung_Stammdaten!A74," von ",Bewertung_Stammdaten!B7,")")</f>
        <v>Aktienrückkäufe (25 von 300)</v>
      </c>
      <c r="BI1" s="112"/>
      <c r="BJ1" s="112"/>
      <c r="BK1" s="36"/>
      <c r="BL1" s="39"/>
      <c r="BM1" s="39"/>
      <c r="BN1" s="39"/>
      <c r="BO1" s="112" t="str">
        <f>CONCATENATE("Ausschüttungsquote (",Bewertung_Stammdaten!A87," von ",Bewertung_Stammdaten!B7,")")</f>
        <v>Ausschüttungsquote (30 von 300)</v>
      </c>
      <c r="BP1" s="112"/>
      <c r="BQ1" s="112"/>
    </row>
    <row r="2" spans="1:69" ht="60" x14ac:dyDescent="0.25">
      <c r="A2" s="37" t="s">
        <v>0</v>
      </c>
      <c r="B2" s="37" t="s">
        <v>1</v>
      </c>
      <c r="C2" s="37" t="s">
        <v>294</v>
      </c>
      <c r="D2" s="37" t="s">
        <v>125</v>
      </c>
      <c r="E2" s="44"/>
      <c r="F2" s="102" t="s">
        <v>303</v>
      </c>
      <c r="G2" s="7" t="s">
        <v>116</v>
      </c>
      <c r="H2" s="7" t="s">
        <v>212</v>
      </c>
      <c r="I2" s="7" t="s">
        <v>221</v>
      </c>
      <c r="J2" s="8" t="s">
        <v>147</v>
      </c>
      <c r="K2" s="8" t="s">
        <v>208</v>
      </c>
      <c r="L2" s="7" t="s">
        <v>305</v>
      </c>
      <c r="M2" s="7" t="s">
        <v>306</v>
      </c>
      <c r="N2" s="7" t="s">
        <v>307</v>
      </c>
      <c r="O2" s="8" t="s">
        <v>308</v>
      </c>
      <c r="P2" s="8" t="s">
        <v>309</v>
      </c>
      <c r="Q2" s="7" t="s">
        <v>310</v>
      </c>
      <c r="R2" s="8" t="s">
        <v>304</v>
      </c>
      <c r="S2" s="45"/>
      <c r="T2" s="8" t="s">
        <v>148</v>
      </c>
      <c r="U2" s="8" t="s">
        <v>213</v>
      </c>
      <c r="V2" s="8" t="s">
        <v>222</v>
      </c>
      <c r="W2" s="8" t="s">
        <v>220</v>
      </c>
      <c r="X2" s="8" t="s">
        <v>150</v>
      </c>
      <c r="Y2" s="8" t="s">
        <v>209</v>
      </c>
      <c r="Z2" s="8" t="s">
        <v>222</v>
      </c>
      <c r="AA2" s="8" t="s">
        <v>220</v>
      </c>
      <c r="AB2" s="8" t="s">
        <v>209</v>
      </c>
      <c r="AC2" s="45"/>
      <c r="AD2" s="8" t="s">
        <v>119</v>
      </c>
      <c r="AE2" s="8" t="s">
        <v>214</v>
      </c>
      <c r="AF2" s="8" t="s">
        <v>223</v>
      </c>
      <c r="AG2" s="8" t="s">
        <v>215</v>
      </c>
      <c r="AH2" s="8" t="s">
        <v>124</v>
      </c>
      <c r="AI2" s="8" t="s">
        <v>210</v>
      </c>
      <c r="AJ2" s="8" t="s">
        <v>223</v>
      </c>
      <c r="AK2" s="8" t="s">
        <v>215</v>
      </c>
      <c r="AL2" s="8" t="s">
        <v>210</v>
      </c>
      <c r="AM2" s="45"/>
      <c r="AN2" s="8" t="s">
        <v>206</v>
      </c>
      <c r="AO2" s="8" t="s">
        <v>216</v>
      </c>
      <c r="AP2" s="8" t="s">
        <v>224</v>
      </c>
      <c r="AQ2" s="8" t="s">
        <v>217</v>
      </c>
      <c r="AR2" s="8" t="s">
        <v>207</v>
      </c>
      <c r="AS2" s="8" t="s">
        <v>211</v>
      </c>
      <c r="AT2" s="8" t="s">
        <v>224</v>
      </c>
      <c r="AU2" s="8" t="s">
        <v>217</v>
      </c>
      <c r="AV2" s="8" t="s">
        <v>211</v>
      </c>
      <c r="AW2" s="45"/>
      <c r="AX2" s="8" t="s">
        <v>117</v>
      </c>
      <c r="AY2" s="8" t="s">
        <v>218</v>
      </c>
      <c r="AZ2" s="8" t="s">
        <v>225</v>
      </c>
      <c r="BA2" s="8" t="s">
        <v>117</v>
      </c>
      <c r="BB2" s="8" t="s">
        <v>218</v>
      </c>
      <c r="BC2" s="8" t="s">
        <v>225</v>
      </c>
      <c r="BD2" s="45"/>
      <c r="BE2" s="8" t="s">
        <v>155</v>
      </c>
      <c r="BF2" s="8" t="s">
        <v>156</v>
      </c>
      <c r="BG2" s="8" t="s">
        <v>226</v>
      </c>
      <c r="BH2" s="8" t="s">
        <v>155</v>
      </c>
      <c r="BI2" s="8" t="s">
        <v>156</v>
      </c>
      <c r="BJ2" s="8" t="s">
        <v>226</v>
      </c>
      <c r="BK2" s="45"/>
      <c r="BL2" s="8" t="s">
        <v>118</v>
      </c>
      <c r="BM2" s="8" t="s">
        <v>219</v>
      </c>
      <c r="BN2" s="8" t="s">
        <v>227</v>
      </c>
      <c r="BO2" s="8" t="s">
        <v>118</v>
      </c>
      <c r="BP2" s="8" t="s">
        <v>219</v>
      </c>
      <c r="BQ2" s="8" t="s">
        <v>227</v>
      </c>
    </row>
    <row r="3" spans="1:69" x14ac:dyDescent="0.25">
      <c r="A3" s="38" t="s">
        <v>80</v>
      </c>
      <c r="B3" s="38" t="s">
        <v>164</v>
      </c>
      <c r="C3" s="38" t="s">
        <v>296</v>
      </c>
      <c r="D3" s="32">
        <f t="shared" ref="D3:D34" ca="1" si="0">SUM(Q3:R3,Z3:AB3,AJ3:AL3,BA3:BC3,BH3:BJ3,BO3:BQ3,AT3:AV3)</f>
        <v>160</v>
      </c>
      <c r="E3" s="43"/>
      <c r="F3" s="66">
        <v>1</v>
      </c>
      <c r="G3" s="11">
        <f ca="1">VLOOKUP(A3,KGV!A$3:R$103,17,FALSE)</f>
        <v>18.92956900931414</v>
      </c>
      <c r="H3" s="11">
        <f>VLOOKUP(A3,KGV!A$3:R$103,16,FALSE)</f>
        <v>17.28247960848287</v>
      </c>
      <c r="I3" s="12">
        <f ca="1">VLOOKUP(A3,KGV!A$3:R$103,18,FALSE)</f>
        <v>9.5303997929950812E-2</v>
      </c>
      <c r="J3" s="16">
        <f t="shared" ref="J3:J34" ca="1" si="1">IF(AG3&gt;0,G3,IF(G3/(1+AG3)&lt;0,99,G3/(1+AG3)))</f>
        <v>21.633793153501873</v>
      </c>
      <c r="K3" s="12">
        <f t="shared" ref="K3:K34" ca="1" si="2">(J3/H3)-1</f>
        <v>0.25177599763422953</v>
      </c>
      <c r="L3" s="11">
        <f ca="1">VLOOKUP(A3,KBV!A$3:R$103,17,FALSE)</f>
        <v>3.2546488029763831</v>
      </c>
      <c r="M3" s="11">
        <f>VLOOKUP(A3,KBV!A$3:R$103,16,FALSE)</f>
        <v>3.1339935981308411</v>
      </c>
      <c r="N3" s="12">
        <f ca="1">VLOOKUP(A3,KBV!A$3:R$103,18,FALSE)</f>
        <v>3.849886768036237E-2</v>
      </c>
      <c r="O3" s="16">
        <f ca="1">IF(W3&gt;0,L3,IF(L3/(1+W3)&lt;0,99,L3/(1+W3)))</f>
        <v>3.471446403174645</v>
      </c>
      <c r="P3" s="12">
        <f ca="1">(O3/M3)-1</f>
        <v>0.1076750141560805</v>
      </c>
      <c r="Q3" s="32">
        <f ca="1">IF(F3=1,IF(I3&lt;Bewertung_Stammdaten!B$12,Bewertung_Stammdaten!A$12,IF(I3&lt;Bewertung_Stammdaten!B$13,Bewertung_Stammdaten!A$13,IF(I3&lt;Bewertung_Stammdaten!B$14,Bewertung_Stammdaten!A$14,IF(I3&lt;Bewertung_Stammdaten!B$15,Bewertung_Stammdaten!A$15,IF(I3&lt;Bewertung_Stammdaten!B$16,Bewertung_Stammdaten!A$16,IF(I3&lt;Bewertung_Stammdaten!B$17,Bewertung_Stammdaten!A$17,IF(I3&lt;Bewertung_Stammdaten!B$18,Bewertung_Stammdaten!A$18,IF(I3&lt;Bewertung_Stammdaten!B$19,Bewertung_Stammdaten!A$19,IF(I3&lt;Bewertung_Stammdaten!B$20,Bewertung_Stammdaten!A$20,Bewertung_Stammdaten!A$21))))))))),IF(N3&lt;Bewertung_Stammdaten!C$12,Bewertung_Stammdaten!A$12,IF(N3&lt;Bewertung_Stammdaten!C$13,Bewertung_Stammdaten!A$13,IF(N3&lt;Bewertung_Stammdaten!C$14,Bewertung_Stammdaten!A$14,IF(N3&lt;Bewertung_Stammdaten!C$15,Bewertung_Stammdaten!A$15,IF(N3&lt;Bewertung_Stammdaten!C$16,Bewertung_Stammdaten!A$16,IF(N3&lt;Bewertung_Stammdaten!C$17,Bewertung_Stammdaten!A$17,IF(N3&lt;Bewertung_Stammdaten!C$18,Bewertung_Stammdaten!A$18,IF(N3&lt;Bewertung_Stammdaten!C$19,Bewertung_Stammdaten!A$19,IF(N3&lt;Bewertung_Stammdaten!C$20,Bewertung_Stammdaten!A$20,Bewertung_Stammdaten!A$21))))))))))</f>
        <v>30</v>
      </c>
      <c r="R3" s="32">
        <f ca="1">IF(F3=1,IF(K3&lt;Bewertung_Stammdaten!F$12,Bewertung_Stammdaten!E$12,IF(K3&lt;Bewertung_Stammdaten!F$13,Bewertung_Stammdaten!E$13,IF(K3&lt;Bewertung_Stammdaten!F$14,Bewertung_Stammdaten!E$14,IF(K3&lt;Bewertung_Stammdaten!F$15,Bewertung_Stammdaten!E$15,IF(K3&lt;Bewertung_Stammdaten!F$16,Bewertung_Stammdaten!E$16,IF(K3&lt;Bewertung_Stammdaten!F$17,Bewertung_Stammdaten!E$17,IF(K3&lt;Bewertung_Stammdaten!F$18,Bewertung_Stammdaten!E$18,IF(K3&lt;Bewertung_Stammdaten!F$19,Bewertung_Stammdaten!E$19,IF(K3&lt;Bewertung_Stammdaten!F$20,Bewertung_Stammdaten!E$20,Bewertung_Stammdaten!E$21))))))))),IF(P3&lt;Bewertung_Stammdaten!G$12,Bewertung_Stammdaten!E$12,IF(P3&lt;Bewertung_Stammdaten!G$13,Bewertung_Stammdaten!E$13,IF(P3&lt;Bewertung_Stammdaten!G$14,Bewertung_Stammdaten!E$14,IF(P3&lt;Bewertung_Stammdaten!G$15,Bewertung_Stammdaten!E$15,IF(P3&lt;Bewertung_Stammdaten!G$16,Bewertung_Stammdaten!E$16,IF(P3&lt;Bewertung_Stammdaten!G$17,Bewertung_Stammdaten!E$17,IF(P3&lt;Bewertung_Stammdaten!G$18,Bewertung_Stammdaten!E$18,IF(P3&lt;Bewertung_Stammdaten!G$19,Bewertung_Stammdaten!E$19,IF(P3&lt;Bewertung_Stammdaten!G$20,Bewertung_Stammdaten!E$20,Bewertung_Stammdaten!E$21))))))))))</f>
        <v>10</v>
      </c>
      <c r="S3" s="43"/>
      <c r="T3" s="11">
        <f ca="1">VLOOKUP(A3,Buchwert_je_Aktie!A$3:AK$103,23,FALSE)</f>
        <v>103.03333333333333</v>
      </c>
      <c r="U3" s="11">
        <f>VLOOKUP(A3,Buchwert_je_Aktie!A$3:AK$103,19,FALSE)</f>
        <v>83.365384615384613</v>
      </c>
      <c r="V3" s="12">
        <f ca="1">VLOOKUP(A3,Buchwert_je_Aktie!A$3:AK$103,24,FALSE)</f>
        <v>0.2359246443675509</v>
      </c>
      <c r="W3" s="12">
        <f>VLOOKUP(A3,Buchwert_je_Aktie!A$3:AK$103,37,FALSE)</f>
        <v>-6.245166279969061E-2</v>
      </c>
      <c r="X3" s="16">
        <f t="shared" ref="X3:X34" ca="1" si="3">IF(W3&gt;0,T3,IF(T3&lt;0,ABS(T3)*(1+W3),T3*(1+W3)))</f>
        <v>96.598730342871875</v>
      </c>
      <c r="Y3" s="12">
        <f t="shared" ref="Y3:Y34" ca="1" si="4">IF(U3&gt;0,(X3/U3)-1,-99.99999)</f>
        <v>0.15873909523168117</v>
      </c>
      <c r="Z3" s="51">
        <f ca="1">IF(V3&lt;Bewertung_Stammdaten!B$25,Bewertung_Stammdaten!A$25,IF(V3&lt;Bewertung_Stammdaten!B$26,Bewertung_Stammdaten!A$26,IF(V3&lt;Bewertung_Stammdaten!B$27,Bewertung_Stammdaten!A$27,IF(V3&lt;Bewertung_Stammdaten!B$28,Bewertung_Stammdaten!A$28,IF(V3&lt;Bewertung_Stammdaten!B$29,Bewertung_Stammdaten!A$29,IF(V3&lt;Bewertung_Stammdaten!B$30,Bewertung_Stammdaten!A$30,IF(V3&lt;Bewertung_Stammdaten!B$31,Bewertung_Stammdaten!A$31,IF(V3&lt;Bewertung_Stammdaten!B$32,Bewertung_Stammdaten!A$32,IF(V3&lt;Bewertung_Stammdaten!B$33,Bewertung_Stammdaten!A$33,Bewertung_Stammdaten!A$34)))))))))</f>
        <v>7.5</v>
      </c>
      <c r="AA3" s="51">
        <f>IF(W3&lt;Bewertung_Stammdaten!F$25,Bewertung_Stammdaten!E$25,IF(W3&lt;Bewertung_Stammdaten!F$26,Bewertung_Stammdaten!E$26,IF(W3&lt;Bewertung_Stammdaten!F$27,Bewertung_Stammdaten!E$27,IF(W3&lt;Bewertung_Stammdaten!F$28,Bewertung_Stammdaten!E$28,IF(W3&lt;Bewertung_Stammdaten!F$29,Bewertung_Stammdaten!E$29,IF(W3&lt;Bewertung_Stammdaten!F$30,Bewertung_Stammdaten!E$30,IF(W3&lt;Bewertung_Stammdaten!F$31,Bewertung_Stammdaten!E$31,IF(W3&lt;Bewertung_Stammdaten!F$32,Bewertung_Stammdaten!E$32,IF(W3&lt;Bewertung_Stammdaten!F$33,Bewertung_Stammdaten!E$33,Bewertung_Stammdaten!E$34)))))))))</f>
        <v>9</v>
      </c>
      <c r="AB3" s="51">
        <f ca="1">IF(Y3&lt;Bewertung_Stammdaten!J$25,Bewertung_Stammdaten!I$25,IF(Y3&lt;Bewertung_Stammdaten!J$26,Bewertung_Stammdaten!I$26,IF(Y3&lt;Bewertung_Stammdaten!J$27,Bewertung_Stammdaten!I$27,IF(Y3&lt;Bewertung_Stammdaten!J$28,Bewertung_Stammdaten!I$28,IF(Y3&lt;Bewertung_Stammdaten!J$29,Bewertung_Stammdaten!I$29,IF(Y3&lt;Bewertung_Stammdaten!J$30,Bewertung_Stammdaten!I$30,IF(Y3&lt;Bewertung_Stammdaten!J$31,Bewertung_Stammdaten!I$31,IF(Y3&lt;Bewertung_Stammdaten!J$32,Bewertung_Stammdaten!I$32,IF(Y3&lt;Bewertung_Stammdaten!J$33,Bewertung_Stammdaten!I$33,Bewertung_Stammdaten!I$34)))))))))</f>
        <v>4</v>
      </c>
      <c r="AC3" s="43"/>
      <c r="AD3" s="14">
        <f ca="1">VLOOKUP(A3,Ergebnis_je_Aktie_verwässert!A$3:AK$103,23,FALSE)</f>
        <v>17.715</v>
      </c>
      <c r="AE3" s="14">
        <f>VLOOKUP(A3,Ergebnis_je_Aktie_verwässert!A$3:AK$103,19,FALSE)</f>
        <v>15.326923076923075</v>
      </c>
      <c r="AF3" s="12">
        <f ca="1">VLOOKUP(A3,Ergebnis_je_Aktie_verwässert!A$3:AK$103,24,FALSE)</f>
        <v>0.15580928481806788</v>
      </c>
      <c r="AG3" s="40">
        <f>VLOOKUP(A3,Ergebnis_je_Aktie_verwässert!A$3:AK$103,37,FALSE)</f>
        <v>-0.125</v>
      </c>
      <c r="AH3" s="16">
        <f t="shared" ref="AH3:AH34" ca="1" si="5">IF(AG3&gt;0,AD3,AD3*(1+AG3))</f>
        <v>15.500624999999999</v>
      </c>
      <c r="AI3" s="12">
        <f t="shared" ref="AI3:AI34" ca="1" si="6">IF(AE3&gt;0,(AH3/AE3)-1,-99.99999)</f>
        <v>1.1333124215809454E-2</v>
      </c>
      <c r="AJ3" s="32">
        <f ca="1">IF(AF3&lt;Bewertung_Stammdaten!B$38,Bewertung_Stammdaten!A$38,IF(AF3&lt;Bewertung_Stammdaten!B$39,Bewertung_Stammdaten!A$39,IF(AF3&lt;Bewertung_Stammdaten!B$40,Bewertung_Stammdaten!A$40,IF(AF3&lt;Bewertung_Stammdaten!B$41,Bewertung_Stammdaten!A$41,IF(AF3&lt;Bewertung_Stammdaten!B$42,Bewertung_Stammdaten!A$42,IF(AF3&lt;Bewertung_Stammdaten!B$43,Bewertung_Stammdaten!A$43,IF(AF3&lt;Bewertung_Stammdaten!B$44,Bewertung_Stammdaten!A$44,IF(AF3&lt;Bewertung_Stammdaten!B$45,Bewertung_Stammdaten!A$45,IF(AF3&lt;Bewertung_Stammdaten!B$46,Bewertung_Stammdaten!A$46,Bewertung_Stammdaten!A$47)))))))))</f>
        <v>10</v>
      </c>
      <c r="AK3" s="32">
        <f>IF(AG3&lt;Bewertung_Stammdaten!F$38,Bewertung_Stammdaten!E$38,IF(AG3&lt;Bewertung_Stammdaten!F$39,Bewertung_Stammdaten!E$39,IF(AG3&lt;Bewertung_Stammdaten!F$40,Bewertung_Stammdaten!E$40,IF(AG3&lt;Bewertung_Stammdaten!F$41,Bewertung_Stammdaten!E$41,IF(AG3&lt;Bewertung_Stammdaten!F$42,Bewertung_Stammdaten!E$42,IF(AG3&lt;Bewertung_Stammdaten!F$43,Bewertung_Stammdaten!E$43,IF(AG3&lt;Bewertung_Stammdaten!F$44,Bewertung_Stammdaten!E$44,IF(AG3&lt;Bewertung_Stammdaten!F$45,Bewertung_Stammdaten!E$45,IF(AG3&lt;Bewertung_Stammdaten!F$46,Bewertung_Stammdaten!E$46,Bewertung_Stammdaten!E$47)))))))))</f>
        <v>9</v>
      </c>
      <c r="AL3" s="32">
        <f ca="1">IF(AI3&lt;Bewertung_Stammdaten!J$38,Bewertung_Stammdaten!I$38,IF(AI3&lt;Bewertung_Stammdaten!J$39,Bewertung_Stammdaten!I$39,IF(AI3&lt;Bewertung_Stammdaten!J$40,Bewertung_Stammdaten!I$40,IF(AI3&lt;Bewertung_Stammdaten!J$41,Bewertung_Stammdaten!I$41,IF(AI3&lt;Bewertung_Stammdaten!J$42,Bewertung_Stammdaten!I$42,IF(AI3&lt;Bewertung_Stammdaten!J$43,Bewertung_Stammdaten!I$43,IF(AI3&lt;Bewertung_Stammdaten!J$44,Bewertung_Stammdaten!I$44,IF(AI3&lt;Bewertung_Stammdaten!J$45,Bewertung_Stammdaten!I$45,IF(AI3&lt;Bewertung_Stammdaten!J$46,Bewertung_Stammdaten!I$46,Bewertung_Stammdaten!I$47)))))))))</f>
        <v>4</v>
      </c>
      <c r="AM3" s="43"/>
      <c r="AN3" s="14">
        <f ca="1">VLOOKUP(A3,Dividende_je_Aktie!A$3:AM$103,24,FALSE)</f>
        <v>12.137222222222221</v>
      </c>
      <c r="AO3" s="14">
        <f>VLOOKUP(A3,Dividende_je_Aktie!A$3:AM$103,20,FALSE)</f>
        <v>7.9778571428571414</v>
      </c>
      <c r="AP3" s="12">
        <f ca="1">VLOOKUP(A3,Dividende_je_Aktie!A$3:AM$103,25,FALSE)</f>
        <v>0.52136369514827763</v>
      </c>
      <c r="AQ3" s="40">
        <f>VLOOKUP(A3,Dividende_je_Aktie!A$3:AM$103,39,FALSE)</f>
        <v>-0.19999999999999996</v>
      </c>
      <c r="AR3" s="16">
        <f t="shared" ref="AR3:AR34" ca="1" si="7">IF(AQ3&gt;0,AN3,AN3*(1+AQ3))</f>
        <v>9.7097777777777772</v>
      </c>
      <c r="AS3" s="12">
        <f t="shared" ref="AS3:AS34" ca="1" si="8">IF(AO3&gt;0,(AR3/AO3)-1,-99.99999)</f>
        <v>0.21709095611862206</v>
      </c>
      <c r="AT3" s="32">
        <f ca="1">IF(AP3&lt;Bewertung_Stammdaten!B$51,Bewertung_Stammdaten!A$51,IF(AP3&lt;Bewertung_Stammdaten!B$52,Bewertung_Stammdaten!A$52,IF(AP3&lt;Bewertung_Stammdaten!B$53,Bewertung_Stammdaten!A$53,IF(AP3&lt;Bewertung_Stammdaten!B$54,Bewertung_Stammdaten!A$54,IF(AP3&lt;Bewertung_Stammdaten!B$55,Bewertung_Stammdaten!A$55,IF(AP3&lt;Bewertung_Stammdaten!B$56,Bewertung_Stammdaten!A$56,IF(AP3&lt;Bewertung_Stammdaten!B$57,Bewertung_Stammdaten!A$57,IF(AP3&lt;Bewertung_Stammdaten!B$58,Bewertung_Stammdaten!A$58,IF(AP3&lt;Bewertung_Stammdaten!B$59,Bewertung_Stammdaten!A$59,Bewertung_Stammdaten!A$60)))))))))</f>
        <v>16</v>
      </c>
      <c r="AU3" s="32">
        <f>IF(AQ3&lt;Bewertung_Stammdaten!F$51,Bewertung_Stammdaten!E$51,IF(AQ3&lt;Bewertung_Stammdaten!F$52,Bewertung_Stammdaten!E$52,IF(AQ3&lt;Bewertung_Stammdaten!F$53,Bewertung_Stammdaten!E$53,IF(AQ3&lt;Bewertung_Stammdaten!F$54,Bewertung_Stammdaten!E$54,IF(AQ3&lt;Bewertung_Stammdaten!F$55,Bewertung_Stammdaten!E$55,IF(AQ3&lt;Bewertung_Stammdaten!F$56,Bewertung_Stammdaten!E$56,IF(AQ3&lt;Bewertung_Stammdaten!F$57,Bewertung_Stammdaten!E$57,IF(AQ3&lt;Bewertung_Stammdaten!F$58,Bewertung_Stammdaten!E$58,IF(AQ3&lt;Bewertung_Stammdaten!F$59,Bewertung_Stammdaten!E$59,Bewertung_Stammdaten!E$60)))))))))</f>
        <v>9</v>
      </c>
      <c r="AV3" s="32">
        <f ca="1">IF(AS3&lt;Bewertung_Stammdaten!J$51,Bewertung_Stammdaten!I$51,IF(AS3&lt;Bewertung_Stammdaten!J$52,Bewertung_Stammdaten!I$52,IF(AS3&lt;Bewertung_Stammdaten!J$53,Bewertung_Stammdaten!I$53,IF(AS3&lt;Bewertung_Stammdaten!J$54,Bewertung_Stammdaten!I$54,IF(AS3&lt;Bewertung_Stammdaten!J$55,Bewertung_Stammdaten!I$55,IF(AS3&lt;Bewertung_Stammdaten!J$56,Bewertung_Stammdaten!I$56,IF(AS3&lt;Bewertung_Stammdaten!J$57,Bewertung_Stammdaten!I$57,IF(AS3&lt;Bewertung_Stammdaten!J$58,Bewertung_Stammdaten!I$58,IF(AS3&lt;Bewertung_Stammdaten!J$59,Bewertung_Stammdaten!I$59,Bewertung_Stammdaten!I$60)))))))))</f>
        <v>6</v>
      </c>
      <c r="AW3" s="43"/>
      <c r="AX3" s="12">
        <f ca="1">VLOOKUP(A3,Dividendenrendite!A$3:R$103,17,FALSE)</f>
        <v>3.6194069909047312E-2</v>
      </c>
      <c r="AY3" s="12">
        <f>VLOOKUP(A3,Dividendenrendite!A$3:R$103,16,FALSE)</f>
        <v>2.7000102229904763E-2</v>
      </c>
      <c r="AZ3" s="12">
        <f ca="1">VLOOKUP(A3,Dividendenrendite!A$3:R$103,18,FALSE)</f>
        <v>0.34051603215633364</v>
      </c>
      <c r="BA3" s="32">
        <f ca="1">IF(AX3&lt;Bewertung_Stammdaten!B$64,Bewertung_Stammdaten!A$64,IF(AX3&lt;Bewertung_Stammdaten!B$65,Bewertung_Stammdaten!A$65,IF(AX3&lt;Bewertung_Stammdaten!B$66,Bewertung_Stammdaten!A$66,IF(AX3&lt;Bewertung_Stammdaten!B$67,Bewertung_Stammdaten!A$67,IF(AX3&lt;Bewertung_Stammdaten!B$68,Bewertung_Stammdaten!A$68,IF(AX3&lt;Bewertung_Stammdaten!B$69,Bewertung_Stammdaten!A$69,IF(AX3&lt;Bewertung_Stammdaten!B$70,Bewertung_Stammdaten!A$70,IF(AX3&lt;Bewertung_Stammdaten!B$71,Bewertung_Stammdaten!A$71,IF(AX3&lt;Bewertung_Stammdaten!B$72,Bewertung_Stammdaten!A$72,Bewertung_Stammdaten!A$73)))))))))</f>
        <v>12</v>
      </c>
      <c r="BB3" s="32">
        <f>IF(AY3&lt;Bewertung_Stammdaten!F$64,Bewertung_Stammdaten!E$64,IF(AY3&lt;Bewertung_Stammdaten!F$65,Bewertung_Stammdaten!E$65,IF(AY3&lt;Bewertung_Stammdaten!F$66,Bewertung_Stammdaten!E$66,IF(AY3&lt;Bewertung_Stammdaten!F$67,Bewertung_Stammdaten!E$67,IF(AY3&lt;Bewertung_Stammdaten!F$68,Bewertung_Stammdaten!E$68,IF(AY3&lt;Bewertung_Stammdaten!F$69,Bewertung_Stammdaten!E$69,IF(AY3&lt;Bewertung_Stammdaten!F$70,Bewertung_Stammdaten!E$70,IF(AY3&lt;Bewertung_Stammdaten!F$71,Bewertung_Stammdaten!E$71,IF(AY3&lt;Bewertung_Stammdaten!F$72,Bewertung_Stammdaten!E$72,Bewertung_Stammdaten!E$73)))))))))</f>
        <v>6</v>
      </c>
      <c r="BC3" s="32">
        <f ca="1">IF(AZ3&lt;Bewertung_Stammdaten!J$64,Bewertung_Stammdaten!I$64,IF(AZ3&lt;Bewertung_Stammdaten!J$65,Bewertung_Stammdaten!I$65,IF(AZ3&lt;Bewertung_Stammdaten!J$66,Bewertung_Stammdaten!I$66,IF(AZ3&lt;Bewertung_Stammdaten!J$67,Bewertung_Stammdaten!I$67,IF(AZ3&lt;Bewertung_Stammdaten!J$68,Bewertung_Stammdaten!I$68,IF(AZ3&lt;Bewertung_Stammdaten!J$69,Bewertung_Stammdaten!I$69,IF(AZ3&lt;Bewertung_Stammdaten!J$70,Bewertung_Stammdaten!I$70,IF(AZ3&lt;Bewertung_Stammdaten!J$71,Bewertung_Stammdaten!I$71,IF(AZ3&lt;Bewertung_Stammdaten!J$72,Bewertung_Stammdaten!I$72,Bewertung_Stammdaten!I$73)))))))))</f>
        <v>5</v>
      </c>
      <c r="BD3" s="43"/>
      <c r="BE3" s="12">
        <f>VLOOKUP(A3,Aktien_im_Umlauf_splitbereinigt!A$3:Z$103,26,FALSE)</f>
        <v>-9.8092643051772566E-4</v>
      </c>
      <c r="BF3" s="12">
        <f>VLOOKUP(A3,Aktien_im_Umlauf_splitbereinigt!A$3:Y$103,24,FALSE)</f>
        <v>-1.6325292695032061E-2</v>
      </c>
      <c r="BG3" s="12">
        <f>VLOOKUP(A3,Aktien_im_Umlauf_splitbereinigt!A$3:Y$103,25,FALSE)</f>
        <v>-0.93991370024157483</v>
      </c>
      <c r="BH3" s="41">
        <f>IF(BE3&lt;Bewertung_Stammdaten!B$77,Bewertung_Stammdaten!A$77,IF(BE3&lt;Bewertung_Stammdaten!B$78,Bewertung_Stammdaten!A$78,IF(BE3&lt;Bewertung_Stammdaten!B$79,Bewertung_Stammdaten!A$79,IF(BE3&lt;Bewertung_Stammdaten!B$80,Bewertung_Stammdaten!A$80,IF(BE3&lt;Bewertung_Stammdaten!B$81,Bewertung_Stammdaten!A$81,IF(BE3&lt;Bewertung_Stammdaten!B$82,Bewertung_Stammdaten!A$82,IF(BE3&lt;Bewertung_Stammdaten!B$83,Bewertung_Stammdaten!A$83,IF(BE3&lt;Bewertung_Stammdaten!B$84,Bewertung_Stammdaten!A$84,IF(BE3&lt;Bewertung_Stammdaten!B$85,Bewertung_Stammdaten!A$85,Bewertung_Stammdaten!A$86)))))))))</f>
        <v>3</v>
      </c>
      <c r="BI3" s="41">
        <f>IF(BF3&lt;Bewertung_Stammdaten!F$77,Bewertung_Stammdaten!E$77,IF(BF3&lt;Bewertung_Stammdaten!F$78,Bewertung_Stammdaten!E$78,IF(BF3&lt;Bewertung_Stammdaten!F$79,Bewertung_Stammdaten!E$79,IF(BF3&lt;Bewertung_Stammdaten!F$80,Bewertung_Stammdaten!E$80,IF(BF3&lt;Bewertung_Stammdaten!F$81,Bewertung_Stammdaten!E$81,IF(BF3&lt;Bewertung_Stammdaten!F$82,Bewertung_Stammdaten!E$82,IF(BF3&lt;Bewertung_Stammdaten!F$83,Bewertung_Stammdaten!E$83,IF(BF3&lt;Bewertung_Stammdaten!F$84,Bewertung_Stammdaten!E$84,IF(BF3&lt;Bewertung_Stammdaten!F$85,Bewertung_Stammdaten!E$85,Bewertung_Stammdaten!E$86)))))))))</f>
        <v>6</v>
      </c>
      <c r="BJ3" s="41">
        <f>IF(BG3&lt;Bewertung_Stammdaten!J$77,Bewertung_Stammdaten!I$77,IF(BG3&lt;Bewertung_Stammdaten!J$78,Bewertung_Stammdaten!I$78,IF(BG3&lt;Bewertung_Stammdaten!J$79,Bewertung_Stammdaten!I$79,IF(BG3&lt;Bewertung_Stammdaten!J$80,Bewertung_Stammdaten!I$80,IF(BG3&lt;Bewertung_Stammdaten!J$81,Bewertung_Stammdaten!I$81,IF(BG3&lt;Bewertung_Stammdaten!J$82,Bewertung_Stammdaten!I$82,IF(BG3&lt;Bewertung_Stammdaten!J$83,Bewertung_Stammdaten!I$83,IF(BG3&lt;Bewertung_Stammdaten!J$84,Bewertung_Stammdaten!I$84,IF(BG3&lt;Bewertung_Stammdaten!J$85,Bewertung_Stammdaten!I$85,Bewertung_Stammdaten!I$86)))))))))</f>
        <v>1.5</v>
      </c>
      <c r="BK3" s="43"/>
      <c r="BL3" s="12">
        <f ca="1">VLOOKUP(A3,Ausschüttungsquote!A$3:X$103,23,FALSE)</f>
        <v>0.68726139601139602</v>
      </c>
      <c r="BM3" s="12">
        <f>VLOOKUP(A3,Ausschüttungsquote!A$3:X$103,19,FALSE)</f>
        <v>0.53018057216039038</v>
      </c>
      <c r="BN3" s="12">
        <f ca="1">VLOOKUP(A3,Ausschüttungsquote!A$3:X$103,24,FALSE)</f>
        <v>0.29627797037324388</v>
      </c>
      <c r="BO3" s="32">
        <f ca="1">IF(BL3&lt;Bewertung_Stammdaten!B$90,Bewertung_Stammdaten!A$90,IF(BL3&lt;Bewertung_Stammdaten!B$91,Bewertung_Stammdaten!A$91,IF(BL3&lt;Bewertung_Stammdaten!B$92,Bewertung_Stammdaten!A$92,IF(BL3&lt;Bewertung_Stammdaten!B$93,Bewertung_Stammdaten!A$93,IF(BL3&lt;Bewertung_Stammdaten!B$94,Bewertung_Stammdaten!A$94,IF(BL3&lt;Bewertung_Stammdaten!B$95,Bewertung_Stammdaten!A$95,IF(BL3&lt;Bewertung_Stammdaten!B$96,Bewertung_Stammdaten!A$96,IF(BL3&lt;Bewertung_Stammdaten!B$97,Bewertung_Stammdaten!A$97,IF(BL3&lt;Bewertung_Stammdaten!B$98,Bewertung_Stammdaten!A$98,Bewertung_Stammdaten!A$99)))))))))</f>
        <v>4</v>
      </c>
      <c r="BP3" s="41">
        <f>IF(BM3&lt;Bewertung_Stammdaten!F$90,Bewertung_Stammdaten!E$90,IF(BM3&lt;Bewertung_Stammdaten!F$91,Bewertung_Stammdaten!E$91,IF(BM3&lt;Bewertung_Stammdaten!F$92,Bewertung_Stammdaten!E$92,IF(BM3&lt;Bewertung_Stammdaten!F$93,Bewertung_Stammdaten!E$93,IF(BM3&lt;Bewertung_Stammdaten!F$94,Bewertung_Stammdaten!E$94,IF(BM3&lt;Bewertung_Stammdaten!F$95,Bewertung_Stammdaten!E$95,IF(BM3&lt;Bewertung_Stammdaten!F$96,Bewertung_Stammdaten!E$96,IF(BM3&lt;Bewertung_Stammdaten!F$97,Bewertung_Stammdaten!E$97,IF(BM3&lt;Bewertung_Stammdaten!F$98,Bewertung_Stammdaten!E$98,Bewertung_Stammdaten!E$99)))))))))</f>
        <v>7</v>
      </c>
      <c r="BQ3" s="32">
        <f ca="1">IF(BN3&lt;Bewertung_Stammdaten!J$90,Bewertung_Stammdaten!I$90,IF(BN3&lt;Bewertung_Stammdaten!J$91,Bewertung_Stammdaten!I$91,IF(BN3&lt;Bewertung_Stammdaten!J$92,Bewertung_Stammdaten!I$92,IF(BN3&lt;Bewertung_Stammdaten!J$93,Bewertung_Stammdaten!I$93,IF(BN3&lt;Bewertung_Stammdaten!J$94,Bewertung_Stammdaten!I$94,IF(BN3&lt;Bewertung_Stammdaten!J$95,Bewertung_Stammdaten!I$95,IF(BN3&lt;Bewertung_Stammdaten!J$96,Bewertung_Stammdaten!I$96,IF(BN3&lt;Bewertung_Stammdaten!J$97,Bewertung_Stammdaten!I$97,IF(BN3&lt;Bewertung_Stammdaten!J$98,Bewertung_Stammdaten!I$98,Bewertung_Stammdaten!I$99)))))))))</f>
        <v>1</v>
      </c>
    </row>
    <row r="4" spans="1:69" x14ac:dyDescent="0.25">
      <c r="A4" s="38" t="s">
        <v>2</v>
      </c>
      <c r="B4" s="38" t="s">
        <v>3</v>
      </c>
      <c r="C4" s="38" t="s">
        <v>296</v>
      </c>
      <c r="D4" s="32">
        <f t="shared" ca="1" si="0"/>
        <v>156.5</v>
      </c>
      <c r="E4" s="43"/>
      <c r="F4" s="66">
        <v>1</v>
      </c>
      <c r="G4" s="11">
        <f ca="1">VLOOKUP(A4,KGV!A$3:R$103,17,FALSE)</f>
        <v>19.189542137452058</v>
      </c>
      <c r="H4" s="11">
        <f>VLOOKUP(A4,KGV!A$3:R$103,16,FALSE)</f>
        <v>16.958618918918919</v>
      </c>
      <c r="I4" s="12">
        <f ca="1">VLOOKUP(A4,KGV!A$3:R$103,18,FALSE)</f>
        <v>0.13155099652863456</v>
      </c>
      <c r="J4" s="16">
        <f t="shared" ca="1" si="1"/>
        <v>24.733187643827097</v>
      </c>
      <c r="K4" s="12">
        <f t="shared" ca="1" si="2"/>
        <v>0.45844350663690681</v>
      </c>
      <c r="L4" s="11">
        <f ca="1">VLOOKUP(A4,KBV!A$3:R$103,17,FALSE)</f>
        <v>3.247119205065689</v>
      </c>
      <c r="M4" s="11">
        <f>VLOOKUP(A4,KBV!A$3:R$103,16,FALSE)</f>
        <v>2.8806955835962147</v>
      </c>
      <c r="N4" s="12">
        <f ca="1">VLOOKUP(A4,KBV!A$3:R$103,18,FALSE)</f>
        <v>0.12719970258434476</v>
      </c>
      <c r="O4" s="16">
        <f t="shared" ref="O4:O67" ca="1" si="9">IF(W4&gt;0,L4,IF(L4/(1+W4)&lt;0,99,L4/(1+W4)))</f>
        <v>3.3726010997699225</v>
      </c>
      <c r="P4" s="12">
        <f t="shared" ref="P4:P67" ca="1" si="10">(O4/M4)-1</f>
        <v>0.17075928431133325</v>
      </c>
      <c r="Q4" s="32">
        <f ca="1">IF(F4=1,IF(I4&lt;Bewertung_Stammdaten!B$12,Bewertung_Stammdaten!A$12,IF(I4&lt;Bewertung_Stammdaten!B$13,Bewertung_Stammdaten!A$13,IF(I4&lt;Bewertung_Stammdaten!B$14,Bewertung_Stammdaten!A$14,IF(I4&lt;Bewertung_Stammdaten!B$15,Bewertung_Stammdaten!A$15,IF(I4&lt;Bewertung_Stammdaten!B$16,Bewertung_Stammdaten!A$16,IF(I4&lt;Bewertung_Stammdaten!B$17,Bewertung_Stammdaten!A$17,IF(I4&lt;Bewertung_Stammdaten!B$18,Bewertung_Stammdaten!A$18,IF(I4&lt;Bewertung_Stammdaten!B$19,Bewertung_Stammdaten!A$19,IF(I4&lt;Bewertung_Stammdaten!B$20,Bewertung_Stammdaten!A$20,Bewertung_Stammdaten!A$21))))))))),IF(N4&lt;Bewertung_Stammdaten!C$12,Bewertung_Stammdaten!A$12,IF(N4&lt;Bewertung_Stammdaten!C$13,Bewertung_Stammdaten!A$13,IF(N4&lt;Bewertung_Stammdaten!C$14,Bewertung_Stammdaten!A$14,IF(N4&lt;Bewertung_Stammdaten!C$15,Bewertung_Stammdaten!A$15,IF(N4&lt;Bewertung_Stammdaten!C$16,Bewertung_Stammdaten!A$16,IF(N4&lt;Bewertung_Stammdaten!C$17,Bewertung_Stammdaten!A$17,IF(N4&lt;Bewertung_Stammdaten!C$18,Bewertung_Stammdaten!A$18,IF(N4&lt;Bewertung_Stammdaten!C$19,Bewertung_Stammdaten!A$19,IF(N4&lt;Bewertung_Stammdaten!C$20,Bewertung_Stammdaten!A$20,Bewertung_Stammdaten!A$21))))))))))</f>
        <v>24</v>
      </c>
      <c r="R4" s="32">
        <f ca="1">IF(F4=1,IF(K4&lt;Bewertung_Stammdaten!F$12,Bewertung_Stammdaten!E$12,IF(K4&lt;Bewertung_Stammdaten!F$13,Bewertung_Stammdaten!E$13,IF(K4&lt;Bewertung_Stammdaten!F$14,Bewertung_Stammdaten!E$14,IF(K4&lt;Bewertung_Stammdaten!F$15,Bewertung_Stammdaten!E$15,IF(K4&lt;Bewertung_Stammdaten!F$16,Bewertung_Stammdaten!E$16,IF(K4&lt;Bewertung_Stammdaten!F$17,Bewertung_Stammdaten!E$17,IF(K4&lt;Bewertung_Stammdaten!F$18,Bewertung_Stammdaten!E$18,IF(K4&lt;Bewertung_Stammdaten!F$19,Bewertung_Stammdaten!E$19,IF(K4&lt;Bewertung_Stammdaten!F$20,Bewertung_Stammdaten!E$20,Bewertung_Stammdaten!E$21))))))))),IF(P4&lt;Bewertung_Stammdaten!G$12,Bewertung_Stammdaten!E$12,IF(P4&lt;Bewertung_Stammdaten!G$13,Bewertung_Stammdaten!E$13,IF(P4&lt;Bewertung_Stammdaten!G$14,Bewertung_Stammdaten!E$14,IF(P4&lt;Bewertung_Stammdaten!G$15,Bewertung_Stammdaten!E$15,IF(P4&lt;Bewertung_Stammdaten!G$16,Bewertung_Stammdaten!E$16,IF(P4&lt;Bewertung_Stammdaten!G$17,Bewertung_Stammdaten!E$17,IF(P4&lt;Bewertung_Stammdaten!G$18,Bewertung_Stammdaten!E$18,IF(P4&lt;Bewertung_Stammdaten!G$19,Bewertung_Stammdaten!E$19,IF(P4&lt;Bewertung_Stammdaten!G$20,Bewertung_Stammdaten!E$20,Bewertung_Stammdaten!E$21))))))))))</f>
        <v>2.5</v>
      </c>
      <c r="S4" s="43"/>
      <c r="T4" s="11">
        <f ca="1">VLOOKUP(A4,Buchwert_je_Aktie!A$3:AK$103,23,FALSE)</f>
        <v>31.672777777777778</v>
      </c>
      <c r="U4" s="11">
        <f>VLOOKUP(A4,Buchwert_je_Aktie!A$3:AK$103,19,FALSE)</f>
        <v>24.302307692307693</v>
      </c>
      <c r="V4" s="12">
        <f ca="1">VLOOKUP(A4,Buchwert_je_Aktie!A$3:AK$103,24,FALSE)</f>
        <v>0.30328272437283932</v>
      </c>
      <c r="W4" s="12">
        <f>VLOOKUP(A4,Buchwert_je_Aktie!A$3:AK$103,37,FALSE)</f>
        <v>-3.7206266318537851E-2</v>
      </c>
      <c r="X4" s="16">
        <f t="shared" ca="1" si="3"/>
        <v>30.494351972729909</v>
      </c>
      <c r="Y4" s="12">
        <f t="shared" ca="1" si="4"/>
        <v>0.25479244024147385</v>
      </c>
      <c r="Z4" s="51">
        <f ca="1">IF(V4&lt;Bewertung_Stammdaten!B$25,Bewertung_Stammdaten!A$25,IF(V4&lt;Bewertung_Stammdaten!B$26,Bewertung_Stammdaten!A$26,IF(V4&lt;Bewertung_Stammdaten!B$27,Bewertung_Stammdaten!A$27,IF(V4&lt;Bewertung_Stammdaten!B$28,Bewertung_Stammdaten!A$28,IF(V4&lt;Bewertung_Stammdaten!B$29,Bewertung_Stammdaten!A$29,IF(V4&lt;Bewertung_Stammdaten!B$30,Bewertung_Stammdaten!A$30,IF(V4&lt;Bewertung_Stammdaten!B$31,Bewertung_Stammdaten!A$31,IF(V4&lt;Bewertung_Stammdaten!B$32,Bewertung_Stammdaten!A$32,IF(V4&lt;Bewertung_Stammdaten!B$33,Bewertung_Stammdaten!A$33,Bewertung_Stammdaten!A$34)))))))))</f>
        <v>9</v>
      </c>
      <c r="AA4" s="51">
        <f>IF(W4&lt;Bewertung_Stammdaten!F$25,Bewertung_Stammdaten!E$25,IF(W4&lt;Bewertung_Stammdaten!F$26,Bewertung_Stammdaten!E$26,IF(W4&lt;Bewertung_Stammdaten!F$27,Bewertung_Stammdaten!E$27,IF(W4&lt;Bewertung_Stammdaten!F$28,Bewertung_Stammdaten!E$28,IF(W4&lt;Bewertung_Stammdaten!F$29,Bewertung_Stammdaten!E$29,IF(W4&lt;Bewertung_Stammdaten!F$30,Bewertung_Stammdaten!E$30,IF(W4&lt;Bewertung_Stammdaten!F$31,Bewertung_Stammdaten!E$31,IF(W4&lt;Bewertung_Stammdaten!F$32,Bewertung_Stammdaten!E$32,IF(W4&lt;Bewertung_Stammdaten!F$33,Bewertung_Stammdaten!E$33,Bewertung_Stammdaten!E$34)))))))))</f>
        <v>10.5</v>
      </c>
      <c r="AB4" s="51">
        <f ca="1">IF(Y4&lt;Bewertung_Stammdaten!J$25,Bewertung_Stammdaten!I$25,IF(Y4&lt;Bewertung_Stammdaten!J$26,Bewertung_Stammdaten!I$26,IF(Y4&lt;Bewertung_Stammdaten!J$27,Bewertung_Stammdaten!I$27,IF(Y4&lt;Bewertung_Stammdaten!J$28,Bewertung_Stammdaten!I$28,IF(Y4&lt;Bewertung_Stammdaten!J$29,Bewertung_Stammdaten!I$29,IF(Y4&lt;Bewertung_Stammdaten!J$30,Bewertung_Stammdaten!I$30,IF(Y4&lt;Bewertung_Stammdaten!J$31,Bewertung_Stammdaten!I$31,IF(Y4&lt;Bewertung_Stammdaten!J$32,Bewertung_Stammdaten!I$32,IF(Y4&lt;Bewertung_Stammdaten!J$33,Bewertung_Stammdaten!I$33,Bewertung_Stammdaten!I$34)))))))))</f>
        <v>5</v>
      </c>
      <c r="AC4" s="43"/>
      <c r="AD4" s="14">
        <f ca="1">VLOOKUP(A4,Ergebnis_je_Aktie_verwässert!A$3:AK$103,23,FALSE)</f>
        <v>5.3594444444444447</v>
      </c>
      <c r="AE4" s="14">
        <f>VLOOKUP(A4,Ergebnis_je_Aktie_verwässert!A$3:AK$103,19,FALSE)</f>
        <v>3.9392307692307686</v>
      </c>
      <c r="AF4" s="12">
        <f ca="1">VLOOKUP(A4,Ergebnis_je_Aktie_verwässert!A$3:AK$103,24,FALSE)</f>
        <v>0.36053071231747302</v>
      </c>
      <c r="AG4" s="40">
        <f>VLOOKUP(A4,Ergebnis_je_Aktie_verwässert!A$3:AK$103,37,FALSE)</f>
        <v>-0.22413793103448276</v>
      </c>
      <c r="AH4" s="16">
        <f t="shared" ca="1" si="5"/>
        <v>4.1581896551724142</v>
      </c>
      <c r="AI4" s="12">
        <f t="shared" ca="1" si="6"/>
        <v>5.558417334976351E-2</v>
      </c>
      <c r="AJ4" s="32">
        <f ca="1">IF(AF4&lt;Bewertung_Stammdaten!B$38,Bewertung_Stammdaten!A$38,IF(AF4&lt;Bewertung_Stammdaten!B$39,Bewertung_Stammdaten!A$39,IF(AF4&lt;Bewertung_Stammdaten!B$40,Bewertung_Stammdaten!A$40,IF(AF4&lt;Bewertung_Stammdaten!B$41,Bewertung_Stammdaten!A$41,IF(AF4&lt;Bewertung_Stammdaten!B$42,Bewertung_Stammdaten!A$42,IF(AF4&lt;Bewertung_Stammdaten!B$43,Bewertung_Stammdaten!A$43,IF(AF4&lt;Bewertung_Stammdaten!B$44,Bewertung_Stammdaten!A$44,IF(AF4&lt;Bewertung_Stammdaten!B$45,Bewertung_Stammdaten!A$45,IF(AF4&lt;Bewertung_Stammdaten!B$46,Bewertung_Stammdaten!A$46,Bewertung_Stammdaten!A$47)))))))))</f>
        <v>14</v>
      </c>
      <c r="AK4" s="32">
        <f>IF(AG4&lt;Bewertung_Stammdaten!F$38,Bewertung_Stammdaten!E$38,IF(AG4&lt;Bewertung_Stammdaten!F$39,Bewertung_Stammdaten!E$39,IF(AG4&lt;Bewertung_Stammdaten!F$40,Bewertung_Stammdaten!E$40,IF(AG4&lt;Bewertung_Stammdaten!F$41,Bewertung_Stammdaten!E$41,IF(AG4&lt;Bewertung_Stammdaten!F$42,Bewertung_Stammdaten!E$42,IF(AG4&lt;Bewertung_Stammdaten!F$43,Bewertung_Stammdaten!E$43,IF(AG4&lt;Bewertung_Stammdaten!F$44,Bewertung_Stammdaten!E$44,IF(AG4&lt;Bewertung_Stammdaten!F$45,Bewertung_Stammdaten!E$45,IF(AG4&lt;Bewertung_Stammdaten!F$46,Bewertung_Stammdaten!E$46,Bewertung_Stammdaten!E$47)))))))))</f>
        <v>7.5</v>
      </c>
      <c r="AL4" s="32">
        <f ca="1">IF(AI4&lt;Bewertung_Stammdaten!J$38,Bewertung_Stammdaten!I$38,IF(AI4&lt;Bewertung_Stammdaten!J$39,Bewertung_Stammdaten!I$39,IF(AI4&lt;Bewertung_Stammdaten!J$40,Bewertung_Stammdaten!I$40,IF(AI4&lt;Bewertung_Stammdaten!J$41,Bewertung_Stammdaten!I$41,IF(AI4&lt;Bewertung_Stammdaten!J$42,Bewertung_Stammdaten!I$42,IF(AI4&lt;Bewertung_Stammdaten!J$43,Bewertung_Stammdaten!I$43,IF(AI4&lt;Bewertung_Stammdaten!J$44,Bewertung_Stammdaten!I$44,IF(AI4&lt;Bewertung_Stammdaten!J$45,Bewertung_Stammdaten!I$45,IF(AI4&lt;Bewertung_Stammdaten!J$46,Bewertung_Stammdaten!I$46,Bewertung_Stammdaten!I$47)))))))))</f>
        <v>5</v>
      </c>
      <c r="AM4" s="43"/>
      <c r="AN4" s="14">
        <f ca="1">VLOOKUP(A4,Dividende_je_Aktie!A$3:AM$103,24,FALSE)</f>
        <v>2.831</v>
      </c>
      <c r="AO4" s="14">
        <f>VLOOKUP(A4,Dividende_je_Aktie!A$3:AM$103,20,FALSE)</f>
        <v>2.132857142857143</v>
      </c>
      <c r="AP4" s="12">
        <f ca="1">VLOOKUP(A4,Dividende_je_Aktie!A$3:AM$103,25,FALSE)</f>
        <v>0.32732752846617541</v>
      </c>
      <c r="AQ4" s="40">
        <f>VLOOKUP(A4,Dividende_je_Aktie!A$3:AM$103,39,FALSE)</f>
        <v>-5.0541516245487417E-2</v>
      </c>
      <c r="AR4" s="16">
        <f t="shared" ca="1" si="7"/>
        <v>2.6879169675090249</v>
      </c>
      <c r="AS4" s="12">
        <f t="shared" ca="1" si="8"/>
        <v>0.26024238262311949</v>
      </c>
      <c r="AT4" s="32">
        <f ca="1">IF(AP4&lt;Bewertung_Stammdaten!B$51,Bewertung_Stammdaten!A$51,IF(AP4&lt;Bewertung_Stammdaten!B$52,Bewertung_Stammdaten!A$52,IF(AP4&lt;Bewertung_Stammdaten!B$53,Bewertung_Stammdaten!A$53,IF(AP4&lt;Bewertung_Stammdaten!B$54,Bewertung_Stammdaten!A$54,IF(AP4&lt;Bewertung_Stammdaten!B$55,Bewertung_Stammdaten!A$55,IF(AP4&lt;Bewertung_Stammdaten!B$56,Bewertung_Stammdaten!A$56,IF(AP4&lt;Bewertung_Stammdaten!B$57,Bewertung_Stammdaten!A$57,IF(AP4&lt;Bewertung_Stammdaten!B$58,Bewertung_Stammdaten!A$58,IF(AP4&lt;Bewertung_Stammdaten!B$59,Bewertung_Stammdaten!A$59,Bewertung_Stammdaten!A$60)))))))))</f>
        <v>12</v>
      </c>
      <c r="AU4" s="32">
        <f>IF(AQ4&lt;Bewertung_Stammdaten!F$51,Bewertung_Stammdaten!E$51,IF(AQ4&lt;Bewertung_Stammdaten!F$52,Bewertung_Stammdaten!E$52,IF(AQ4&lt;Bewertung_Stammdaten!F$53,Bewertung_Stammdaten!E$53,IF(AQ4&lt;Bewertung_Stammdaten!F$54,Bewertung_Stammdaten!E$54,IF(AQ4&lt;Bewertung_Stammdaten!F$55,Bewertung_Stammdaten!E$55,IF(AQ4&lt;Bewertung_Stammdaten!F$56,Bewertung_Stammdaten!E$56,IF(AQ4&lt;Bewertung_Stammdaten!F$57,Bewertung_Stammdaten!E$57,IF(AQ4&lt;Bewertung_Stammdaten!F$58,Bewertung_Stammdaten!E$58,IF(AQ4&lt;Bewertung_Stammdaten!F$59,Bewertung_Stammdaten!E$59,Bewertung_Stammdaten!E$60)))))))))</f>
        <v>10.5</v>
      </c>
      <c r="AV4" s="32">
        <f ca="1">IF(AS4&lt;Bewertung_Stammdaten!J$51,Bewertung_Stammdaten!I$51,IF(AS4&lt;Bewertung_Stammdaten!J$52,Bewertung_Stammdaten!I$52,IF(AS4&lt;Bewertung_Stammdaten!J$53,Bewertung_Stammdaten!I$53,IF(AS4&lt;Bewertung_Stammdaten!J$54,Bewertung_Stammdaten!I$54,IF(AS4&lt;Bewertung_Stammdaten!J$55,Bewertung_Stammdaten!I$55,IF(AS4&lt;Bewertung_Stammdaten!J$56,Bewertung_Stammdaten!I$56,IF(AS4&lt;Bewertung_Stammdaten!J$57,Bewertung_Stammdaten!I$57,IF(AS4&lt;Bewertung_Stammdaten!J$58,Bewertung_Stammdaten!I$58,IF(AS4&lt;Bewertung_Stammdaten!J$59,Bewertung_Stammdaten!I$59,Bewertung_Stammdaten!I$60)))))))))</f>
        <v>7</v>
      </c>
      <c r="AW4" s="43"/>
      <c r="AX4" s="12">
        <f ca="1">VLOOKUP(A4,Dividendenrendite!A$3:R$103,17,FALSE)</f>
        <v>2.7526784528819185E-2</v>
      </c>
      <c r="AY4" s="12">
        <f>VLOOKUP(A4,Dividendenrendite!A$3:R$103,16,FALSE)</f>
        <v>3.0439539176298717E-2</v>
      </c>
      <c r="AZ4" s="12">
        <f ca="1">VLOOKUP(A4,Dividendenrendite!A$3:R$103,18,FALSE)</f>
        <v>-9.5689840460774889E-2</v>
      </c>
      <c r="BA4" s="32">
        <f ca="1">IF(AX4&lt;Bewertung_Stammdaten!B$64,Bewertung_Stammdaten!A$64,IF(AX4&lt;Bewertung_Stammdaten!B$65,Bewertung_Stammdaten!A$65,IF(AX4&lt;Bewertung_Stammdaten!B$66,Bewertung_Stammdaten!A$66,IF(AX4&lt;Bewertung_Stammdaten!B$67,Bewertung_Stammdaten!A$67,IF(AX4&lt;Bewertung_Stammdaten!B$68,Bewertung_Stammdaten!A$68,IF(AX4&lt;Bewertung_Stammdaten!B$69,Bewertung_Stammdaten!A$69,IF(AX4&lt;Bewertung_Stammdaten!B$70,Bewertung_Stammdaten!A$70,IF(AX4&lt;Bewertung_Stammdaten!B$71,Bewertung_Stammdaten!A$71,IF(AX4&lt;Bewertung_Stammdaten!B$72,Bewertung_Stammdaten!A$72,Bewertung_Stammdaten!A$73)))))))))</f>
        <v>9</v>
      </c>
      <c r="BB4" s="32">
        <f>IF(AY4&lt;Bewertung_Stammdaten!F$64,Bewertung_Stammdaten!E$64,IF(AY4&lt;Bewertung_Stammdaten!F$65,Bewertung_Stammdaten!E$65,IF(AY4&lt;Bewertung_Stammdaten!F$66,Bewertung_Stammdaten!E$66,IF(AY4&lt;Bewertung_Stammdaten!F$67,Bewertung_Stammdaten!E$67,IF(AY4&lt;Bewertung_Stammdaten!F$68,Bewertung_Stammdaten!E$68,IF(AY4&lt;Bewertung_Stammdaten!F$69,Bewertung_Stammdaten!E$69,IF(AY4&lt;Bewertung_Stammdaten!F$70,Bewertung_Stammdaten!E$70,IF(AY4&lt;Bewertung_Stammdaten!F$71,Bewertung_Stammdaten!E$71,IF(AY4&lt;Bewertung_Stammdaten!F$72,Bewertung_Stammdaten!E$72,Bewertung_Stammdaten!E$73)))))))))</f>
        <v>7</v>
      </c>
      <c r="BC4" s="32">
        <f ca="1">IF(AZ4&lt;Bewertung_Stammdaten!J$64,Bewertung_Stammdaten!I$64,IF(AZ4&lt;Bewertung_Stammdaten!J$65,Bewertung_Stammdaten!I$65,IF(AZ4&lt;Bewertung_Stammdaten!J$66,Bewertung_Stammdaten!I$66,IF(AZ4&lt;Bewertung_Stammdaten!J$67,Bewertung_Stammdaten!I$67,IF(AZ4&lt;Bewertung_Stammdaten!J$68,Bewertung_Stammdaten!I$68,IF(AZ4&lt;Bewertung_Stammdaten!J$69,Bewertung_Stammdaten!I$69,IF(AZ4&lt;Bewertung_Stammdaten!J$70,Bewertung_Stammdaten!I$70,IF(AZ4&lt;Bewertung_Stammdaten!J$71,Bewertung_Stammdaten!I$71,IF(AZ4&lt;Bewertung_Stammdaten!J$72,Bewertung_Stammdaten!I$72,Bewertung_Stammdaten!I$73)))))))))</f>
        <v>2</v>
      </c>
      <c r="BD4" s="43"/>
      <c r="BE4" s="12">
        <f>VLOOKUP(A4,Aktien_im_Umlauf_splitbereinigt!A$3:Z$103,26,FALSE)</f>
        <v>-1.1129431162407277E-2</v>
      </c>
      <c r="BF4" s="12">
        <f>VLOOKUP(A4,Aktien_im_Umlauf_splitbereinigt!A$3:Y$103,24,FALSE)</f>
        <v>-1.3921880683816217E-2</v>
      </c>
      <c r="BG4" s="12">
        <f>VLOOKUP(A4,Aktien_im_Umlauf_splitbereinigt!A$3:Y$103,25,FALSE)</f>
        <v>-0.20057990617999488</v>
      </c>
      <c r="BH4" s="41">
        <f>IF(BE4&lt;Bewertung_Stammdaten!B$77,Bewertung_Stammdaten!A$77,IF(BE4&lt;Bewertung_Stammdaten!B$78,Bewertung_Stammdaten!A$78,IF(BE4&lt;Bewertung_Stammdaten!B$79,Bewertung_Stammdaten!A$79,IF(BE4&lt;Bewertung_Stammdaten!B$80,Bewertung_Stammdaten!A$80,IF(BE4&lt;Bewertung_Stammdaten!B$81,Bewertung_Stammdaten!A$81,IF(BE4&lt;Bewertung_Stammdaten!B$82,Bewertung_Stammdaten!A$82,IF(BE4&lt;Bewertung_Stammdaten!B$83,Bewertung_Stammdaten!A$83,IF(BE4&lt;Bewertung_Stammdaten!B$84,Bewertung_Stammdaten!A$84,IF(BE4&lt;Bewertung_Stammdaten!B$85,Bewertung_Stammdaten!A$85,Bewertung_Stammdaten!A$86)))))))))</f>
        <v>5</v>
      </c>
      <c r="BI4" s="41">
        <f>IF(BF4&lt;Bewertung_Stammdaten!F$77,Bewertung_Stammdaten!E$77,IF(BF4&lt;Bewertung_Stammdaten!F$78,Bewertung_Stammdaten!E$78,IF(BF4&lt;Bewertung_Stammdaten!F$79,Bewertung_Stammdaten!E$79,IF(BF4&lt;Bewertung_Stammdaten!F$80,Bewertung_Stammdaten!E$80,IF(BF4&lt;Bewertung_Stammdaten!F$81,Bewertung_Stammdaten!E$81,IF(BF4&lt;Bewertung_Stammdaten!F$82,Bewertung_Stammdaten!E$82,IF(BF4&lt;Bewertung_Stammdaten!F$83,Bewertung_Stammdaten!E$83,IF(BF4&lt;Bewertung_Stammdaten!F$84,Bewertung_Stammdaten!E$84,IF(BF4&lt;Bewertung_Stammdaten!F$85,Bewertung_Stammdaten!E$85,Bewertung_Stammdaten!E$86)))))))))</f>
        <v>5</v>
      </c>
      <c r="BJ4" s="41">
        <f>IF(BG4&lt;Bewertung_Stammdaten!J$77,Bewertung_Stammdaten!I$77,IF(BG4&lt;Bewertung_Stammdaten!J$78,Bewertung_Stammdaten!I$78,IF(BG4&lt;Bewertung_Stammdaten!J$79,Bewertung_Stammdaten!I$79,IF(BG4&lt;Bewertung_Stammdaten!J$80,Bewertung_Stammdaten!I$80,IF(BG4&lt;Bewertung_Stammdaten!J$81,Bewertung_Stammdaten!I$81,IF(BG4&lt;Bewertung_Stammdaten!J$82,Bewertung_Stammdaten!I$82,IF(BG4&lt;Bewertung_Stammdaten!J$83,Bewertung_Stammdaten!I$83,IF(BG4&lt;Bewertung_Stammdaten!J$84,Bewertung_Stammdaten!I$84,IF(BG4&lt;Bewertung_Stammdaten!J$85,Bewertung_Stammdaten!I$85,Bewertung_Stammdaten!I$86)))))))))</f>
        <v>2.5</v>
      </c>
      <c r="BK4" s="43"/>
      <c r="BL4" s="12">
        <f ca="1">VLOOKUP(A4,Ausschüttungsquote!A$3:X$103,23,FALSE)</f>
        <v>0.53789804171988076</v>
      </c>
      <c r="BM4" s="12">
        <f>VLOOKUP(A4,Ausschüttungsquote!A$3:X$103,19,FALSE)</f>
        <v>0.55562617334584818</v>
      </c>
      <c r="BN4" s="12">
        <f ca="1">VLOOKUP(A4,Ausschüttungsquote!A$3:X$103,24,FALSE)</f>
        <v>-3.1906581216671004E-2</v>
      </c>
      <c r="BO4" s="32">
        <f ca="1">IF(BL4&lt;Bewertung_Stammdaten!B$90,Bewertung_Stammdaten!A$90,IF(BL4&lt;Bewertung_Stammdaten!B$91,Bewertung_Stammdaten!A$91,IF(BL4&lt;Bewertung_Stammdaten!B$92,Bewertung_Stammdaten!A$92,IF(BL4&lt;Bewertung_Stammdaten!B$93,Bewertung_Stammdaten!A$93,IF(BL4&lt;Bewertung_Stammdaten!B$94,Bewertung_Stammdaten!A$94,IF(BL4&lt;Bewertung_Stammdaten!B$95,Bewertung_Stammdaten!A$95,IF(BL4&lt;Bewertung_Stammdaten!B$96,Bewertung_Stammdaten!A$96,IF(BL4&lt;Bewertung_Stammdaten!B$97,Bewertung_Stammdaten!A$97,IF(BL4&lt;Bewertung_Stammdaten!B$98,Bewertung_Stammdaten!A$98,Bewertung_Stammdaten!A$99)))))))))</f>
        <v>7</v>
      </c>
      <c r="BP4" s="41">
        <f>IF(BM4&lt;Bewertung_Stammdaten!F$90,Bewertung_Stammdaten!E$90,IF(BM4&lt;Bewertung_Stammdaten!F$91,Bewertung_Stammdaten!E$91,IF(BM4&lt;Bewertung_Stammdaten!F$92,Bewertung_Stammdaten!E$92,IF(BM4&lt;Bewertung_Stammdaten!F$93,Bewertung_Stammdaten!E$93,IF(BM4&lt;Bewertung_Stammdaten!F$94,Bewertung_Stammdaten!E$94,IF(BM4&lt;Bewertung_Stammdaten!F$95,Bewertung_Stammdaten!E$95,IF(BM4&lt;Bewertung_Stammdaten!F$96,Bewertung_Stammdaten!E$96,IF(BM4&lt;Bewertung_Stammdaten!F$97,Bewertung_Stammdaten!E$97,IF(BM4&lt;Bewertung_Stammdaten!F$98,Bewertung_Stammdaten!E$98,Bewertung_Stammdaten!E$99)))))))))</f>
        <v>6</v>
      </c>
      <c r="BQ4" s="32">
        <f ca="1">IF(BN4&lt;Bewertung_Stammdaten!J$90,Bewertung_Stammdaten!I$90,IF(BN4&lt;Bewertung_Stammdaten!J$91,Bewertung_Stammdaten!I$91,IF(BN4&lt;Bewertung_Stammdaten!J$92,Bewertung_Stammdaten!I$92,IF(BN4&lt;Bewertung_Stammdaten!J$93,Bewertung_Stammdaten!I$93,IF(BN4&lt;Bewertung_Stammdaten!J$94,Bewertung_Stammdaten!I$94,IF(BN4&lt;Bewertung_Stammdaten!J$95,Bewertung_Stammdaten!I$95,IF(BN4&lt;Bewertung_Stammdaten!J$96,Bewertung_Stammdaten!I$96,IF(BN4&lt;Bewertung_Stammdaten!J$97,Bewertung_Stammdaten!I$97,IF(BN4&lt;Bewertung_Stammdaten!J$98,Bewertung_Stammdaten!I$98,Bewertung_Stammdaten!I$99)))))))))</f>
        <v>6</v>
      </c>
    </row>
    <row r="5" spans="1:69" x14ac:dyDescent="0.25">
      <c r="A5" s="38" t="s">
        <v>4</v>
      </c>
      <c r="B5" s="38" t="s">
        <v>5</v>
      </c>
      <c r="C5" s="38" t="s">
        <v>296</v>
      </c>
      <c r="D5" s="32">
        <f t="shared" ca="1" si="0"/>
        <v>167.5</v>
      </c>
      <c r="E5" s="43"/>
      <c r="F5" s="66">
        <v>1</v>
      </c>
      <c r="G5" s="11">
        <f ca="1">VLOOKUP(A5,KGV!A$3:R$103,17,FALSE)</f>
        <v>19.439884113954609</v>
      </c>
      <c r="H5" s="11">
        <f>VLOOKUP(A5,KGV!A$3:R$103,16,FALSE)</f>
        <v>18.383561643835616</v>
      </c>
      <c r="I5" s="12">
        <f ca="1">VLOOKUP(A5,KGV!A$3:R$103,18,FALSE)</f>
        <v>5.7460164171897476E-2</v>
      </c>
      <c r="J5" s="16">
        <f t="shared" ca="1" si="1"/>
        <v>23.252331322241726</v>
      </c>
      <c r="K5" s="12">
        <f t="shared" ca="1" si="2"/>
        <v>0.26484365612790328</v>
      </c>
      <c r="L5" s="11">
        <f ca="1">VLOOKUP(A5,KBV!A$3:R$103,17,FALSE)</f>
        <v>8.0027828852556766</v>
      </c>
      <c r="M5" s="11">
        <f>VLOOKUP(A5,KBV!A$3:R$103,16,FALSE)</f>
        <v>9.4761904761904745</v>
      </c>
      <c r="N5" s="12">
        <f ca="1">VLOOKUP(A5,KBV!A$3:R$103,18,FALSE)</f>
        <v>-0.15548522316397373</v>
      </c>
      <c r="O5" s="16">
        <f t="shared" ca="1" si="9"/>
        <v>8.0027828852556766</v>
      </c>
      <c r="P5" s="12">
        <f t="shared" ca="1" si="10"/>
        <v>-0.15548522316397373</v>
      </c>
      <c r="Q5" s="32">
        <f ca="1">IF(F5=1,IF(I5&lt;Bewertung_Stammdaten!B$12,Bewertung_Stammdaten!A$12,IF(I5&lt;Bewertung_Stammdaten!B$13,Bewertung_Stammdaten!A$13,IF(I5&lt;Bewertung_Stammdaten!B$14,Bewertung_Stammdaten!A$14,IF(I5&lt;Bewertung_Stammdaten!B$15,Bewertung_Stammdaten!A$15,IF(I5&lt;Bewertung_Stammdaten!B$16,Bewertung_Stammdaten!A$16,IF(I5&lt;Bewertung_Stammdaten!B$17,Bewertung_Stammdaten!A$17,IF(I5&lt;Bewertung_Stammdaten!B$18,Bewertung_Stammdaten!A$18,IF(I5&lt;Bewertung_Stammdaten!B$19,Bewertung_Stammdaten!A$19,IF(I5&lt;Bewertung_Stammdaten!B$20,Bewertung_Stammdaten!A$20,Bewertung_Stammdaten!A$21))))))))),IF(N5&lt;Bewertung_Stammdaten!C$12,Bewertung_Stammdaten!A$12,IF(N5&lt;Bewertung_Stammdaten!C$13,Bewertung_Stammdaten!A$13,IF(N5&lt;Bewertung_Stammdaten!C$14,Bewertung_Stammdaten!A$14,IF(N5&lt;Bewertung_Stammdaten!C$15,Bewertung_Stammdaten!A$15,IF(N5&lt;Bewertung_Stammdaten!C$16,Bewertung_Stammdaten!A$16,IF(N5&lt;Bewertung_Stammdaten!C$17,Bewertung_Stammdaten!A$17,IF(N5&lt;Bewertung_Stammdaten!C$18,Bewertung_Stammdaten!A$18,IF(N5&lt;Bewertung_Stammdaten!C$19,Bewertung_Stammdaten!A$19,IF(N5&lt;Bewertung_Stammdaten!C$20,Bewertung_Stammdaten!A$20,Bewertung_Stammdaten!A$21))))))))))</f>
        <v>30</v>
      </c>
      <c r="R5" s="32">
        <f ca="1">IF(F5=1,IF(K5&lt;Bewertung_Stammdaten!F$12,Bewertung_Stammdaten!E$12,IF(K5&lt;Bewertung_Stammdaten!F$13,Bewertung_Stammdaten!E$13,IF(K5&lt;Bewertung_Stammdaten!F$14,Bewertung_Stammdaten!E$14,IF(K5&lt;Bewertung_Stammdaten!F$15,Bewertung_Stammdaten!E$15,IF(K5&lt;Bewertung_Stammdaten!F$16,Bewertung_Stammdaten!E$16,IF(K5&lt;Bewertung_Stammdaten!F$17,Bewertung_Stammdaten!E$17,IF(K5&lt;Bewertung_Stammdaten!F$18,Bewertung_Stammdaten!E$18,IF(K5&lt;Bewertung_Stammdaten!F$19,Bewertung_Stammdaten!E$19,IF(K5&lt;Bewertung_Stammdaten!F$20,Bewertung_Stammdaten!E$20,Bewertung_Stammdaten!E$21))))))))),IF(P5&lt;Bewertung_Stammdaten!G$12,Bewertung_Stammdaten!E$12,IF(P5&lt;Bewertung_Stammdaten!G$13,Bewertung_Stammdaten!E$13,IF(P5&lt;Bewertung_Stammdaten!G$14,Bewertung_Stammdaten!E$14,IF(P5&lt;Bewertung_Stammdaten!G$15,Bewertung_Stammdaten!E$15,IF(P5&lt;Bewertung_Stammdaten!G$16,Bewertung_Stammdaten!E$16,IF(P5&lt;Bewertung_Stammdaten!G$17,Bewertung_Stammdaten!E$17,IF(P5&lt;Bewertung_Stammdaten!G$18,Bewertung_Stammdaten!E$18,IF(P5&lt;Bewertung_Stammdaten!G$19,Bewertung_Stammdaten!E$19,IF(P5&lt;Bewertung_Stammdaten!G$20,Bewertung_Stammdaten!E$20,Bewertung_Stammdaten!E$21))))))))))</f>
        <v>10</v>
      </c>
      <c r="S5" s="43"/>
      <c r="T5" s="11">
        <f ca="1">VLOOKUP(A5,Buchwert_je_Aktie!A$3:AK$103,23,FALSE)</f>
        <v>33.538333333333334</v>
      </c>
      <c r="U5" s="11">
        <f>VLOOKUP(A5,Buchwert_je_Aktie!A$3:AK$103,19,FALSE)</f>
        <v>23.313333333333336</v>
      </c>
      <c r="V5" s="12">
        <f ca="1">VLOOKUP(A5,Buchwert_je_Aktie!A$3:AK$103,24,FALSE)</f>
        <v>0.43859022018873306</v>
      </c>
      <c r="W5" s="12">
        <f>VLOOKUP(A5,Buchwert_je_Aktie!A$3:AK$103,37,FALSE)</f>
        <v>1.5198927134555174E-2</v>
      </c>
      <c r="X5" s="16">
        <f t="shared" ca="1" si="3"/>
        <v>33.538333333333334</v>
      </c>
      <c r="Y5" s="12">
        <f t="shared" ca="1" si="4"/>
        <v>0.43859022018873306</v>
      </c>
      <c r="Z5" s="51">
        <f ca="1">IF(V5&lt;Bewertung_Stammdaten!B$25,Bewertung_Stammdaten!A$25,IF(V5&lt;Bewertung_Stammdaten!B$26,Bewertung_Stammdaten!A$26,IF(V5&lt;Bewertung_Stammdaten!B$27,Bewertung_Stammdaten!A$27,IF(V5&lt;Bewertung_Stammdaten!B$28,Bewertung_Stammdaten!A$28,IF(V5&lt;Bewertung_Stammdaten!B$29,Bewertung_Stammdaten!A$29,IF(V5&lt;Bewertung_Stammdaten!B$30,Bewertung_Stammdaten!A$30,IF(V5&lt;Bewertung_Stammdaten!B$31,Bewertung_Stammdaten!A$31,IF(V5&lt;Bewertung_Stammdaten!B$32,Bewertung_Stammdaten!A$32,IF(V5&lt;Bewertung_Stammdaten!B$33,Bewertung_Stammdaten!A$33,Bewertung_Stammdaten!A$34)))))))))</f>
        <v>10.5</v>
      </c>
      <c r="AA5" s="51">
        <f>IF(W5&lt;Bewertung_Stammdaten!F$25,Bewertung_Stammdaten!E$25,IF(W5&lt;Bewertung_Stammdaten!F$26,Bewertung_Stammdaten!E$26,IF(W5&lt;Bewertung_Stammdaten!F$27,Bewertung_Stammdaten!E$27,IF(W5&lt;Bewertung_Stammdaten!F$28,Bewertung_Stammdaten!E$28,IF(W5&lt;Bewertung_Stammdaten!F$29,Bewertung_Stammdaten!E$29,IF(W5&lt;Bewertung_Stammdaten!F$30,Bewertung_Stammdaten!E$30,IF(W5&lt;Bewertung_Stammdaten!F$31,Bewertung_Stammdaten!E$31,IF(W5&lt;Bewertung_Stammdaten!F$32,Bewertung_Stammdaten!E$32,IF(W5&lt;Bewertung_Stammdaten!F$33,Bewertung_Stammdaten!E$33,Bewertung_Stammdaten!E$34)))))))))</f>
        <v>12</v>
      </c>
      <c r="AB5" s="51">
        <f ca="1">IF(Y5&lt;Bewertung_Stammdaten!J$25,Bewertung_Stammdaten!I$25,IF(Y5&lt;Bewertung_Stammdaten!J$26,Bewertung_Stammdaten!I$26,IF(Y5&lt;Bewertung_Stammdaten!J$27,Bewertung_Stammdaten!I$27,IF(Y5&lt;Bewertung_Stammdaten!J$28,Bewertung_Stammdaten!I$28,IF(Y5&lt;Bewertung_Stammdaten!J$29,Bewertung_Stammdaten!I$29,IF(Y5&lt;Bewertung_Stammdaten!J$30,Bewertung_Stammdaten!I$30,IF(Y5&lt;Bewertung_Stammdaten!J$31,Bewertung_Stammdaten!I$31,IF(Y5&lt;Bewertung_Stammdaten!J$32,Bewertung_Stammdaten!I$32,IF(Y5&lt;Bewertung_Stammdaten!J$33,Bewertung_Stammdaten!I$33,Bewertung_Stammdaten!I$34)))))))))</f>
        <v>7</v>
      </c>
      <c r="AC5" s="43"/>
      <c r="AD5" s="14">
        <f ca="1">VLOOKUP(A5,Ergebnis_je_Aktie_verwässert!A$3:AK$103,23,FALSE)</f>
        <v>13.806666666666668</v>
      </c>
      <c r="AE5" s="14">
        <f>VLOOKUP(A5,Ergebnis_je_Aktie_verwässert!A$3:AK$103,19,FALSE)</f>
        <v>11.204615384615387</v>
      </c>
      <c r="AF5" s="12">
        <f ca="1">VLOOKUP(A5,Ergebnis_je_Aktie_verwässert!A$3:AK$103,24,FALSE)</f>
        <v>0.2322303080232504</v>
      </c>
      <c r="AG5" s="40">
        <f>VLOOKUP(A5,Ergebnis_je_Aktie_verwässert!A$3:AK$103,37,FALSE)</f>
        <v>-0.16395978344934259</v>
      </c>
      <c r="AH5" s="16">
        <f t="shared" ca="1" si="5"/>
        <v>11.542928589842745</v>
      </c>
      <c r="AI5" s="12">
        <f t="shared" ca="1" si="6"/>
        <v>3.0194093560041546E-2</v>
      </c>
      <c r="AJ5" s="32">
        <f ca="1">IF(AF5&lt;Bewertung_Stammdaten!B$38,Bewertung_Stammdaten!A$38,IF(AF5&lt;Bewertung_Stammdaten!B$39,Bewertung_Stammdaten!A$39,IF(AF5&lt;Bewertung_Stammdaten!B$40,Bewertung_Stammdaten!A$40,IF(AF5&lt;Bewertung_Stammdaten!B$41,Bewertung_Stammdaten!A$41,IF(AF5&lt;Bewertung_Stammdaten!B$42,Bewertung_Stammdaten!A$42,IF(AF5&lt;Bewertung_Stammdaten!B$43,Bewertung_Stammdaten!A$43,IF(AF5&lt;Bewertung_Stammdaten!B$44,Bewertung_Stammdaten!A$44,IF(AF5&lt;Bewertung_Stammdaten!B$45,Bewertung_Stammdaten!A$45,IF(AF5&lt;Bewertung_Stammdaten!B$46,Bewertung_Stammdaten!A$46,Bewertung_Stammdaten!A$47)))))))))</f>
        <v>12</v>
      </c>
      <c r="AK5" s="32">
        <f>IF(AG5&lt;Bewertung_Stammdaten!F$38,Bewertung_Stammdaten!E$38,IF(AG5&lt;Bewertung_Stammdaten!F$39,Bewertung_Stammdaten!E$39,IF(AG5&lt;Bewertung_Stammdaten!F$40,Bewertung_Stammdaten!E$40,IF(AG5&lt;Bewertung_Stammdaten!F$41,Bewertung_Stammdaten!E$41,IF(AG5&lt;Bewertung_Stammdaten!F$42,Bewertung_Stammdaten!E$42,IF(AG5&lt;Bewertung_Stammdaten!F$43,Bewertung_Stammdaten!E$43,IF(AG5&lt;Bewertung_Stammdaten!F$44,Bewertung_Stammdaten!E$44,IF(AG5&lt;Bewertung_Stammdaten!F$45,Bewertung_Stammdaten!E$45,IF(AG5&lt;Bewertung_Stammdaten!F$46,Bewertung_Stammdaten!E$46,Bewertung_Stammdaten!E$47)))))))))</f>
        <v>9</v>
      </c>
      <c r="AL5" s="32">
        <f ca="1">IF(AI5&lt;Bewertung_Stammdaten!J$38,Bewertung_Stammdaten!I$38,IF(AI5&lt;Bewertung_Stammdaten!J$39,Bewertung_Stammdaten!I$39,IF(AI5&lt;Bewertung_Stammdaten!J$40,Bewertung_Stammdaten!I$40,IF(AI5&lt;Bewertung_Stammdaten!J$41,Bewertung_Stammdaten!I$41,IF(AI5&lt;Bewertung_Stammdaten!J$42,Bewertung_Stammdaten!I$42,IF(AI5&lt;Bewertung_Stammdaten!J$43,Bewertung_Stammdaten!I$43,IF(AI5&lt;Bewertung_Stammdaten!J$44,Bewertung_Stammdaten!I$44,IF(AI5&lt;Bewertung_Stammdaten!J$45,Bewertung_Stammdaten!I$45,IF(AI5&lt;Bewertung_Stammdaten!J$46,Bewertung_Stammdaten!I$46,Bewertung_Stammdaten!I$47)))))))))</f>
        <v>4</v>
      </c>
      <c r="AM5" s="43"/>
      <c r="AN5" s="14">
        <f ca="1">VLOOKUP(A5,Dividende_je_Aktie!A$3:AM$103,24,FALSE)</f>
        <v>8.5696111111111115</v>
      </c>
      <c r="AO5" s="14">
        <f>VLOOKUP(A5,Dividende_je_Aktie!A$3:AM$103,20,FALSE)</f>
        <v>6.21</v>
      </c>
      <c r="AP5" s="12">
        <f ca="1">VLOOKUP(A5,Dividende_je_Aktie!A$3:AM$103,25,FALSE)</f>
        <v>0.37996958310967988</v>
      </c>
      <c r="AQ5" s="40">
        <f>VLOOKUP(A5,Dividende_je_Aktie!A$3:AM$103,39,FALSE)</f>
        <v>2.5641025641025772E-2</v>
      </c>
      <c r="AR5" s="16">
        <f t="shared" ca="1" si="7"/>
        <v>8.5696111111111115</v>
      </c>
      <c r="AS5" s="12">
        <f t="shared" ca="1" si="8"/>
        <v>0.37996958310967988</v>
      </c>
      <c r="AT5" s="32">
        <f ca="1">IF(AP5&lt;Bewertung_Stammdaten!B$51,Bewertung_Stammdaten!A$51,IF(AP5&lt;Bewertung_Stammdaten!B$52,Bewertung_Stammdaten!A$52,IF(AP5&lt;Bewertung_Stammdaten!B$53,Bewertung_Stammdaten!A$53,IF(AP5&lt;Bewertung_Stammdaten!B$54,Bewertung_Stammdaten!A$54,IF(AP5&lt;Bewertung_Stammdaten!B$55,Bewertung_Stammdaten!A$55,IF(AP5&lt;Bewertung_Stammdaten!B$56,Bewertung_Stammdaten!A$56,IF(AP5&lt;Bewertung_Stammdaten!B$57,Bewertung_Stammdaten!A$57,IF(AP5&lt;Bewertung_Stammdaten!B$58,Bewertung_Stammdaten!A$58,IF(AP5&lt;Bewertung_Stammdaten!B$59,Bewertung_Stammdaten!A$59,Bewertung_Stammdaten!A$60)))))))))</f>
        <v>12</v>
      </c>
      <c r="AU5" s="32">
        <f>IF(AQ5&lt;Bewertung_Stammdaten!F$51,Bewertung_Stammdaten!E$51,IF(AQ5&lt;Bewertung_Stammdaten!F$52,Bewertung_Stammdaten!E$52,IF(AQ5&lt;Bewertung_Stammdaten!F$53,Bewertung_Stammdaten!E$53,IF(AQ5&lt;Bewertung_Stammdaten!F$54,Bewertung_Stammdaten!E$54,IF(AQ5&lt;Bewertung_Stammdaten!F$55,Bewertung_Stammdaten!E$55,IF(AQ5&lt;Bewertung_Stammdaten!F$56,Bewertung_Stammdaten!E$56,IF(AQ5&lt;Bewertung_Stammdaten!F$57,Bewertung_Stammdaten!E$57,IF(AQ5&lt;Bewertung_Stammdaten!F$58,Bewertung_Stammdaten!E$58,IF(AQ5&lt;Bewertung_Stammdaten!F$59,Bewertung_Stammdaten!E$59,Bewertung_Stammdaten!E$60)))))))))</f>
        <v>12</v>
      </c>
      <c r="AV5" s="32">
        <f ca="1">IF(AS5&lt;Bewertung_Stammdaten!J$51,Bewertung_Stammdaten!I$51,IF(AS5&lt;Bewertung_Stammdaten!J$52,Bewertung_Stammdaten!I$52,IF(AS5&lt;Bewertung_Stammdaten!J$53,Bewertung_Stammdaten!I$53,IF(AS5&lt;Bewertung_Stammdaten!J$54,Bewertung_Stammdaten!I$54,IF(AS5&lt;Bewertung_Stammdaten!J$55,Bewertung_Stammdaten!I$55,IF(AS5&lt;Bewertung_Stammdaten!J$56,Bewertung_Stammdaten!I$56,IF(AS5&lt;Bewertung_Stammdaten!J$57,Bewertung_Stammdaten!I$57,IF(AS5&lt;Bewertung_Stammdaten!J$58,Bewertung_Stammdaten!I$58,IF(AS5&lt;Bewertung_Stammdaten!J$59,Bewertung_Stammdaten!I$59,Bewertung_Stammdaten!I$60)))))))))</f>
        <v>8</v>
      </c>
      <c r="AW5" s="43"/>
      <c r="AX5" s="12">
        <f ca="1">VLOOKUP(A5,Dividendenrendite!A$3:R$103,17,FALSE)</f>
        <v>3.1928506375227692E-2</v>
      </c>
      <c r="AY5" s="12">
        <f>VLOOKUP(A5,Dividendenrendite!A$3:R$103,16,FALSE)</f>
        <v>2.9861177622213235E-2</v>
      </c>
      <c r="AZ5" s="12">
        <f ca="1">VLOOKUP(A5,Dividendenrendite!A$3:R$103,18,FALSE)</f>
        <v>6.9231320317273859E-2</v>
      </c>
      <c r="BA5" s="32">
        <f ca="1">IF(AX5&lt;Bewertung_Stammdaten!B$64,Bewertung_Stammdaten!A$64,IF(AX5&lt;Bewertung_Stammdaten!B$65,Bewertung_Stammdaten!A$65,IF(AX5&lt;Bewertung_Stammdaten!B$66,Bewertung_Stammdaten!A$66,IF(AX5&lt;Bewertung_Stammdaten!B$67,Bewertung_Stammdaten!A$67,IF(AX5&lt;Bewertung_Stammdaten!B$68,Bewertung_Stammdaten!A$68,IF(AX5&lt;Bewertung_Stammdaten!B$69,Bewertung_Stammdaten!A$69,IF(AX5&lt;Bewertung_Stammdaten!B$70,Bewertung_Stammdaten!A$70,IF(AX5&lt;Bewertung_Stammdaten!B$71,Bewertung_Stammdaten!A$71,IF(AX5&lt;Bewertung_Stammdaten!B$72,Bewertung_Stammdaten!A$72,Bewertung_Stammdaten!A$73)))))))))</f>
        <v>10.5</v>
      </c>
      <c r="BB5" s="32">
        <f>IF(AY5&lt;Bewertung_Stammdaten!F$64,Bewertung_Stammdaten!E$64,IF(AY5&lt;Bewertung_Stammdaten!F$65,Bewertung_Stammdaten!E$65,IF(AY5&lt;Bewertung_Stammdaten!F$66,Bewertung_Stammdaten!E$66,IF(AY5&lt;Bewertung_Stammdaten!F$67,Bewertung_Stammdaten!E$67,IF(AY5&lt;Bewertung_Stammdaten!F$68,Bewertung_Stammdaten!E$68,IF(AY5&lt;Bewertung_Stammdaten!F$69,Bewertung_Stammdaten!E$69,IF(AY5&lt;Bewertung_Stammdaten!F$70,Bewertung_Stammdaten!E$70,IF(AY5&lt;Bewertung_Stammdaten!F$71,Bewertung_Stammdaten!E$71,IF(AY5&lt;Bewertung_Stammdaten!F$72,Bewertung_Stammdaten!E$72,Bewertung_Stammdaten!E$73)))))))))</f>
        <v>6</v>
      </c>
      <c r="BC5" s="32">
        <f ca="1">IF(AZ5&lt;Bewertung_Stammdaten!J$64,Bewertung_Stammdaten!I$64,IF(AZ5&lt;Bewertung_Stammdaten!J$65,Bewertung_Stammdaten!I$65,IF(AZ5&lt;Bewertung_Stammdaten!J$66,Bewertung_Stammdaten!I$66,IF(AZ5&lt;Bewertung_Stammdaten!J$67,Bewertung_Stammdaten!I$67,IF(AZ5&lt;Bewertung_Stammdaten!J$68,Bewertung_Stammdaten!I$68,IF(AZ5&lt;Bewertung_Stammdaten!J$69,Bewertung_Stammdaten!I$69,IF(AZ5&lt;Bewertung_Stammdaten!J$70,Bewertung_Stammdaten!I$70,IF(AZ5&lt;Bewertung_Stammdaten!J$71,Bewertung_Stammdaten!I$71,IF(AZ5&lt;Bewertung_Stammdaten!J$72,Bewertung_Stammdaten!I$72,Bewertung_Stammdaten!I$73)))))))))</f>
        <v>3.5</v>
      </c>
      <c r="BD5" s="43"/>
      <c r="BE5" s="12">
        <f>VLOOKUP(A5,Aktien_im_Umlauf_splitbereinigt!A$3:Z$103,26,FALSE)</f>
        <v>0</v>
      </c>
      <c r="BF5" s="12">
        <f>VLOOKUP(A5,Aktien_im_Umlauf_splitbereinigt!A$3:Y$103,24,FALSE)</f>
        <v>-5.1523816884483748E-6</v>
      </c>
      <c r="BG5" s="12">
        <f>VLOOKUP(A5,Aktien_im_Umlauf_splitbereinigt!A$3:Y$103,25,FALSE)</f>
        <v>-1</v>
      </c>
      <c r="BH5" s="41">
        <f>IF(BE5&lt;Bewertung_Stammdaten!B$77,Bewertung_Stammdaten!A$77,IF(BE5&lt;Bewertung_Stammdaten!B$78,Bewertung_Stammdaten!A$78,IF(BE5&lt;Bewertung_Stammdaten!B$79,Bewertung_Stammdaten!A$79,IF(BE5&lt;Bewertung_Stammdaten!B$80,Bewertung_Stammdaten!A$80,IF(BE5&lt;Bewertung_Stammdaten!B$81,Bewertung_Stammdaten!A$81,IF(BE5&lt;Bewertung_Stammdaten!B$82,Bewertung_Stammdaten!A$82,IF(BE5&lt;Bewertung_Stammdaten!B$83,Bewertung_Stammdaten!A$83,IF(BE5&lt;Bewertung_Stammdaten!B$84,Bewertung_Stammdaten!A$84,IF(BE5&lt;Bewertung_Stammdaten!B$85,Bewertung_Stammdaten!A$85,Bewertung_Stammdaten!A$86)))))))))</f>
        <v>2</v>
      </c>
      <c r="BI5" s="41">
        <f>IF(BF5&lt;Bewertung_Stammdaten!F$77,Bewertung_Stammdaten!E$77,IF(BF5&lt;Bewertung_Stammdaten!F$78,Bewertung_Stammdaten!E$78,IF(BF5&lt;Bewertung_Stammdaten!F$79,Bewertung_Stammdaten!E$79,IF(BF5&lt;Bewertung_Stammdaten!F$80,Bewertung_Stammdaten!E$80,IF(BF5&lt;Bewertung_Stammdaten!F$81,Bewertung_Stammdaten!E$81,IF(BF5&lt;Bewertung_Stammdaten!F$82,Bewertung_Stammdaten!E$82,IF(BF5&lt;Bewertung_Stammdaten!F$83,Bewertung_Stammdaten!E$83,IF(BF5&lt;Bewertung_Stammdaten!F$84,Bewertung_Stammdaten!E$84,IF(BF5&lt;Bewertung_Stammdaten!F$85,Bewertung_Stammdaten!E$85,Bewertung_Stammdaten!E$86)))))))))</f>
        <v>3</v>
      </c>
      <c r="BJ5" s="41">
        <f>IF(BG5&lt;Bewertung_Stammdaten!J$77,Bewertung_Stammdaten!I$77,IF(BG5&lt;Bewertung_Stammdaten!J$78,Bewertung_Stammdaten!I$78,IF(BG5&lt;Bewertung_Stammdaten!J$79,Bewertung_Stammdaten!I$79,IF(BG5&lt;Bewertung_Stammdaten!J$80,Bewertung_Stammdaten!I$80,IF(BG5&lt;Bewertung_Stammdaten!J$81,Bewertung_Stammdaten!I$81,IF(BG5&lt;Bewertung_Stammdaten!J$82,Bewertung_Stammdaten!I$82,IF(BG5&lt;Bewertung_Stammdaten!J$83,Bewertung_Stammdaten!I$83,IF(BG5&lt;Bewertung_Stammdaten!J$84,Bewertung_Stammdaten!I$84,IF(BG5&lt;Bewertung_Stammdaten!J$85,Bewertung_Stammdaten!I$85,Bewertung_Stammdaten!I$86)))))))))</f>
        <v>1</v>
      </c>
      <c r="BK5" s="43"/>
      <c r="BL5" s="12">
        <f ca="1">VLOOKUP(A5,Ausschüttungsquote!A$3:X$103,23,FALSE)</f>
        <v>0.62098167836616014</v>
      </c>
      <c r="BM5" s="12">
        <f>VLOOKUP(A5,Ausschüttungsquote!A$3:X$103,19,FALSE)</f>
        <v>0.57258290874926654</v>
      </c>
      <c r="BN5" s="12">
        <f ca="1">VLOOKUP(A5,Ausschüttungsquote!A$3:X$103,24,FALSE)</f>
        <v>8.4527094464999841E-2</v>
      </c>
      <c r="BO5" s="32">
        <f ca="1">IF(BL5&lt;Bewertung_Stammdaten!B$90,Bewertung_Stammdaten!A$90,IF(BL5&lt;Bewertung_Stammdaten!B$91,Bewertung_Stammdaten!A$91,IF(BL5&lt;Bewertung_Stammdaten!B$92,Bewertung_Stammdaten!A$92,IF(BL5&lt;Bewertung_Stammdaten!B$93,Bewertung_Stammdaten!A$93,IF(BL5&lt;Bewertung_Stammdaten!B$94,Bewertung_Stammdaten!A$94,IF(BL5&lt;Bewertung_Stammdaten!B$95,Bewertung_Stammdaten!A$95,IF(BL5&lt;Bewertung_Stammdaten!B$96,Bewertung_Stammdaten!A$96,IF(BL5&lt;Bewertung_Stammdaten!B$97,Bewertung_Stammdaten!A$97,IF(BL5&lt;Bewertung_Stammdaten!B$98,Bewertung_Stammdaten!A$98,Bewertung_Stammdaten!A$99)))))))))</f>
        <v>5</v>
      </c>
      <c r="BP5" s="41">
        <f>IF(BM5&lt;Bewertung_Stammdaten!F$90,Bewertung_Stammdaten!E$90,IF(BM5&lt;Bewertung_Stammdaten!F$91,Bewertung_Stammdaten!E$91,IF(BM5&lt;Bewertung_Stammdaten!F$92,Bewertung_Stammdaten!E$92,IF(BM5&lt;Bewertung_Stammdaten!F$93,Bewertung_Stammdaten!E$93,IF(BM5&lt;Bewertung_Stammdaten!F$94,Bewertung_Stammdaten!E$94,IF(BM5&lt;Bewertung_Stammdaten!F$95,Bewertung_Stammdaten!E$95,IF(BM5&lt;Bewertung_Stammdaten!F$96,Bewertung_Stammdaten!E$96,IF(BM5&lt;Bewertung_Stammdaten!F$97,Bewertung_Stammdaten!E$97,IF(BM5&lt;Bewertung_Stammdaten!F$98,Bewertung_Stammdaten!E$98,Bewertung_Stammdaten!E$99)))))))))</f>
        <v>6</v>
      </c>
      <c r="BQ5" s="32">
        <f ca="1">IF(BN5&lt;Bewertung_Stammdaten!J$90,Bewertung_Stammdaten!I$90,IF(BN5&lt;Bewertung_Stammdaten!J$91,Bewertung_Stammdaten!I$91,IF(BN5&lt;Bewertung_Stammdaten!J$92,Bewertung_Stammdaten!I$92,IF(BN5&lt;Bewertung_Stammdaten!J$93,Bewertung_Stammdaten!I$93,IF(BN5&lt;Bewertung_Stammdaten!J$94,Bewertung_Stammdaten!I$94,IF(BN5&lt;Bewertung_Stammdaten!J$95,Bewertung_Stammdaten!I$95,IF(BN5&lt;Bewertung_Stammdaten!J$96,Bewertung_Stammdaten!I$96,IF(BN5&lt;Bewertung_Stammdaten!J$97,Bewertung_Stammdaten!I$97,IF(BN5&lt;Bewertung_Stammdaten!J$98,Bewertung_Stammdaten!I$98,Bewertung_Stammdaten!I$99)))))))))</f>
        <v>4</v>
      </c>
    </row>
    <row r="6" spans="1:69" x14ac:dyDescent="0.25">
      <c r="A6" s="38" t="s">
        <v>6</v>
      </c>
      <c r="B6" s="38" t="s">
        <v>7</v>
      </c>
      <c r="C6" s="38" t="s">
        <v>296</v>
      </c>
      <c r="D6" s="32">
        <f t="shared" ca="1" si="0"/>
        <v>140.5</v>
      </c>
      <c r="E6" s="43"/>
      <c r="F6" s="66">
        <v>1</v>
      </c>
      <c r="G6" s="11">
        <f ca="1">VLOOKUP(A6,KGV!A$3:R$103,17,FALSE)</f>
        <v>21.500603766195621</v>
      </c>
      <c r="H6" s="11">
        <f>VLOOKUP(A6,KGV!A$3:R$103,16,FALSE)</f>
        <v>19.212598425196852</v>
      </c>
      <c r="I6" s="12">
        <f ca="1">VLOOKUP(A6,KGV!A$3:R$103,18,FALSE)</f>
        <v>0.11908880258477206</v>
      </c>
      <c r="J6" s="16">
        <f t="shared" ca="1" si="1"/>
        <v>33.33603001777513</v>
      </c>
      <c r="K6" s="12">
        <f t="shared" ca="1" si="2"/>
        <v>0.73511303781042669</v>
      </c>
      <c r="L6" s="11">
        <f ca="1">VLOOKUP(A6,KBV!A$3:R$103,17,FALSE)</f>
        <v>3.1908555929576443</v>
      </c>
      <c r="M6" s="11">
        <f>VLOOKUP(A6,KBV!A$3:R$103,16,FALSE)</f>
        <v>3.0372318995141603</v>
      </c>
      <c r="N6" s="12">
        <f ca="1">VLOOKUP(A6,KBV!A$3:R$103,18,FALSE)</f>
        <v>5.0580165929396959E-2</v>
      </c>
      <c r="O6" s="16">
        <f t="shared" ca="1" si="9"/>
        <v>3.3095161147178356</v>
      </c>
      <c r="P6" s="12">
        <f t="shared" ca="1" si="10"/>
        <v>8.9648806614743615E-2</v>
      </c>
      <c r="Q6" s="32">
        <f ca="1">IF(F6=1,IF(I6&lt;Bewertung_Stammdaten!B$12,Bewertung_Stammdaten!A$12,IF(I6&lt;Bewertung_Stammdaten!B$13,Bewertung_Stammdaten!A$13,IF(I6&lt;Bewertung_Stammdaten!B$14,Bewertung_Stammdaten!A$14,IF(I6&lt;Bewertung_Stammdaten!B$15,Bewertung_Stammdaten!A$15,IF(I6&lt;Bewertung_Stammdaten!B$16,Bewertung_Stammdaten!A$16,IF(I6&lt;Bewertung_Stammdaten!B$17,Bewertung_Stammdaten!A$17,IF(I6&lt;Bewertung_Stammdaten!B$18,Bewertung_Stammdaten!A$18,IF(I6&lt;Bewertung_Stammdaten!B$19,Bewertung_Stammdaten!A$19,IF(I6&lt;Bewertung_Stammdaten!B$20,Bewertung_Stammdaten!A$20,Bewertung_Stammdaten!A$21))))))))),IF(N6&lt;Bewertung_Stammdaten!C$12,Bewertung_Stammdaten!A$12,IF(N6&lt;Bewertung_Stammdaten!C$13,Bewertung_Stammdaten!A$13,IF(N6&lt;Bewertung_Stammdaten!C$14,Bewertung_Stammdaten!A$14,IF(N6&lt;Bewertung_Stammdaten!C$15,Bewertung_Stammdaten!A$15,IF(N6&lt;Bewertung_Stammdaten!C$16,Bewertung_Stammdaten!A$16,IF(N6&lt;Bewertung_Stammdaten!C$17,Bewertung_Stammdaten!A$17,IF(N6&lt;Bewertung_Stammdaten!C$18,Bewertung_Stammdaten!A$18,IF(N6&lt;Bewertung_Stammdaten!C$19,Bewertung_Stammdaten!A$19,IF(N6&lt;Bewertung_Stammdaten!C$20,Bewertung_Stammdaten!A$20,Bewertung_Stammdaten!A$21))))))))))</f>
        <v>24</v>
      </c>
      <c r="R6" s="32">
        <f ca="1">IF(F6=1,IF(K6&lt;Bewertung_Stammdaten!F$12,Bewertung_Stammdaten!E$12,IF(K6&lt;Bewertung_Stammdaten!F$13,Bewertung_Stammdaten!E$13,IF(K6&lt;Bewertung_Stammdaten!F$14,Bewertung_Stammdaten!E$14,IF(K6&lt;Bewertung_Stammdaten!F$15,Bewertung_Stammdaten!E$15,IF(K6&lt;Bewertung_Stammdaten!F$16,Bewertung_Stammdaten!E$16,IF(K6&lt;Bewertung_Stammdaten!F$17,Bewertung_Stammdaten!E$17,IF(K6&lt;Bewertung_Stammdaten!F$18,Bewertung_Stammdaten!E$18,IF(K6&lt;Bewertung_Stammdaten!F$19,Bewertung_Stammdaten!E$19,IF(K6&lt;Bewertung_Stammdaten!F$20,Bewertung_Stammdaten!E$20,Bewertung_Stammdaten!E$21))))))))),IF(P6&lt;Bewertung_Stammdaten!G$12,Bewertung_Stammdaten!E$12,IF(P6&lt;Bewertung_Stammdaten!G$13,Bewertung_Stammdaten!E$13,IF(P6&lt;Bewertung_Stammdaten!G$14,Bewertung_Stammdaten!E$14,IF(P6&lt;Bewertung_Stammdaten!G$15,Bewertung_Stammdaten!E$15,IF(P6&lt;Bewertung_Stammdaten!G$16,Bewertung_Stammdaten!E$16,IF(P6&lt;Bewertung_Stammdaten!G$17,Bewertung_Stammdaten!E$17,IF(P6&lt;Bewertung_Stammdaten!G$18,Bewertung_Stammdaten!E$18,IF(P6&lt;Bewertung_Stammdaten!G$19,Bewertung_Stammdaten!E$19,IF(P6&lt;Bewertung_Stammdaten!G$20,Bewertung_Stammdaten!E$20,Bewertung_Stammdaten!E$21))))))))))</f>
        <v>2.5</v>
      </c>
      <c r="S6" s="43"/>
      <c r="T6" s="11">
        <f ca="1">VLOOKUP(A6,Buchwert_je_Aktie!A$3:AK$103,23,FALSE)</f>
        <v>22.940555555555555</v>
      </c>
      <c r="U6" s="11">
        <f>VLOOKUP(A6,Buchwert_je_Aktie!A$3:AK$103,19,FALSE)</f>
        <v>20.826250000000002</v>
      </c>
      <c r="V6" s="12">
        <f ca="1">VLOOKUP(A6,Buchwert_je_Aktie!A$3:AK$103,24,FALSE)</f>
        <v>0.10152118386918207</v>
      </c>
      <c r="W6" s="12">
        <f>VLOOKUP(A6,Buchwert_je_Aktie!A$3:AK$103,37,FALSE)</f>
        <v>-3.5854341736694662E-2</v>
      </c>
      <c r="X6" s="16">
        <f t="shared" ca="1" si="3"/>
        <v>22.118037037037038</v>
      </c>
      <c r="Y6" s="12">
        <f t="shared" ca="1" si="4"/>
        <v>6.20268669125279E-2</v>
      </c>
      <c r="Z6" s="51">
        <f ca="1">IF(V6&lt;Bewertung_Stammdaten!B$25,Bewertung_Stammdaten!A$25,IF(V6&lt;Bewertung_Stammdaten!B$26,Bewertung_Stammdaten!A$26,IF(V6&lt;Bewertung_Stammdaten!B$27,Bewertung_Stammdaten!A$27,IF(V6&lt;Bewertung_Stammdaten!B$28,Bewertung_Stammdaten!A$28,IF(V6&lt;Bewertung_Stammdaten!B$29,Bewertung_Stammdaten!A$29,IF(V6&lt;Bewertung_Stammdaten!B$30,Bewertung_Stammdaten!A$30,IF(V6&lt;Bewertung_Stammdaten!B$31,Bewertung_Stammdaten!A$31,IF(V6&lt;Bewertung_Stammdaten!B$32,Bewertung_Stammdaten!A$32,IF(V6&lt;Bewertung_Stammdaten!B$33,Bewertung_Stammdaten!A$33,Bewertung_Stammdaten!A$34)))))))))</f>
        <v>6</v>
      </c>
      <c r="AA6" s="51">
        <f>IF(W6&lt;Bewertung_Stammdaten!F$25,Bewertung_Stammdaten!E$25,IF(W6&lt;Bewertung_Stammdaten!F$26,Bewertung_Stammdaten!E$26,IF(W6&lt;Bewertung_Stammdaten!F$27,Bewertung_Stammdaten!E$27,IF(W6&lt;Bewertung_Stammdaten!F$28,Bewertung_Stammdaten!E$28,IF(W6&lt;Bewertung_Stammdaten!F$29,Bewertung_Stammdaten!E$29,IF(W6&lt;Bewertung_Stammdaten!F$30,Bewertung_Stammdaten!E$30,IF(W6&lt;Bewertung_Stammdaten!F$31,Bewertung_Stammdaten!E$31,IF(W6&lt;Bewertung_Stammdaten!F$32,Bewertung_Stammdaten!E$32,IF(W6&lt;Bewertung_Stammdaten!F$33,Bewertung_Stammdaten!E$33,Bewertung_Stammdaten!E$34)))))))))</f>
        <v>10.5</v>
      </c>
      <c r="AB6" s="51">
        <f ca="1">IF(Y6&lt;Bewertung_Stammdaten!J$25,Bewertung_Stammdaten!I$25,IF(Y6&lt;Bewertung_Stammdaten!J$26,Bewertung_Stammdaten!I$26,IF(Y6&lt;Bewertung_Stammdaten!J$27,Bewertung_Stammdaten!I$27,IF(Y6&lt;Bewertung_Stammdaten!J$28,Bewertung_Stammdaten!I$28,IF(Y6&lt;Bewertung_Stammdaten!J$29,Bewertung_Stammdaten!I$29,IF(Y6&lt;Bewertung_Stammdaten!J$30,Bewertung_Stammdaten!I$30,IF(Y6&lt;Bewertung_Stammdaten!J$31,Bewertung_Stammdaten!I$31,IF(Y6&lt;Bewertung_Stammdaten!J$32,Bewertung_Stammdaten!I$32,IF(Y6&lt;Bewertung_Stammdaten!J$33,Bewertung_Stammdaten!I$33,Bewertung_Stammdaten!I$34)))))))))</f>
        <v>3</v>
      </c>
      <c r="AC6" s="43"/>
      <c r="AD6" s="14">
        <f ca="1">VLOOKUP(A6,Ergebnis_je_Aktie_verwässert!A$3:AK$103,23,FALSE)</f>
        <v>3.4045555555555556</v>
      </c>
      <c r="AE6" s="14">
        <f>VLOOKUP(A6,Ergebnis_je_Aktie_verwässert!A$3:AK$103,19,FALSE)</f>
        <v>2.7658461538461534</v>
      </c>
      <c r="AF6" s="12">
        <f ca="1">VLOOKUP(A6,Ergebnis_je_Aktie_verwässert!A$3:AK$103,24,FALSE)</f>
        <v>0.23092730621376756</v>
      </c>
      <c r="AG6" s="40">
        <f>VLOOKUP(A6,Ergebnis_je_Aktie_verwässert!A$3:AK$103,37,FALSE)</f>
        <v>-0.35503406510219526</v>
      </c>
      <c r="AH6" s="16">
        <f t="shared" ca="1" si="5"/>
        <v>2.1958223568004041</v>
      </c>
      <c r="AI6" s="12">
        <f t="shared" ca="1" si="6"/>
        <v>-0.20609381915660097</v>
      </c>
      <c r="AJ6" s="32">
        <f ca="1">IF(AF6&lt;Bewertung_Stammdaten!B$38,Bewertung_Stammdaten!A$38,IF(AF6&lt;Bewertung_Stammdaten!B$39,Bewertung_Stammdaten!A$39,IF(AF6&lt;Bewertung_Stammdaten!B$40,Bewertung_Stammdaten!A$40,IF(AF6&lt;Bewertung_Stammdaten!B$41,Bewertung_Stammdaten!A$41,IF(AF6&lt;Bewertung_Stammdaten!B$42,Bewertung_Stammdaten!A$42,IF(AF6&lt;Bewertung_Stammdaten!B$43,Bewertung_Stammdaten!A$43,IF(AF6&lt;Bewertung_Stammdaten!B$44,Bewertung_Stammdaten!A$44,IF(AF6&lt;Bewertung_Stammdaten!B$45,Bewertung_Stammdaten!A$45,IF(AF6&lt;Bewertung_Stammdaten!B$46,Bewertung_Stammdaten!A$46,Bewertung_Stammdaten!A$47)))))))))</f>
        <v>12</v>
      </c>
      <c r="AK6" s="32">
        <f>IF(AG6&lt;Bewertung_Stammdaten!F$38,Bewertung_Stammdaten!E$38,IF(AG6&lt;Bewertung_Stammdaten!F$39,Bewertung_Stammdaten!E$39,IF(AG6&lt;Bewertung_Stammdaten!F$40,Bewertung_Stammdaten!E$40,IF(AG6&lt;Bewertung_Stammdaten!F$41,Bewertung_Stammdaten!E$41,IF(AG6&lt;Bewertung_Stammdaten!F$42,Bewertung_Stammdaten!E$42,IF(AG6&lt;Bewertung_Stammdaten!F$43,Bewertung_Stammdaten!E$43,IF(AG6&lt;Bewertung_Stammdaten!F$44,Bewertung_Stammdaten!E$44,IF(AG6&lt;Bewertung_Stammdaten!F$45,Bewertung_Stammdaten!E$45,IF(AG6&lt;Bewertung_Stammdaten!F$46,Bewertung_Stammdaten!E$46,Bewertung_Stammdaten!E$47)))))))))</f>
        <v>6</v>
      </c>
      <c r="AL6" s="32">
        <f ca="1">IF(AI6&lt;Bewertung_Stammdaten!J$38,Bewertung_Stammdaten!I$38,IF(AI6&lt;Bewertung_Stammdaten!J$39,Bewertung_Stammdaten!I$39,IF(AI6&lt;Bewertung_Stammdaten!J$40,Bewertung_Stammdaten!I$40,IF(AI6&lt;Bewertung_Stammdaten!J$41,Bewertung_Stammdaten!I$41,IF(AI6&lt;Bewertung_Stammdaten!J$42,Bewertung_Stammdaten!I$42,IF(AI6&lt;Bewertung_Stammdaten!J$43,Bewertung_Stammdaten!I$43,IF(AI6&lt;Bewertung_Stammdaten!J$44,Bewertung_Stammdaten!I$44,IF(AI6&lt;Bewertung_Stammdaten!J$45,Bewertung_Stammdaten!I$45,IF(AI6&lt;Bewertung_Stammdaten!J$46,Bewertung_Stammdaten!I$46,Bewertung_Stammdaten!I$47)))))))))</f>
        <v>2</v>
      </c>
      <c r="AM6" s="43"/>
      <c r="AN6" s="14">
        <f ca="1">VLOOKUP(A6,Dividende_je_Aktie!A$3:AM$103,24,FALSE)</f>
        <v>2.2972777777777775</v>
      </c>
      <c r="AO6" s="14">
        <f>VLOOKUP(A6,Dividende_je_Aktie!A$3:AM$103,20,FALSE)</f>
        <v>1.7328571428571427</v>
      </c>
      <c r="AP6" s="12">
        <f ca="1">VLOOKUP(A6,Dividende_je_Aktie!A$3:AM$103,25,FALSE)</f>
        <v>0.32571677200696159</v>
      </c>
      <c r="AQ6" s="40">
        <f>VLOOKUP(A6,Dividende_je_Aktie!A$3:AM$103,39,FALSE)</f>
        <v>2.3255813953488413E-2</v>
      </c>
      <c r="AR6" s="16">
        <f t="shared" ca="1" si="7"/>
        <v>2.2972777777777775</v>
      </c>
      <c r="AS6" s="12">
        <f t="shared" ca="1" si="8"/>
        <v>0.32571677200696159</v>
      </c>
      <c r="AT6" s="32">
        <f ca="1">IF(AP6&lt;Bewertung_Stammdaten!B$51,Bewertung_Stammdaten!A$51,IF(AP6&lt;Bewertung_Stammdaten!B$52,Bewertung_Stammdaten!A$52,IF(AP6&lt;Bewertung_Stammdaten!B$53,Bewertung_Stammdaten!A$53,IF(AP6&lt;Bewertung_Stammdaten!B$54,Bewertung_Stammdaten!A$54,IF(AP6&lt;Bewertung_Stammdaten!B$55,Bewertung_Stammdaten!A$55,IF(AP6&lt;Bewertung_Stammdaten!B$56,Bewertung_Stammdaten!A$56,IF(AP6&lt;Bewertung_Stammdaten!B$57,Bewertung_Stammdaten!A$57,IF(AP6&lt;Bewertung_Stammdaten!B$58,Bewertung_Stammdaten!A$58,IF(AP6&lt;Bewertung_Stammdaten!B$59,Bewertung_Stammdaten!A$59,Bewertung_Stammdaten!A$60)))))))))</f>
        <v>12</v>
      </c>
      <c r="AU6" s="32">
        <f>IF(AQ6&lt;Bewertung_Stammdaten!F$51,Bewertung_Stammdaten!E$51,IF(AQ6&lt;Bewertung_Stammdaten!F$52,Bewertung_Stammdaten!E$52,IF(AQ6&lt;Bewertung_Stammdaten!F$53,Bewertung_Stammdaten!E$53,IF(AQ6&lt;Bewertung_Stammdaten!F$54,Bewertung_Stammdaten!E$54,IF(AQ6&lt;Bewertung_Stammdaten!F$55,Bewertung_Stammdaten!E$55,IF(AQ6&lt;Bewertung_Stammdaten!F$56,Bewertung_Stammdaten!E$56,IF(AQ6&lt;Bewertung_Stammdaten!F$57,Bewertung_Stammdaten!E$57,IF(AQ6&lt;Bewertung_Stammdaten!F$58,Bewertung_Stammdaten!E$58,IF(AQ6&lt;Bewertung_Stammdaten!F$59,Bewertung_Stammdaten!E$59,Bewertung_Stammdaten!E$60)))))))))</f>
        <v>12</v>
      </c>
      <c r="AV6" s="32">
        <f ca="1">IF(AS6&lt;Bewertung_Stammdaten!J$51,Bewertung_Stammdaten!I$51,IF(AS6&lt;Bewertung_Stammdaten!J$52,Bewertung_Stammdaten!I$52,IF(AS6&lt;Bewertung_Stammdaten!J$53,Bewertung_Stammdaten!I$53,IF(AS6&lt;Bewertung_Stammdaten!J$54,Bewertung_Stammdaten!I$54,IF(AS6&lt;Bewertung_Stammdaten!J$55,Bewertung_Stammdaten!I$55,IF(AS6&lt;Bewertung_Stammdaten!J$56,Bewertung_Stammdaten!I$56,IF(AS6&lt;Bewertung_Stammdaten!J$57,Bewertung_Stammdaten!I$57,IF(AS6&lt;Bewertung_Stammdaten!J$58,Bewertung_Stammdaten!I$58,IF(AS6&lt;Bewertung_Stammdaten!J$59,Bewertung_Stammdaten!I$59,Bewertung_Stammdaten!I$60)))))))))</f>
        <v>7</v>
      </c>
      <c r="AW6" s="43"/>
      <c r="AX6" s="12">
        <f ca="1">VLOOKUP(A6,Dividendenrendite!A$3:R$103,17,FALSE)</f>
        <v>3.1383576199149964E-2</v>
      </c>
      <c r="AY6" s="12">
        <f>VLOOKUP(A6,Dividendenrendite!A$3:R$103,16,FALSE)</f>
        <v>3.0263761434374814E-2</v>
      </c>
      <c r="AZ6" s="12">
        <f ca="1">VLOOKUP(A6,Dividendenrendite!A$3:R$103,18,FALSE)</f>
        <v>3.7001836906605412E-2</v>
      </c>
      <c r="BA6" s="32">
        <f ca="1">IF(AX6&lt;Bewertung_Stammdaten!B$64,Bewertung_Stammdaten!A$64,IF(AX6&lt;Bewertung_Stammdaten!B$65,Bewertung_Stammdaten!A$65,IF(AX6&lt;Bewertung_Stammdaten!B$66,Bewertung_Stammdaten!A$66,IF(AX6&lt;Bewertung_Stammdaten!B$67,Bewertung_Stammdaten!A$67,IF(AX6&lt;Bewertung_Stammdaten!B$68,Bewertung_Stammdaten!A$68,IF(AX6&lt;Bewertung_Stammdaten!B$69,Bewertung_Stammdaten!A$69,IF(AX6&lt;Bewertung_Stammdaten!B$70,Bewertung_Stammdaten!A$70,IF(AX6&lt;Bewertung_Stammdaten!B$71,Bewertung_Stammdaten!A$71,IF(AX6&lt;Bewertung_Stammdaten!B$72,Bewertung_Stammdaten!A$72,Bewertung_Stammdaten!A$73)))))))))</f>
        <v>10.5</v>
      </c>
      <c r="BB6" s="32">
        <f>IF(AY6&lt;Bewertung_Stammdaten!F$64,Bewertung_Stammdaten!E$64,IF(AY6&lt;Bewertung_Stammdaten!F$65,Bewertung_Stammdaten!E$65,IF(AY6&lt;Bewertung_Stammdaten!F$66,Bewertung_Stammdaten!E$66,IF(AY6&lt;Bewertung_Stammdaten!F$67,Bewertung_Stammdaten!E$67,IF(AY6&lt;Bewertung_Stammdaten!F$68,Bewertung_Stammdaten!E$68,IF(AY6&lt;Bewertung_Stammdaten!F$69,Bewertung_Stammdaten!E$69,IF(AY6&lt;Bewertung_Stammdaten!F$70,Bewertung_Stammdaten!E$70,IF(AY6&lt;Bewertung_Stammdaten!F$71,Bewertung_Stammdaten!E$71,IF(AY6&lt;Bewertung_Stammdaten!F$72,Bewertung_Stammdaten!E$72,Bewertung_Stammdaten!E$73)))))))))</f>
        <v>7</v>
      </c>
      <c r="BC6" s="32">
        <f ca="1">IF(AZ6&lt;Bewertung_Stammdaten!J$64,Bewertung_Stammdaten!I$64,IF(AZ6&lt;Bewertung_Stammdaten!J$65,Bewertung_Stammdaten!I$65,IF(AZ6&lt;Bewertung_Stammdaten!J$66,Bewertung_Stammdaten!I$66,IF(AZ6&lt;Bewertung_Stammdaten!J$67,Bewertung_Stammdaten!I$67,IF(AZ6&lt;Bewertung_Stammdaten!J$68,Bewertung_Stammdaten!I$68,IF(AZ6&lt;Bewertung_Stammdaten!J$69,Bewertung_Stammdaten!I$69,IF(AZ6&lt;Bewertung_Stammdaten!J$70,Bewertung_Stammdaten!I$70,IF(AZ6&lt;Bewertung_Stammdaten!J$71,Bewertung_Stammdaten!I$71,IF(AZ6&lt;Bewertung_Stammdaten!J$72,Bewertung_Stammdaten!I$72,Bewertung_Stammdaten!I$73)))))))))</f>
        <v>3</v>
      </c>
      <c r="BD6" s="43"/>
      <c r="BE6" s="12">
        <f>VLOOKUP(A6,Aktien_im_Umlauf_splitbereinigt!A$3:Z$103,26,FALSE)</f>
        <v>0</v>
      </c>
      <c r="BF6" s="12">
        <f>VLOOKUP(A6,Aktien_im_Umlauf_splitbereinigt!A$3:Y$103,24,FALSE)</f>
        <v>-2.4403104232982458E-2</v>
      </c>
      <c r="BG6" s="12">
        <f>VLOOKUP(A6,Aktien_im_Umlauf_splitbereinigt!A$3:Y$103,25,FALSE)</f>
        <v>-1</v>
      </c>
      <c r="BH6" s="41">
        <f>IF(BE6&lt;Bewertung_Stammdaten!B$77,Bewertung_Stammdaten!A$77,IF(BE6&lt;Bewertung_Stammdaten!B$78,Bewertung_Stammdaten!A$78,IF(BE6&lt;Bewertung_Stammdaten!B$79,Bewertung_Stammdaten!A$79,IF(BE6&lt;Bewertung_Stammdaten!B$80,Bewertung_Stammdaten!A$80,IF(BE6&lt;Bewertung_Stammdaten!B$81,Bewertung_Stammdaten!A$81,IF(BE6&lt;Bewertung_Stammdaten!B$82,Bewertung_Stammdaten!A$82,IF(BE6&lt;Bewertung_Stammdaten!B$83,Bewertung_Stammdaten!A$83,IF(BE6&lt;Bewertung_Stammdaten!B$84,Bewertung_Stammdaten!A$84,IF(BE6&lt;Bewertung_Stammdaten!B$85,Bewertung_Stammdaten!A$85,Bewertung_Stammdaten!A$86)))))))))</f>
        <v>2</v>
      </c>
      <c r="BI6" s="41">
        <f>IF(BF6&lt;Bewertung_Stammdaten!F$77,Bewertung_Stammdaten!E$77,IF(BF6&lt;Bewertung_Stammdaten!F$78,Bewertung_Stammdaten!E$78,IF(BF6&lt;Bewertung_Stammdaten!F$79,Bewertung_Stammdaten!E$79,IF(BF6&lt;Bewertung_Stammdaten!F$80,Bewertung_Stammdaten!E$80,IF(BF6&lt;Bewertung_Stammdaten!F$81,Bewertung_Stammdaten!E$81,IF(BF6&lt;Bewertung_Stammdaten!F$82,Bewertung_Stammdaten!E$82,IF(BF6&lt;Bewertung_Stammdaten!F$83,Bewertung_Stammdaten!E$83,IF(BF6&lt;Bewertung_Stammdaten!F$84,Bewertung_Stammdaten!E$84,IF(BF6&lt;Bewertung_Stammdaten!F$85,Bewertung_Stammdaten!E$85,Bewertung_Stammdaten!E$86)))))))))</f>
        <v>7</v>
      </c>
      <c r="BJ6" s="41">
        <f>IF(BG6&lt;Bewertung_Stammdaten!J$77,Bewertung_Stammdaten!I$77,IF(BG6&lt;Bewertung_Stammdaten!J$78,Bewertung_Stammdaten!I$78,IF(BG6&lt;Bewertung_Stammdaten!J$79,Bewertung_Stammdaten!I$79,IF(BG6&lt;Bewertung_Stammdaten!J$80,Bewertung_Stammdaten!I$80,IF(BG6&lt;Bewertung_Stammdaten!J$81,Bewertung_Stammdaten!I$81,IF(BG6&lt;Bewertung_Stammdaten!J$82,Bewertung_Stammdaten!I$82,IF(BG6&lt;Bewertung_Stammdaten!J$83,Bewertung_Stammdaten!I$83,IF(BG6&lt;Bewertung_Stammdaten!J$84,Bewertung_Stammdaten!I$84,IF(BG6&lt;Bewertung_Stammdaten!J$85,Bewertung_Stammdaten!I$85,Bewertung_Stammdaten!I$86)))))))))</f>
        <v>1</v>
      </c>
      <c r="BK6" s="43"/>
      <c r="BL6" s="12">
        <f ca="1">VLOOKUP(A6,Ausschüttungsquote!A$3:X$103,23,FALSE)</f>
        <v>0.67492614680408103</v>
      </c>
      <c r="BM6" s="12">
        <f>VLOOKUP(A6,Ausschüttungsquote!A$3:X$103,19,FALSE)</f>
        <v>0.66859352970849406</v>
      </c>
      <c r="BN6" s="12">
        <f ca="1">VLOOKUP(A6,Ausschüttungsquote!A$3:X$103,24,FALSE)</f>
        <v>9.4715500737017067E-3</v>
      </c>
      <c r="BO6" s="32">
        <f ca="1">IF(BL6&lt;Bewertung_Stammdaten!B$90,Bewertung_Stammdaten!A$90,IF(BL6&lt;Bewertung_Stammdaten!B$91,Bewertung_Stammdaten!A$91,IF(BL6&lt;Bewertung_Stammdaten!B$92,Bewertung_Stammdaten!A$92,IF(BL6&lt;Bewertung_Stammdaten!B$93,Bewertung_Stammdaten!A$93,IF(BL6&lt;Bewertung_Stammdaten!B$94,Bewertung_Stammdaten!A$94,IF(BL6&lt;Bewertung_Stammdaten!B$95,Bewertung_Stammdaten!A$95,IF(BL6&lt;Bewertung_Stammdaten!B$96,Bewertung_Stammdaten!A$96,IF(BL6&lt;Bewertung_Stammdaten!B$97,Bewertung_Stammdaten!A$97,IF(BL6&lt;Bewertung_Stammdaten!B$98,Bewertung_Stammdaten!A$98,Bewertung_Stammdaten!A$99)))))))))</f>
        <v>4</v>
      </c>
      <c r="BP6" s="41">
        <f>IF(BM6&lt;Bewertung_Stammdaten!F$90,Bewertung_Stammdaten!E$90,IF(BM6&lt;Bewertung_Stammdaten!F$91,Bewertung_Stammdaten!E$91,IF(BM6&lt;Bewertung_Stammdaten!F$92,Bewertung_Stammdaten!E$92,IF(BM6&lt;Bewertung_Stammdaten!F$93,Bewertung_Stammdaten!E$93,IF(BM6&lt;Bewertung_Stammdaten!F$94,Bewertung_Stammdaten!E$94,IF(BM6&lt;Bewertung_Stammdaten!F$95,Bewertung_Stammdaten!E$95,IF(BM6&lt;Bewertung_Stammdaten!F$96,Bewertung_Stammdaten!E$96,IF(BM6&lt;Bewertung_Stammdaten!F$97,Bewertung_Stammdaten!E$97,IF(BM6&lt;Bewertung_Stammdaten!F$98,Bewertung_Stammdaten!E$98,Bewertung_Stammdaten!E$99)))))))))</f>
        <v>4</v>
      </c>
      <c r="BQ6" s="32">
        <f ca="1">IF(BN6&lt;Bewertung_Stammdaten!J$90,Bewertung_Stammdaten!I$90,IF(BN6&lt;Bewertung_Stammdaten!J$91,Bewertung_Stammdaten!I$91,IF(BN6&lt;Bewertung_Stammdaten!J$92,Bewertung_Stammdaten!I$92,IF(BN6&lt;Bewertung_Stammdaten!J$93,Bewertung_Stammdaten!I$93,IF(BN6&lt;Bewertung_Stammdaten!J$94,Bewertung_Stammdaten!I$94,IF(BN6&lt;Bewertung_Stammdaten!J$95,Bewertung_Stammdaten!I$95,IF(BN6&lt;Bewertung_Stammdaten!J$96,Bewertung_Stammdaten!I$96,IF(BN6&lt;Bewertung_Stammdaten!J$97,Bewertung_Stammdaten!I$97,IF(BN6&lt;Bewertung_Stammdaten!J$98,Bewertung_Stammdaten!I$98,Bewertung_Stammdaten!I$99)))))))))</f>
        <v>5</v>
      </c>
    </row>
    <row r="7" spans="1:69" x14ac:dyDescent="0.25">
      <c r="A7" s="38" t="s">
        <v>8</v>
      </c>
      <c r="B7" s="38" t="s">
        <v>9</v>
      </c>
      <c r="C7" s="38" t="s">
        <v>296</v>
      </c>
      <c r="D7" s="32">
        <f t="shared" ca="1" si="0"/>
        <v>138.5</v>
      </c>
      <c r="E7" s="43"/>
      <c r="F7" s="66">
        <v>1</v>
      </c>
      <c r="G7" s="11">
        <f ca="1">VLOOKUP(A7,KGV!A$3:R$103,17,FALSE)</f>
        <v>27.155172413793107</v>
      </c>
      <c r="H7" s="11">
        <f>VLOOKUP(A7,KGV!A$3:R$103,16,FALSE)</f>
        <v>24.200913242009133</v>
      </c>
      <c r="I7" s="12">
        <f ca="1">VLOOKUP(A7,KGV!A$3:R$103,18,FALSE)</f>
        <v>0.12207221860767747</v>
      </c>
      <c r="J7" s="16">
        <f t="shared" ca="1" si="1"/>
        <v>36.042319749216304</v>
      </c>
      <c r="K7" s="12">
        <f t="shared" ca="1" si="2"/>
        <v>0.48929585378837182</v>
      </c>
      <c r="L7" s="11">
        <f ca="1">VLOOKUP(A7,KBV!A$3:R$103,17,FALSE)</f>
        <v>4.1748007522163526</v>
      </c>
      <c r="M7" s="11">
        <f>VLOOKUP(A7,KBV!A$3:R$103,16,FALSE)</f>
        <v>4.0152963671128106</v>
      </c>
      <c r="N7" s="12">
        <f ca="1">VLOOKUP(A7,KBV!A$3:R$103,18,FALSE)</f>
        <v>3.9724187337691674E-2</v>
      </c>
      <c r="O7" s="16">
        <f t="shared" ca="1" si="9"/>
        <v>4.1748007522163526</v>
      </c>
      <c r="P7" s="12">
        <f t="shared" ca="1" si="10"/>
        <v>3.9724187337691674E-2</v>
      </c>
      <c r="Q7" s="32">
        <f ca="1">IF(F7=1,IF(I7&lt;Bewertung_Stammdaten!B$12,Bewertung_Stammdaten!A$12,IF(I7&lt;Bewertung_Stammdaten!B$13,Bewertung_Stammdaten!A$13,IF(I7&lt;Bewertung_Stammdaten!B$14,Bewertung_Stammdaten!A$14,IF(I7&lt;Bewertung_Stammdaten!B$15,Bewertung_Stammdaten!A$15,IF(I7&lt;Bewertung_Stammdaten!B$16,Bewertung_Stammdaten!A$16,IF(I7&lt;Bewertung_Stammdaten!B$17,Bewertung_Stammdaten!A$17,IF(I7&lt;Bewertung_Stammdaten!B$18,Bewertung_Stammdaten!A$18,IF(I7&lt;Bewertung_Stammdaten!B$19,Bewertung_Stammdaten!A$19,IF(I7&lt;Bewertung_Stammdaten!B$20,Bewertung_Stammdaten!A$20,Bewertung_Stammdaten!A$21))))))))),IF(N7&lt;Bewertung_Stammdaten!C$12,Bewertung_Stammdaten!A$12,IF(N7&lt;Bewertung_Stammdaten!C$13,Bewertung_Stammdaten!A$13,IF(N7&lt;Bewertung_Stammdaten!C$14,Bewertung_Stammdaten!A$14,IF(N7&lt;Bewertung_Stammdaten!C$15,Bewertung_Stammdaten!A$15,IF(N7&lt;Bewertung_Stammdaten!C$16,Bewertung_Stammdaten!A$16,IF(N7&lt;Bewertung_Stammdaten!C$17,Bewertung_Stammdaten!A$17,IF(N7&lt;Bewertung_Stammdaten!C$18,Bewertung_Stammdaten!A$18,IF(N7&lt;Bewertung_Stammdaten!C$19,Bewertung_Stammdaten!A$19,IF(N7&lt;Bewertung_Stammdaten!C$20,Bewertung_Stammdaten!A$20,Bewertung_Stammdaten!A$21))))))))))</f>
        <v>24</v>
      </c>
      <c r="R7" s="32">
        <f ca="1">IF(F7=1,IF(K7&lt;Bewertung_Stammdaten!F$12,Bewertung_Stammdaten!E$12,IF(K7&lt;Bewertung_Stammdaten!F$13,Bewertung_Stammdaten!E$13,IF(K7&lt;Bewertung_Stammdaten!F$14,Bewertung_Stammdaten!E$14,IF(K7&lt;Bewertung_Stammdaten!F$15,Bewertung_Stammdaten!E$15,IF(K7&lt;Bewertung_Stammdaten!F$16,Bewertung_Stammdaten!E$16,IF(K7&lt;Bewertung_Stammdaten!F$17,Bewertung_Stammdaten!E$17,IF(K7&lt;Bewertung_Stammdaten!F$18,Bewertung_Stammdaten!E$18,IF(K7&lt;Bewertung_Stammdaten!F$19,Bewertung_Stammdaten!E$19,IF(K7&lt;Bewertung_Stammdaten!F$20,Bewertung_Stammdaten!E$20,Bewertung_Stammdaten!E$21))))))))),IF(P7&lt;Bewertung_Stammdaten!G$12,Bewertung_Stammdaten!E$12,IF(P7&lt;Bewertung_Stammdaten!G$13,Bewertung_Stammdaten!E$13,IF(P7&lt;Bewertung_Stammdaten!G$14,Bewertung_Stammdaten!E$14,IF(P7&lt;Bewertung_Stammdaten!G$15,Bewertung_Stammdaten!E$15,IF(P7&lt;Bewertung_Stammdaten!G$16,Bewertung_Stammdaten!E$16,IF(P7&lt;Bewertung_Stammdaten!G$17,Bewertung_Stammdaten!E$17,IF(P7&lt;Bewertung_Stammdaten!G$18,Bewertung_Stammdaten!E$18,IF(P7&lt;Bewertung_Stammdaten!G$19,Bewertung_Stammdaten!E$19,IF(P7&lt;Bewertung_Stammdaten!G$20,Bewertung_Stammdaten!E$20,Bewertung_Stammdaten!E$21))))))))))</f>
        <v>2.5</v>
      </c>
      <c r="S7" s="43"/>
      <c r="T7" s="11">
        <f ca="1">VLOOKUP(A7,Buchwert_je_Aktie!A$3:AK$103,23,FALSE)</f>
        <v>18.611666666666665</v>
      </c>
      <c r="U7" s="11">
        <f>VLOOKUP(A7,Buchwert_je_Aktie!A$3:AK$103,19,FALSE)</f>
        <v>12.836153846153847</v>
      </c>
      <c r="V7" s="12">
        <f ca="1">VLOOKUP(A7,Buchwert_je_Aktie!A$3:AK$103,24,FALSE)</f>
        <v>0.44994107189229116</v>
      </c>
      <c r="W7" s="12">
        <f>VLOOKUP(A7,Buchwert_je_Aktie!A$3:AK$103,37,FALSE)</f>
        <v>3.2786885245901676E-2</v>
      </c>
      <c r="X7" s="16">
        <f t="shared" ca="1" si="3"/>
        <v>18.611666666666665</v>
      </c>
      <c r="Y7" s="12">
        <f t="shared" ca="1" si="4"/>
        <v>0.44994107189229116</v>
      </c>
      <c r="Z7" s="51">
        <f ca="1">IF(V7&lt;Bewertung_Stammdaten!B$25,Bewertung_Stammdaten!A$25,IF(V7&lt;Bewertung_Stammdaten!B$26,Bewertung_Stammdaten!A$26,IF(V7&lt;Bewertung_Stammdaten!B$27,Bewertung_Stammdaten!A$27,IF(V7&lt;Bewertung_Stammdaten!B$28,Bewertung_Stammdaten!A$28,IF(V7&lt;Bewertung_Stammdaten!B$29,Bewertung_Stammdaten!A$29,IF(V7&lt;Bewertung_Stammdaten!B$30,Bewertung_Stammdaten!A$30,IF(V7&lt;Bewertung_Stammdaten!B$31,Bewertung_Stammdaten!A$31,IF(V7&lt;Bewertung_Stammdaten!B$32,Bewertung_Stammdaten!A$32,IF(V7&lt;Bewertung_Stammdaten!B$33,Bewertung_Stammdaten!A$33,Bewertung_Stammdaten!A$34)))))))))</f>
        <v>10.5</v>
      </c>
      <c r="AA7" s="51">
        <f>IF(W7&lt;Bewertung_Stammdaten!F$25,Bewertung_Stammdaten!E$25,IF(W7&lt;Bewertung_Stammdaten!F$26,Bewertung_Stammdaten!E$26,IF(W7&lt;Bewertung_Stammdaten!F$27,Bewertung_Stammdaten!E$27,IF(W7&lt;Bewertung_Stammdaten!F$28,Bewertung_Stammdaten!E$28,IF(W7&lt;Bewertung_Stammdaten!F$29,Bewertung_Stammdaten!E$29,IF(W7&lt;Bewertung_Stammdaten!F$30,Bewertung_Stammdaten!E$30,IF(W7&lt;Bewertung_Stammdaten!F$31,Bewertung_Stammdaten!E$31,IF(W7&lt;Bewertung_Stammdaten!F$32,Bewertung_Stammdaten!E$32,IF(W7&lt;Bewertung_Stammdaten!F$33,Bewertung_Stammdaten!E$33,Bewertung_Stammdaten!E$34)))))))))</f>
        <v>12</v>
      </c>
      <c r="AB7" s="51">
        <f ca="1">IF(Y7&lt;Bewertung_Stammdaten!J$25,Bewertung_Stammdaten!I$25,IF(Y7&lt;Bewertung_Stammdaten!J$26,Bewertung_Stammdaten!I$26,IF(Y7&lt;Bewertung_Stammdaten!J$27,Bewertung_Stammdaten!I$27,IF(Y7&lt;Bewertung_Stammdaten!J$28,Bewertung_Stammdaten!I$28,IF(Y7&lt;Bewertung_Stammdaten!J$29,Bewertung_Stammdaten!I$29,IF(Y7&lt;Bewertung_Stammdaten!J$30,Bewertung_Stammdaten!I$30,IF(Y7&lt;Bewertung_Stammdaten!J$31,Bewertung_Stammdaten!I$31,IF(Y7&lt;Bewertung_Stammdaten!J$32,Bewertung_Stammdaten!I$32,IF(Y7&lt;Bewertung_Stammdaten!J$33,Bewertung_Stammdaten!I$33,Bewertung_Stammdaten!I$34)))))))))</f>
        <v>7</v>
      </c>
      <c r="AC7" s="43"/>
      <c r="AD7" s="14">
        <f ca="1">VLOOKUP(A7,Ergebnis_je_Aktie_verwässert!A$3:AK$103,23,FALSE)</f>
        <v>2.8613333333333331</v>
      </c>
      <c r="AE7" s="14">
        <f>VLOOKUP(A7,Ergebnis_je_Aktie_verwässert!A$3:AK$103,19,FALSE)</f>
        <v>2.203846153846154</v>
      </c>
      <c r="AF7" s="12">
        <f ca="1">VLOOKUP(A7,Ergebnis_je_Aktie_verwässert!A$3:AK$103,24,FALSE)</f>
        <v>0.29833624200116327</v>
      </c>
      <c r="AG7" s="40">
        <f>VLOOKUP(A7,Ergebnis_je_Aktie_verwässert!A$3:AK$103,37,FALSE)</f>
        <v>-0.24657534246575341</v>
      </c>
      <c r="AH7" s="16">
        <f t="shared" ca="1" si="5"/>
        <v>2.1557990867579906</v>
      </c>
      <c r="AI7" s="12">
        <f t="shared" ca="1" si="6"/>
        <v>-2.1801461505972952E-2</v>
      </c>
      <c r="AJ7" s="32">
        <f ca="1">IF(AF7&lt;Bewertung_Stammdaten!B$38,Bewertung_Stammdaten!A$38,IF(AF7&lt;Bewertung_Stammdaten!B$39,Bewertung_Stammdaten!A$39,IF(AF7&lt;Bewertung_Stammdaten!B$40,Bewertung_Stammdaten!A$40,IF(AF7&lt;Bewertung_Stammdaten!B$41,Bewertung_Stammdaten!A$41,IF(AF7&lt;Bewertung_Stammdaten!B$42,Bewertung_Stammdaten!A$42,IF(AF7&lt;Bewertung_Stammdaten!B$43,Bewertung_Stammdaten!A$43,IF(AF7&lt;Bewertung_Stammdaten!B$44,Bewertung_Stammdaten!A$44,IF(AF7&lt;Bewertung_Stammdaten!B$45,Bewertung_Stammdaten!A$45,IF(AF7&lt;Bewertung_Stammdaten!B$46,Bewertung_Stammdaten!A$46,Bewertung_Stammdaten!A$47)))))))))</f>
        <v>12</v>
      </c>
      <c r="AK7" s="32">
        <f>IF(AG7&lt;Bewertung_Stammdaten!F$38,Bewertung_Stammdaten!E$38,IF(AG7&lt;Bewertung_Stammdaten!F$39,Bewertung_Stammdaten!E$39,IF(AG7&lt;Bewertung_Stammdaten!F$40,Bewertung_Stammdaten!E$40,IF(AG7&lt;Bewertung_Stammdaten!F$41,Bewertung_Stammdaten!E$41,IF(AG7&lt;Bewertung_Stammdaten!F$42,Bewertung_Stammdaten!E$42,IF(AG7&lt;Bewertung_Stammdaten!F$43,Bewertung_Stammdaten!E$43,IF(AG7&lt;Bewertung_Stammdaten!F$44,Bewertung_Stammdaten!E$44,IF(AG7&lt;Bewertung_Stammdaten!F$45,Bewertung_Stammdaten!E$45,IF(AG7&lt;Bewertung_Stammdaten!F$46,Bewertung_Stammdaten!E$46,Bewertung_Stammdaten!E$47)))))))))</f>
        <v>7.5</v>
      </c>
      <c r="AL7" s="32">
        <f ca="1">IF(AI7&lt;Bewertung_Stammdaten!J$38,Bewertung_Stammdaten!I$38,IF(AI7&lt;Bewertung_Stammdaten!J$39,Bewertung_Stammdaten!I$39,IF(AI7&lt;Bewertung_Stammdaten!J$40,Bewertung_Stammdaten!I$40,IF(AI7&lt;Bewertung_Stammdaten!J$41,Bewertung_Stammdaten!I$41,IF(AI7&lt;Bewertung_Stammdaten!J$42,Bewertung_Stammdaten!I$42,IF(AI7&lt;Bewertung_Stammdaten!J$43,Bewertung_Stammdaten!I$43,IF(AI7&lt;Bewertung_Stammdaten!J$44,Bewertung_Stammdaten!I$44,IF(AI7&lt;Bewertung_Stammdaten!J$45,Bewertung_Stammdaten!I$45,IF(AI7&lt;Bewertung_Stammdaten!J$46,Bewertung_Stammdaten!I$46,Bewertung_Stammdaten!I$47)))))))))</f>
        <v>4</v>
      </c>
      <c r="AM7" s="43"/>
      <c r="AN7" s="14">
        <f ca="1">VLOOKUP(A7,Dividende_je_Aktie!A$3:AM$103,24,FALSE)</f>
        <v>0.76016666666666666</v>
      </c>
      <c r="AO7" s="14">
        <f>VLOOKUP(A7,Dividende_je_Aktie!A$3:AM$103,20,FALSE)</f>
        <v>0.70285714285714285</v>
      </c>
      <c r="AP7" s="12">
        <f ca="1">VLOOKUP(A7,Dividende_je_Aktie!A$3:AM$103,25,FALSE)</f>
        <v>8.1537940379403873E-2</v>
      </c>
      <c r="AQ7" s="40">
        <f>VLOOKUP(A7,Dividende_je_Aktie!A$3:AM$103,39,FALSE)</f>
        <v>-0.22222222222222232</v>
      </c>
      <c r="AR7" s="16">
        <f t="shared" ca="1" si="7"/>
        <v>0.59124074074074062</v>
      </c>
      <c r="AS7" s="12">
        <f t="shared" ca="1" si="8"/>
        <v>-0.15880382414935279</v>
      </c>
      <c r="AT7" s="32">
        <f ca="1">IF(AP7&lt;Bewertung_Stammdaten!B$51,Bewertung_Stammdaten!A$51,IF(AP7&lt;Bewertung_Stammdaten!B$52,Bewertung_Stammdaten!A$52,IF(AP7&lt;Bewertung_Stammdaten!B$53,Bewertung_Stammdaten!A$53,IF(AP7&lt;Bewertung_Stammdaten!B$54,Bewertung_Stammdaten!A$54,IF(AP7&lt;Bewertung_Stammdaten!B$55,Bewertung_Stammdaten!A$55,IF(AP7&lt;Bewertung_Stammdaten!B$56,Bewertung_Stammdaten!A$56,IF(AP7&lt;Bewertung_Stammdaten!B$57,Bewertung_Stammdaten!A$57,IF(AP7&lt;Bewertung_Stammdaten!B$58,Bewertung_Stammdaten!A$58,IF(AP7&lt;Bewertung_Stammdaten!B$59,Bewertung_Stammdaten!A$59,Bewertung_Stammdaten!A$60)))))))))</f>
        <v>6</v>
      </c>
      <c r="AU7" s="32">
        <f>IF(AQ7&lt;Bewertung_Stammdaten!F$51,Bewertung_Stammdaten!E$51,IF(AQ7&lt;Bewertung_Stammdaten!F$52,Bewertung_Stammdaten!E$52,IF(AQ7&lt;Bewertung_Stammdaten!F$53,Bewertung_Stammdaten!E$53,IF(AQ7&lt;Bewertung_Stammdaten!F$54,Bewertung_Stammdaten!E$54,IF(AQ7&lt;Bewertung_Stammdaten!F$55,Bewertung_Stammdaten!E$55,IF(AQ7&lt;Bewertung_Stammdaten!F$56,Bewertung_Stammdaten!E$56,IF(AQ7&lt;Bewertung_Stammdaten!F$57,Bewertung_Stammdaten!E$57,IF(AQ7&lt;Bewertung_Stammdaten!F$58,Bewertung_Stammdaten!E$58,IF(AQ7&lt;Bewertung_Stammdaten!F$59,Bewertung_Stammdaten!E$59,Bewertung_Stammdaten!E$60)))))))))</f>
        <v>7.5</v>
      </c>
      <c r="AV7" s="32">
        <f ca="1">IF(AS7&lt;Bewertung_Stammdaten!J$51,Bewertung_Stammdaten!I$51,IF(AS7&lt;Bewertung_Stammdaten!J$52,Bewertung_Stammdaten!I$52,IF(AS7&lt;Bewertung_Stammdaten!J$53,Bewertung_Stammdaten!I$53,IF(AS7&lt;Bewertung_Stammdaten!J$54,Bewertung_Stammdaten!I$54,IF(AS7&lt;Bewertung_Stammdaten!J$55,Bewertung_Stammdaten!I$55,IF(AS7&lt;Bewertung_Stammdaten!J$56,Bewertung_Stammdaten!I$56,IF(AS7&lt;Bewertung_Stammdaten!J$57,Bewertung_Stammdaten!I$57,IF(AS7&lt;Bewertung_Stammdaten!J$58,Bewertung_Stammdaten!I$58,IF(AS7&lt;Bewertung_Stammdaten!J$59,Bewertung_Stammdaten!I$59,Bewertung_Stammdaten!I$60)))))))))</f>
        <v>2</v>
      </c>
      <c r="AW7" s="43"/>
      <c r="AX7" s="12">
        <f ca="1">VLOOKUP(A7,Dividendenrendite!A$3:R$103,17,FALSE)</f>
        <v>9.7833547833547831E-3</v>
      </c>
      <c r="AY7" s="12">
        <f>VLOOKUP(A7,Dividendenrendite!A$3:R$103,16,FALSE)</f>
        <v>1.3910172121705663E-2</v>
      </c>
      <c r="AZ7" s="12">
        <f ca="1">VLOOKUP(A7,Dividendenrendite!A$3:R$103,18,FALSE)</f>
        <v>-0.2966762238629187</v>
      </c>
      <c r="BA7" s="32">
        <f ca="1">IF(AX7&lt;Bewertung_Stammdaten!B$64,Bewertung_Stammdaten!A$64,IF(AX7&lt;Bewertung_Stammdaten!B$65,Bewertung_Stammdaten!A$65,IF(AX7&lt;Bewertung_Stammdaten!B$66,Bewertung_Stammdaten!A$66,IF(AX7&lt;Bewertung_Stammdaten!B$67,Bewertung_Stammdaten!A$67,IF(AX7&lt;Bewertung_Stammdaten!B$68,Bewertung_Stammdaten!A$68,IF(AX7&lt;Bewertung_Stammdaten!B$69,Bewertung_Stammdaten!A$69,IF(AX7&lt;Bewertung_Stammdaten!B$70,Bewertung_Stammdaten!A$70,IF(AX7&lt;Bewertung_Stammdaten!B$71,Bewertung_Stammdaten!A$71,IF(AX7&lt;Bewertung_Stammdaten!B$72,Bewertung_Stammdaten!A$72,Bewertung_Stammdaten!A$73)))))))))</f>
        <v>3</v>
      </c>
      <c r="BB7" s="32">
        <f>IF(AY7&lt;Bewertung_Stammdaten!F$64,Bewertung_Stammdaten!E$64,IF(AY7&lt;Bewertung_Stammdaten!F$65,Bewertung_Stammdaten!E$65,IF(AY7&lt;Bewertung_Stammdaten!F$66,Bewertung_Stammdaten!E$66,IF(AY7&lt;Bewertung_Stammdaten!F$67,Bewertung_Stammdaten!E$67,IF(AY7&lt;Bewertung_Stammdaten!F$68,Bewertung_Stammdaten!E$68,IF(AY7&lt;Bewertung_Stammdaten!F$69,Bewertung_Stammdaten!E$69,IF(AY7&lt;Bewertung_Stammdaten!F$70,Bewertung_Stammdaten!E$70,IF(AY7&lt;Bewertung_Stammdaten!F$71,Bewertung_Stammdaten!E$71,IF(AY7&lt;Bewertung_Stammdaten!F$72,Bewertung_Stammdaten!E$72,Bewertung_Stammdaten!E$73)))))))))</f>
        <v>3</v>
      </c>
      <c r="BC7" s="32">
        <f ca="1">IF(AZ7&lt;Bewertung_Stammdaten!J$64,Bewertung_Stammdaten!I$64,IF(AZ7&lt;Bewertung_Stammdaten!J$65,Bewertung_Stammdaten!I$65,IF(AZ7&lt;Bewertung_Stammdaten!J$66,Bewertung_Stammdaten!I$66,IF(AZ7&lt;Bewertung_Stammdaten!J$67,Bewertung_Stammdaten!I$67,IF(AZ7&lt;Bewertung_Stammdaten!J$68,Bewertung_Stammdaten!I$68,IF(AZ7&lt;Bewertung_Stammdaten!J$69,Bewertung_Stammdaten!I$69,IF(AZ7&lt;Bewertung_Stammdaten!J$70,Bewertung_Stammdaten!I$70,IF(AZ7&lt;Bewertung_Stammdaten!J$71,Bewertung_Stammdaten!I$71,IF(AZ7&lt;Bewertung_Stammdaten!J$72,Bewertung_Stammdaten!I$72,Bewertung_Stammdaten!I$73)))))))))</f>
        <v>0.5</v>
      </c>
      <c r="BD7" s="43"/>
      <c r="BE7" s="12">
        <f>VLOOKUP(A7,Aktien_im_Umlauf_splitbereinigt!A$3:Z$103,26,FALSE)</f>
        <v>0</v>
      </c>
      <c r="BF7" s="12">
        <f>VLOOKUP(A7,Aktien_im_Umlauf_splitbereinigt!A$3:Y$103,24,FALSE)</f>
        <v>0</v>
      </c>
      <c r="BG7" s="12">
        <f>VLOOKUP(A7,Aktien_im_Umlauf_splitbereinigt!A$3:Y$103,25,FALSE)</f>
        <v>0</v>
      </c>
      <c r="BH7" s="41">
        <f>IF(BE7&lt;Bewertung_Stammdaten!B$77,Bewertung_Stammdaten!A$77,IF(BE7&lt;Bewertung_Stammdaten!B$78,Bewertung_Stammdaten!A$78,IF(BE7&lt;Bewertung_Stammdaten!B$79,Bewertung_Stammdaten!A$79,IF(BE7&lt;Bewertung_Stammdaten!B$80,Bewertung_Stammdaten!A$80,IF(BE7&lt;Bewertung_Stammdaten!B$81,Bewertung_Stammdaten!A$81,IF(BE7&lt;Bewertung_Stammdaten!B$82,Bewertung_Stammdaten!A$82,IF(BE7&lt;Bewertung_Stammdaten!B$83,Bewertung_Stammdaten!A$83,IF(BE7&lt;Bewertung_Stammdaten!B$84,Bewertung_Stammdaten!A$84,IF(BE7&lt;Bewertung_Stammdaten!B$85,Bewertung_Stammdaten!A$85,Bewertung_Stammdaten!A$86)))))))))</f>
        <v>2</v>
      </c>
      <c r="BI7" s="41">
        <f>IF(BF7&lt;Bewertung_Stammdaten!F$77,Bewertung_Stammdaten!E$77,IF(BF7&lt;Bewertung_Stammdaten!F$78,Bewertung_Stammdaten!E$78,IF(BF7&lt;Bewertung_Stammdaten!F$79,Bewertung_Stammdaten!E$79,IF(BF7&lt;Bewertung_Stammdaten!F$80,Bewertung_Stammdaten!E$80,IF(BF7&lt;Bewertung_Stammdaten!F$81,Bewertung_Stammdaten!E$81,IF(BF7&lt;Bewertung_Stammdaten!F$82,Bewertung_Stammdaten!E$82,IF(BF7&lt;Bewertung_Stammdaten!F$83,Bewertung_Stammdaten!E$83,IF(BF7&lt;Bewertung_Stammdaten!F$84,Bewertung_Stammdaten!E$84,IF(BF7&lt;Bewertung_Stammdaten!F$85,Bewertung_Stammdaten!E$85,Bewertung_Stammdaten!E$86)))))))))</f>
        <v>2</v>
      </c>
      <c r="BJ7" s="41">
        <f>IF(BG7&lt;Bewertung_Stammdaten!J$77,Bewertung_Stammdaten!I$77,IF(BG7&lt;Bewertung_Stammdaten!J$78,Bewertung_Stammdaten!I$78,IF(BG7&lt;Bewertung_Stammdaten!J$79,Bewertung_Stammdaten!I$79,IF(BG7&lt;Bewertung_Stammdaten!J$80,Bewertung_Stammdaten!I$80,IF(BG7&lt;Bewertung_Stammdaten!J$81,Bewertung_Stammdaten!I$81,IF(BG7&lt;Bewertung_Stammdaten!J$82,Bewertung_Stammdaten!I$82,IF(BG7&lt;Bewertung_Stammdaten!J$83,Bewertung_Stammdaten!I$83,IF(BG7&lt;Bewertung_Stammdaten!J$84,Bewertung_Stammdaten!I$84,IF(BG7&lt;Bewertung_Stammdaten!J$85,Bewertung_Stammdaten!I$85,Bewertung_Stammdaten!I$86)))))))))</f>
        <v>3</v>
      </c>
      <c r="BK7" s="43"/>
      <c r="BL7" s="12">
        <f ca="1">VLOOKUP(A7,Ausschüttungsquote!A$3:X$103,23,FALSE)</f>
        <v>0.26588490796766562</v>
      </c>
      <c r="BM7" s="12">
        <f>VLOOKUP(A7,Ausschüttungsquote!A$3:X$103,19,FALSE)</f>
        <v>0.33694811893635557</v>
      </c>
      <c r="BN7" s="12">
        <f ca="1">VLOOKUP(A7,Ausschüttungsquote!A$3:X$103,24,FALSE)</f>
        <v>-0.21090253061217634</v>
      </c>
      <c r="BO7" s="32">
        <f ca="1">IF(BL7&lt;Bewertung_Stammdaten!B$90,Bewertung_Stammdaten!A$90,IF(BL7&lt;Bewertung_Stammdaten!B$91,Bewertung_Stammdaten!A$91,IF(BL7&lt;Bewertung_Stammdaten!B$92,Bewertung_Stammdaten!A$92,IF(BL7&lt;Bewertung_Stammdaten!B$93,Bewertung_Stammdaten!A$93,IF(BL7&lt;Bewertung_Stammdaten!B$94,Bewertung_Stammdaten!A$94,IF(BL7&lt;Bewertung_Stammdaten!B$95,Bewertung_Stammdaten!A$95,IF(BL7&lt;Bewertung_Stammdaten!B$96,Bewertung_Stammdaten!A$96,IF(BL7&lt;Bewertung_Stammdaten!B$97,Bewertung_Stammdaten!A$97,IF(BL7&lt;Bewertung_Stammdaten!B$98,Bewertung_Stammdaten!A$98,Bewertung_Stammdaten!A$99)))))))))</f>
        <v>10</v>
      </c>
      <c r="BP7" s="41">
        <f>IF(BM7&lt;Bewertung_Stammdaten!F$90,Bewertung_Stammdaten!E$90,IF(BM7&lt;Bewertung_Stammdaten!F$91,Bewertung_Stammdaten!E$91,IF(BM7&lt;Bewertung_Stammdaten!F$92,Bewertung_Stammdaten!E$92,IF(BM7&lt;Bewertung_Stammdaten!F$93,Bewertung_Stammdaten!E$93,IF(BM7&lt;Bewertung_Stammdaten!F$94,Bewertung_Stammdaten!E$94,IF(BM7&lt;Bewertung_Stammdaten!F$95,Bewertung_Stammdaten!E$95,IF(BM7&lt;Bewertung_Stammdaten!F$96,Bewertung_Stammdaten!E$96,IF(BM7&lt;Bewertung_Stammdaten!F$97,Bewertung_Stammdaten!E$97,IF(BM7&lt;Bewertung_Stammdaten!F$98,Bewertung_Stammdaten!E$98,Bewertung_Stammdaten!E$99)))))))))</f>
        <v>10</v>
      </c>
      <c r="BQ7" s="32">
        <f ca="1">IF(BN7&lt;Bewertung_Stammdaten!J$90,Bewertung_Stammdaten!I$90,IF(BN7&lt;Bewertung_Stammdaten!J$91,Bewertung_Stammdaten!I$91,IF(BN7&lt;Bewertung_Stammdaten!J$92,Bewertung_Stammdaten!I$92,IF(BN7&lt;Bewertung_Stammdaten!J$93,Bewertung_Stammdaten!I$93,IF(BN7&lt;Bewertung_Stammdaten!J$94,Bewertung_Stammdaten!I$94,IF(BN7&lt;Bewertung_Stammdaten!J$95,Bewertung_Stammdaten!I$95,IF(BN7&lt;Bewertung_Stammdaten!J$96,Bewertung_Stammdaten!I$96,IF(BN7&lt;Bewertung_Stammdaten!J$97,Bewertung_Stammdaten!I$97,IF(BN7&lt;Bewertung_Stammdaten!J$98,Bewertung_Stammdaten!I$98,Bewertung_Stammdaten!I$99)))))))))</f>
        <v>10</v>
      </c>
    </row>
    <row r="8" spans="1:69" x14ac:dyDescent="0.25">
      <c r="A8" s="38" t="s">
        <v>10</v>
      </c>
      <c r="B8" s="38" t="s">
        <v>11</v>
      </c>
      <c r="C8" s="38" t="s">
        <v>296</v>
      </c>
      <c r="D8" s="32">
        <f t="shared" ca="1" si="0"/>
        <v>108.5</v>
      </c>
      <c r="E8" s="43"/>
      <c r="F8" s="66">
        <v>1</v>
      </c>
      <c r="G8" s="11">
        <f ca="1">VLOOKUP(A8,KGV!A$3:R$103,17,FALSE)</f>
        <v>15.589204596063066</v>
      </c>
      <c r="H8" s="11">
        <f>VLOOKUP(A8,KGV!A$3:R$103,16,FALSE)</f>
        <v>13.335781490015361</v>
      </c>
      <c r="I8" s="12">
        <f ca="1">VLOOKUP(A8,KGV!A$3:R$103,18,FALSE)</f>
        <v>0.16897570702810838</v>
      </c>
      <c r="J8" s="16">
        <f t="shared" ca="1" si="1"/>
        <v>99</v>
      </c>
      <c r="K8" s="12">
        <f t="shared" ca="1" si="2"/>
        <v>6.4236369330228102</v>
      </c>
      <c r="L8" s="11">
        <f ca="1">VLOOKUP(A8,KBV!A$3:R$103,17,FALSE)</f>
        <v>3.1572491175745476</v>
      </c>
      <c r="M8" s="11">
        <f>VLOOKUP(A8,KBV!A$3:R$103,16,FALSE)</f>
        <v>2.195069667738478</v>
      </c>
      <c r="N8" s="12">
        <f ca="1">VLOOKUP(A8,KBV!A$3:R$103,18,FALSE)</f>
        <v>0.43833663412942037</v>
      </c>
      <c r="O8" s="16">
        <f t="shared" ca="1" si="9"/>
        <v>4.4699230165352173</v>
      </c>
      <c r="P8" s="12">
        <f t="shared" ca="1" si="10"/>
        <v>1.0363467648571083</v>
      </c>
      <c r="Q8" s="32">
        <f ca="1">IF(F8=1,IF(I8&lt;Bewertung_Stammdaten!B$12,Bewertung_Stammdaten!A$12,IF(I8&lt;Bewertung_Stammdaten!B$13,Bewertung_Stammdaten!A$13,IF(I8&lt;Bewertung_Stammdaten!B$14,Bewertung_Stammdaten!A$14,IF(I8&lt;Bewertung_Stammdaten!B$15,Bewertung_Stammdaten!A$15,IF(I8&lt;Bewertung_Stammdaten!B$16,Bewertung_Stammdaten!A$16,IF(I8&lt;Bewertung_Stammdaten!B$17,Bewertung_Stammdaten!A$17,IF(I8&lt;Bewertung_Stammdaten!B$18,Bewertung_Stammdaten!A$18,IF(I8&lt;Bewertung_Stammdaten!B$19,Bewertung_Stammdaten!A$19,IF(I8&lt;Bewertung_Stammdaten!B$20,Bewertung_Stammdaten!A$20,Bewertung_Stammdaten!A$21))))))))),IF(N8&lt;Bewertung_Stammdaten!C$12,Bewertung_Stammdaten!A$12,IF(N8&lt;Bewertung_Stammdaten!C$13,Bewertung_Stammdaten!A$13,IF(N8&lt;Bewertung_Stammdaten!C$14,Bewertung_Stammdaten!A$14,IF(N8&lt;Bewertung_Stammdaten!C$15,Bewertung_Stammdaten!A$15,IF(N8&lt;Bewertung_Stammdaten!C$16,Bewertung_Stammdaten!A$16,IF(N8&lt;Bewertung_Stammdaten!C$17,Bewertung_Stammdaten!A$17,IF(N8&lt;Bewertung_Stammdaten!C$18,Bewertung_Stammdaten!A$18,IF(N8&lt;Bewertung_Stammdaten!C$19,Bewertung_Stammdaten!A$19,IF(N8&lt;Bewertung_Stammdaten!C$20,Bewertung_Stammdaten!A$20,Bewertung_Stammdaten!A$21))))))))))</f>
        <v>18</v>
      </c>
      <c r="R8" s="32">
        <f ca="1">IF(F8=1,IF(K8&lt;Bewertung_Stammdaten!F$12,Bewertung_Stammdaten!E$12,IF(K8&lt;Bewertung_Stammdaten!F$13,Bewertung_Stammdaten!E$13,IF(K8&lt;Bewertung_Stammdaten!F$14,Bewertung_Stammdaten!E$14,IF(K8&lt;Bewertung_Stammdaten!F$15,Bewertung_Stammdaten!E$15,IF(K8&lt;Bewertung_Stammdaten!F$16,Bewertung_Stammdaten!E$16,IF(K8&lt;Bewertung_Stammdaten!F$17,Bewertung_Stammdaten!E$17,IF(K8&lt;Bewertung_Stammdaten!F$18,Bewertung_Stammdaten!E$18,IF(K8&lt;Bewertung_Stammdaten!F$19,Bewertung_Stammdaten!E$19,IF(K8&lt;Bewertung_Stammdaten!F$20,Bewertung_Stammdaten!E$20,Bewertung_Stammdaten!E$21))))))))),IF(P8&lt;Bewertung_Stammdaten!G$12,Bewertung_Stammdaten!E$12,IF(P8&lt;Bewertung_Stammdaten!G$13,Bewertung_Stammdaten!E$13,IF(P8&lt;Bewertung_Stammdaten!G$14,Bewertung_Stammdaten!E$14,IF(P8&lt;Bewertung_Stammdaten!G$15,Bewertung_Stammdaten!E$15,IF(P8&lt;Bewertung_Stammdaten!G$16,Bewertung_Stammdaten!E$16,IF(P8&lt;Bewertung_Stammdaten!G$17,Bewertung_Stammdaten!E$17,IF(P8&lt;Bewertung_Stammdaten!G$18,Bewertung_Stammdaten!E$18,IF(P8&lt;Bewertung_Stammdaten!G$19,Bewertung_Stammdaten!E$19,IF(P8&lt;Bewertung_Stammdaten!G$20,Bewertung_Stammdaten!E$20,Bewertung_Stammdaten!E$21))))))))))</f>
        <v>2.5</v>
      </c>
      <c r="S8" s="43"/>
      <c r="T8" s="11">
        <f ca="1">VLOOKUP(A8,Buchwert_je_Aktie!A$3:AK$103,23,FALSE)</f>
        <v>9.2390555555555558</v>
      </c>
      <c r="U8" s="11">
        <f>VLOOKUP(A8,Buchwert_je_Aktie!A$3:AK$103,19,FALSE)</f>
        <v>8.7684615384615388</v>
      </c>
      <c r="V8" s="12">
        <f ca="1">VLOOKUP(A8,Buchwert_je_Aktie!A$3:AK$103,24,FALSE)</f>
        <v>5.3668937821056417E-2</v>
      </c>
      <c r="W8" s="12">
        <f>VLOOKUP(A8,Buchwert_je_Aktie!A$3:AK$103,37,FALSE)</f>
        <v>-0.29366812227074235</v>
      </c>
      <c r="X8" s="16">
        <f t="shared" ca="1" si="3"/>
        <v>6.5258394590004851</v>
      </c>
      <c r="Y8" s="12">
        <f t="shared" ca="1" si="4"/>
        <v>-0.25576004064386082</v>
      </c>
      <c r="Z8" s="51">
        <f ca="1">IF(V8&lt;Bewertung_Stammdaten!B$25,Bewertung_Stammdaten!A$25,IF(V8&lt;Bewertung_Stammdaten!B$26,Bewertung_Stammdaten!A$26,IF(V8&lt;Bewertung_Stammdaten!B$27,Bewertung_Stammdaten!A$27,IF(V8&lt;Bewertung_Stammdaten!B$28,Bewertung_Stammdaten!A$28,IF(V8&lt;Bewertung_Stammdaten!B$29,Bewertung_Stammdaten!A$29,IF(V8&lt;Bewertung_Stammdaten!B$30,Bewertung_Stammdaten!A$30,IF(V8&lt;Bewertung_Stammdaten!B$31,Bewertung_Stammdaten!A$31,IF(V8&lt;Bewertung_Stammdaten!B$32,Bewertung_Stammdaten!A$32,IF(V8&lt;Bewertung_Stammdaten!B$33,Bewertung_Stammdaten!A$33,Bewertung_Stammdaten!A$34)))))))))</f>
        <v>4.5</v>
      </c>
      <c r="AA8" s="51">
        <f>IF(W8&lt;Bewertung_Stammdaten!F$25,Bewertung_Stammdaten!E$25,IF(W8&lt;Bewertung_Stammdaten!F$26,Bewertung_Stammdaten!E$26,IF(W8&lt;Bewertung_Stammdaten!F$27,Bewertung_Stammdaten!E$27,IF(W8&lt;Bewertung_Stammdaten!F$28,Bewertung_Stammdaten!E$28,IF(W8&lt;Bewertung_Stammdaten!F$29,Bewertung_Stammdaten!E$29,IF(W8&lt;Bewertung_Stammdaten!F$30,Bewertung_Stammdaten!E$30,IF(W8&lt;Bewertung_Stammdaten!F$31,Bewertung_Stammdaten!E$31,IF(W8&lt;Bewertung_Stammdaten!F$32,Bewertung_Stammdaten!E$32,IF(W8&lt;Bewertung_Stammdaten!F$33,Bewertung_Stammdaten!E$33,Bewertung_Stammdaten!E$34)))))))))</f>
        <v>3</v>
      </c>
      <c r="AB8" s="51">
        <f ca="1">IF(Y8&lt;Bewertung_Stammdaten!J$25,Bewertung_Stammdaten!I$25,IF(Y8&lt;Bewertung_Stammdaten!J$26,Bewertung_Stammdaten!I$26,IF(Y8&lt;Bewertung_Stammdaten!J$27,Bewertung_Stammdaten!I$27,IF(Y8&lt;Bewertung_Stammdaten!J$28,Bewertung_Stammdaten!I$28,IF(Y8&lt;Bewertung_Stammdaten!J$29,Bewertung_Stammdaten!I$29,IF(Y8&lt;Bewertung_Stammdaten!J$30,Bewertung_Stammdaten!I$30,IF(Y8&lt;Bewertung_Stammdaten!J$31,Bewertung_Stammdaten!I$31,IF(Y8&lt;Bewertung_Stammdaten!J$32,Bewertung_Stammdaten!I$32,IF(Y8&lt;Bewertung_Stammdaten!J$33,Bewertung_Stammdaten!I$33,Bewertung_Stammdaten!I$34)))))))))</f>
        <v>1</v>
      </c>
      <c r="AC8" s="43"/>
      <c r="AD8" s="14">
        <f ca="1">VLOOKUP(A8,Ergebnis_je_Aktie_verwässert!A$3:AK$103,23,FALSE)</f>
        <v>1.8711666666666664</v>
      </c>
      <c r="AE8" s="14">
        <f>VLOOKUP(A8,Ergebnis_je_Aktie_verwässert!A$3:AK$103,19,FALSE)</f>
        <v>1.3484615384615384</v>
      </c>
      <c r="AF8" s="12">
        <f ca="1">VLOOKUP(A8,Ergebnis_je_Aktie_verwässert!A$3:AK$103,24,FALSE)</f>
        <v>0.38763072827533751</v>
      </c>
      <c r="AG8" s="40">
        <f>VLOOKUP(A8,Ergebnis_je_Aktie_verwässert!A$3:AK$103,37,FALSE)</f>
        <v>-2.2173913043478262</v>
      </c>
      <c r="AH8" s="16">
        <f t="shared" ca="1" si="5"/>
        <v>-2.2779420289855072</v>
      </c>
      <c r="AI8" s="12">
        <f t="shared" ca="1" si="6"/>
        <v>-2.6892895822482368</v>
      </c>
      <c r="AJ8" s="32">
        <f ca="1">IF(AF8&lt;Bewertung_Stammdaten!B$38,Bewertung_Stammdaten!A$38,IF(AF8&lt;Bewertung_Stammdaten!B$39,Bewertung_Stammdaten!A$39,IF(AF8&lt;Bewertung_Stammdaten!B$40,Bewertung_Stammdaten!A$40,IF(AF8&lt;Bewertung_Stammdaten!B$41,Bewertung_Stammdaten!A$41,IF(AF8&lt;Bewertung_Stammdaten!B$42,Bewertung_Stammdaten!A$42,IF(AF8&lt;Bewertung_Stammdaten!B$43,Bewertung_Stammdaten!A$43,IF(AF8&lt;Bewertung_Stammdaten!B$44,Bewertung_Stammdaten!A$44,IF(AF8&lt;Bewertung_Stammdaten!B$45,Bewertung_Stammdaten!A$45,IF(AF8&lt;Bewertung_Stammdaten!B$46,Bewertung_Stammdaten!A$46,Bewertung_Stammdaten!A$47)))))))))</f>
        <v>14</v>
      </c>
      <c r="AK8" s="32">
        <f>IF(AG8&lt;Bewertung_Stammdaten!F$38,Bewertung_Stammdaten!E$38,IF(AG8&lt;Bewertung_Stammdaten!F$39,Bewertung_Stammdaten!E$39,IF(AG8&lt;Bewertung_Stammdaten!F$40,Bewertung_Stammdaten!E$40,IF(AG8&lt;Bewertung_Stammdaten!F$41,Bewertung_Stammdaten!E$41,IF(AG8&lt;Bewertung_Stammdaten!F$42,Bewertung_Stammdaten!E$42,IF(AG8&lt;Bewertung_Stammdaten!F$43,Bewertung_Stammdaten!E$43,IF(AG8&lt;Bewertung_Stammdaten!F$44,Bewertung_Stammdaten!E$44,IF(AG8&lt;Bewertung_Stammdaten!F$45,Bewertung_Stammdaten!E$45,IF(AG8&lt;Bewertung_Stammdaten!F$46,Bewertung_Stammdaten!E$46,Bewertung_Stammdaten!E$47)))))))))</f>
        <v>1.5</v>
      </c>
      <c r="AL8" s="32">
        <f ca="1">IF(AI8&lt;Bewertung_Stammdaten!J$38,Bewertung_Stammdaten!I$38,IF(AI8&lt;Bewertung_Stammdaten!J$39,Bewertung_Stammdaten!I$39,IF(AI8&lt;Bewertung_Stammdaten!J$40,Bewertung_Stammdaten!I$40,IF(AI8&lt;Bewertung_Stammdaten!J$41,Bewertung_Stammdaten!I$41,IF(AI8&lt;Bewertung_Stammdaten!J$42,Bewertung_Stammdaten!I$42,IF(AI8&lt;Bewertung_Stammdaten!J$43,Bewertung_Stammdaten!I$43,IF(AI8&lt;Bewertung_Stammdaten!J$44,Bewertung_Stammdaten!I$44,IF(AI8&lt;Bewertung_Stammdaten!J$45,Bewertung_Stammdaten!I$45,IF(AI8&lt;Bewertung_Stammdaten!J$46,Bewertung_Stammdaten!I$46,Bewertung_Stammdaten!I$47)))))))))</f>
        <v>1</v>
      </c>
      <c r="AM8" s="43"/>
      <c r="AN8" s="14">
        <f ca="1">VLOOKUP(A8,Dividende_je_Aktie!A$3:AM$103,24,FALSE)</f>
        <v>0.94388888888888889</v>
      </c>
      <c r="AO8" s="14">
        <f>VLOOKUP(A8,Dividende_je_Aktie!A$3:AM$103,20,FALSE)</f>
        <v>0.76928571428571424</v>
      </c>
      <c r="AP8" s="12">
        <f ca="1">VLOOKUP(A8,Dividende_je_Aktie!A$3:AM$103,25,FALSE)</f>
        <v>0.22696791499019908</v>
      </c>
      <c r="AQ8" s="40">
        <f>VLOOKUP(A8,Dividende_je_Aktie!A$3:AM$103,39,FALSE)</f>
        <v>-0.33333333333333337</v>
      </c>
      <c r="AR8" s="16">
        <f t="shared" ca="1" si="7"/>
        <v>0.62925925925925918</v>
      </c>
      <c r="AS8" s="12">
        <f t="shared" ca="1" si="8"/>
        <v>-0.18202139000653395</v>
      </c>
      <c r="AT8" s="32">
        <f ca="1">IF(AP8&lt;Bewertung_Stammdaten!B$51,Bewertung_Stammdaten!A$51,IF(AP8&lt;Bewertung_Stammdaten!B$52,Bewertung_Stammdaten!A$52,IF(AP8&lt;Bewertung_Stammdaten!B$53,Bewertung_Stammdaten!A$53,IF(AP8&lt;Bewertung_Stammdaten!B$54,Bewertung_Stammdaten!A$54,IF(AP8&lt;Bewertung_Stammdaten!B$55,Bewertung_Stammdaten!A$55,IF(AP8&lt;Bewertung_Stammdaten!B$56,Bewertung_Stammdaten!A$56,IF(AP8&lt;Bewertung_Stammdaten!B$57,Bewertung_Stammdaten!A$57,IF(AP8&lt;Bewertung_Stammdaten!B$58,Bewertung_Stammdaten!A$58,IF(AP8&lt;Bewertung_Stammdaten!B$59,Bewertung_Stammdaten!A$59,Bewertung_Stammdaten!A$60)))))))))</f>
        <v>10</v>
      </c>
      <c r="AU8" s="32">
        <f>IF(AQ8&lt;Bewertung_Stammdaten!F$51,Bewertung_Stammdaten!E$51,IF(AQ8&lt;Bewertung_Stammdaten!F$52,Bewertung_Stammdaten!E$52,IF(AQ8&lt;Bewertung_Stammdaten!F$53,Bewertung_Stammdaten!E$53,IF(AQ8&lt;Bewertung_Stammdaten!F$54,Bewertung_Stammdaten!E$54,IF(AQ8&lt;Bewertung_Stammdaten!F$55,Bewertung_Stammdaten!E$55,IF(AQ8&lt;Bewertung_Stammdaten!F$56,Bewertung_Stammdaten!E$56,IF(AQ8&lt;Bewertung_Stammdaten!F$57,Bewertung_Stammdaten!E$57,IF(AQ8&lt;Bewertung_Stammdaten!F$58,Bewertung_Stammdaten!E$58,IF(AQ8&lt;Bewertung_Stammdaten!F$59,Bewertung_Stammdaten!E$59,Bewertung_Stammdaten!E$60)))))))))</f>
        <v>6</v>
      </c>
      <c r="AV8" s="32">
        <f ca="1">IF(AS8&lt;Bewertung_Stammdaten!J$51,Bewertung_Stammdaten!I$51,IF(AS8&lt;Bewertung_Stammdaten!J$52,Bewertung_Stammdaten!I$52,IF(AS8&lt;Bewertung_Stammdaten!J$53,Bewertung_Stammdaten!I$53,IF(AS8&lt;Bewertung_Stammdaten!J$54,Bewertung_Stammdaten!I$54,IF(AS8&lt;Bewertung_Stammdaten!J$55,Bewertung_Stammdaten!I$55,IF(AS8&lt;Bewertung_Stammdaten!J$56,Bewertung_Stammdaten!I$56,IF(AS8&lt;Bewertung_Stammdaten!J$57,Bewertung_Stammdaten!I$57,IF(AS8&lt;Bewertung_Stammdaten!J$58,Bewertung_Stammdaten!I$58,IF(AS8&lt;Bewertung_Stammdaten!J$59,Bewertung_Stammdaten!I$59,Bewertung_Stammdaten!I$60)))))))))</f>
        <v>2</v>
      </c>
      <c r="AW8" s="43"/>
      <c r="AX8" s="12">
        <f ca="1">VLOOKUP(A8,Dividendenrendite!A$3:R$103,17,FALSE)</f>
        <v>3.2358206681141199E-2</v>
      </c>
      <c r="AY8" s="12">
        <f>VLOOKUP(A8,Dividendenrendite!A$3:R$103,16,FALSE)</f>
        <v>3.9189775093289213E-2</v>
      </c>
      <c r="AZ8" s="12">
        <f ca="1">VLOOKUP(A8,Dividendenrendite!A$3:R$103,18,FALSE)</f>
        <v>-0.17432017397103761</v>
      </c>
      <c r="BA8" s="32">
        <f ca="1">IF(AX8&lt;Bewertung_Stammdaten!B$64,Bewertung_Stammdaten!A$64,IF(AX8&lt;Bewertung_Stammdaten!B$65,Bewertung_Stammdaten!A$65,IF(AX8&lt;Bewertung_Stammdaten!B$66,Bewertung_Stammdaten!A$66,IF(AX8&lt;Bewertung_Stammdaten!B$67,Bewertung_Stammdaten!A$67,IF(AX8&lt;Bewertung_Stammdaten!B$68,Bewertung_Stammdaten!A$68,IF(AX8&lt;Bewertung_Stammdaten!B$69,Bewertung_Stammdaten!A$69,IF(AX8&lt;Bewertung_Stammdaten!B$70,Bewertung_Stammdaten!A$70,IF(AX8&lt;Bewertung_Stammdaten!B$71,Bewertung_Stammdaten!A$71,IF(AX8&lt;Bewertung_Stammdaten!B$72,Bewertung_Stammdaten!A$72,Bewertung_Stammdaten!A$73)))))))))</f>
        <v>10.5</v>
      </c>
      <c r="BB8" s="32">
        <f>IF(AY8&lt;Bewertung_Stammdaten!F$64,Bewertung_Stammdaten!E$64,IF(AY8&lt;Bewertung_Stammdaten!F$65,Bewertung_Stammdaten!E$65,IF(AY8&lt;Bewertung_Stammdaten!F$66,Bewertung_Stammdaten!E$66,IF(AY8&lt;Bewertung_Stammdaten!F$67,Bewertung_Stammdaten!E$67,IF(AY8&lt;Bewertung_Stammdaten!F$68,Bewertung_Stammdaten!E$68,IF(AY8&lt;Bewertung_Stammdaten!F$69,Bewertung_Stammdaten!E$69,IF(AY8&lt;Bewertung_Stammdaten!F$70,Bewertung_Stammdaten!E$70,IF(AY8&lt;Bewertung_Stammdaten!F$71,Bewertung_Stammdaten!E$71,IF(AY8&lt;Bewertung_Stammdaten!F$72,Bewertung_Stammdaten!E$72,Bewertung_Stammdaten!E$73)))))))))</f>
        <v>8</v>
      </c>
      <c r="BC8" s="32">
        <f ca="1">IF(AZ8&lt;Bewertung_Stammdaten!J$64,Bewertung_Stammdaten!I$64,IF(AZ8&lt;Bewertung_Stammdaten!J$65,Bewertung_Stammdaten!I$65,IF(AZ8&lt;Bewertung_Stammdaten!J$66,Bewertung_Stammdaten!I$66,IF(AZ8&lt;Bewertung_Stammdaten!J$67,Bewertung_Stammdaten!I$67,IF(AZ8&lt;Bewertung_Stammdaten!J$68,Bewertung_Stammdaten!I$68,IF(AZ8&lt;Bewertung_Stammdaten!J$69,Bewertung_Stammdaten!I$69,IF(AZ8&lt;Bewertung_Stammdaten!J$70,Bewertung_Stammdaten!I$70,IF(AZ8&lt;Bewertung_Stammdaten!J$71,Bewertung_Stammdaten!I$71,IF(AZ8&lt;Bewertung_Stammdaten!J$72,Bewertung_Stammdaten!I$72,Bewertung_Stammdaten!I$73)))))))))</f>
        <v>1</v>
      </c>
      <c r="BD8" s="43"/>
      <c r="BE8" s="12">
        <f>VLOOKUP(A8,Aktien_im_Umlauf_splitbereinigt!A$3:Z$103,26,FALSE)</f>
        <v>1.6542597187758634E-3</v>
      </c>
      <c r="BF8" s="12">
        <f>VLOOKUP(A8,Aktien_im_Umlauf_splitbereinigt!A$3:Y$103,24,FALSE)</f>
        <v>1.6686401696157649E-3</v>
      </c>
      <c r="BG8" s="12">
        <f>VLOOKUP(A8,Aktien_im_Umlauf_splitbereinigt!A$3:Y$103,25,FALSE)</f>
        <v>-99.999989999999997</v>
      </c>
      <c r="BH8" s="41">
        <f>IF(BE8&lt;Bewertung_Stammdaten!B$77,Bewertung_Stammdaten!A$77,IF(BE8&lt;Bewertung_Stammdaten!B$78,Bewertung_Stammdaten!A$78,IF(BE8&lt;Bewertung_Stammdaten!B$79,Bewertung_Stammdaten!A$79,IF(BE8&lt;Bewertung_Stammdaten!B$80,Bewertung_Stammdaten!A$80,IF(BE8&lt;Bewertung_Stammdaten!B$81,Bewertung_Stammdaten!A$81,IF(BE8&lt;Bewertung_Stammdaten!B$82,Bewertung_Stammdaten!A$82,IF(BE8&lt;Bewertung_Stammdaten!B$83,Bewertung_Stammdaten!A$83,IF(BE8&lt;Bewertung_Stammdaten!B$84,Bewertung_Stammdaten!A$84,IF(BE8&lt;Bewertung_Stammdaten!B$85,Bewertung_Stammdaten!A$85,Bewertung_Stammdaten!A$86)))))))))</f>
        <v>2</v>
      </c>
      <c r="BI8" s="41">
        <f>IF(BF8&lt;Bewertung_Stammdaten!F$77,Bewertung_Stammdaten!E$77,IF(BF8&lt;Bewertung_Stammdaten!F$78,Bewertung_Stammdaten!E$78,IF(BF8&lt;Bewertung_Stammdaten!F$79,Bewertung_Stammdaten!E$79,IF(BF8&lt;Bewertung_Stammdaten!F$80,Bewertung_Stammdaten!E$80,IF(BF8&lt;Bewertung_Stammdaten!F$81,Bewertung_Stammdaten!E$81,IF(BF8&lt;Bewertung_Stammdaten!F$82,Bewertung_Stammdaten!E$82,IF(BF8&lt;Bewertung_Stammdaten!F$83,Bewertung_Stammdaten!E$83,IF(BF8&lt;Bewertung_Stammdaten!F$84,Bewertung_Stammdaten!E$84,IF(BF8&lt;Bewertung_Stammdaten!F$85,Bewertung_Stammdaten!E$85,Bewertung_Stammdaten!E$86)))))))))</f>
        <v>2</v>
      </c>
      <c r="BJ8" s="41">
        <f>IF(BG8&lt;Bewertung_Stammdaten!J$77,Bewertung_Stammdaten!I$77,IF(BG8&lt;Bewertung_Stammdaten!J$78,Bewertung_Stammdaten!I$78,IF(BG8&lt;Bewertung_Stammdaten!J$79,Bewertung_Stammdaten!I$79,IF(BG8&lt;Bewertung_Stammdaten!J$80,Bewertung_Stammdaten!I$80,IF(BG8&lt;Bewertung_Stammdaten!J$81,Bewertung_Stammdaten!I$81,IF(BG8&lt;Bewertung_Stammdaten!J$82,Bewertung_Stammdaten!I$82,IF(BG8&lt;Bewertung_Stammdaten!J$83,Bewertung_Stammdaten!I$83,IF(BG8&lt;Bewertung_Stammdaten!J$84,Bewertung_Stammdaten!I$84,IF(BG8&lt;Bewertung_Stammdaten!J$85,Bewertung_Stammdaten!I$85,Bewertung_Stammdaten!I$86)))))))))</f>
        <v>0.5</v>
      </c>
      <c r="BK8" s="43"/>
      <c r="BL8" s="12">
        <f ca="1">VLOOKUP(A8,Ausschüttungsquote!A$3:X$103,23,FALSE)</f>
        <v>0.50451584669246352</v>
      </c>
      <c r="BM8" s="12">
        <f>VLOOKUP(A8,Ausschüttungsquote!A$3:X$103,19,FALSE)</f>
        <v>0.67841249397882841</v>
      </c>
      <c r="BN8" s="12">
        <f ca="1">VLOOKUP(A8,Ausschüttungsquote!A$3:X$103,24,FALSE)</f>
        <v>-0.25632878054246411</v>
      </c>
      <c r="BO8" s="32">
        <f ca="1">IF(BL8&lt;Bewertung_Stammdaten!B$90,Bewertung_Stammdaten!A$90,IF(BL8&lt;Bewertung_Stammdaten!B$91,Bewertung_Stammdaten!A$91,IF(BL8&lt;Bewertung_Stammdaten!B$92,Bewertung_Stammdaten!A$92,IF(BL8&lt;Bewertung_Stammdaten!B$93,Bewertung_Stammdaten!A$93,IF(BL8&lt;Bewertung_Stammdaten!B$94,Bewertung_Stammdaten!A$94,IF(BL8&lt;Bewertung_Stammdaten!B$95,Bewertung_Stammdaten!A$95,IF(BL8&lt;Bewertung_Stammdaten!B$96,Bewertung_Stammdaten!A$96,IF(BL8&lt;Bewertung_Stammdaten!B$97,Bewertung_Stammdaten!A$97,IF(BL8&lt;Bewertung_Stammdaten!B$98,Bewertung_Stammdaten!A$98,Bewertung_Stammdaten!A$99)))))))))</f>
        <v>7</v>
      </c>
      <c r="BP8" s="41">
        <f>IF(BM8&lt;Bewertung_Stammdaten!F$90,Bewertung_Stammdaten!E$90,IF(BM8&lt;Bewertung_Stammdaten!F$91,Bewertung_Stammdaten!E$91,IF(BM8&lt;Bewertung_Stammdaten!F$92,Bewertung_Stammdaten!E$92,IF(BM8&lt;Bewertung_Stammdaten!F$93,Bewertung_Stammdaten!E$93,IF(BM8&lt;Bewertung_Stammdaten!F$94,Bewertung_Stammdaten!E$94,IF(BM8&lt;Bewertung_Stammdaten!F$95,Bewertung_Stammdaten!E$95,IF(BM8&lt;Bewertung_Stammdaten!F$96,Bewertung_Stammdaten!E$96,IF(BM8&lt;Bewertung_Stammdaten!F$97,Bewertung_Stammdaten!E$97,IF(BM8&lt;Bewertung_Stammdaten!F$98,Bewertung_Stammdaten!E$98,Bewertung_Stammdaten!E$99)))))))))</f>
        <v>4</v>
      </c>
      <c r="BQ8" s="32">
        <f ca="1">IF(BN8&lt;Bewertung_Stammdaten!J$90,Bewertung_Stammdaten!I$90,IF(BN8&lt;Bewertung_Stammdaten!J$91,Bewertung_Stammdaten!I$91,IF(BN8&lt;Bewertung_Stammdaten!J$92,Bewertung_Stammdaten!I$92,IF(BN8&lt;Bewertung_Stammdaten!J$93,Bewertung_Stammdaten!I$93,IF(BN8&lt;Bewertung_Stammdaten!J$94,Bewertung_Stammdaten!I$94,IF(BN8&lt;Bewertung_Stammdaten!J$95,Bewertung_Stammdaten!I$95,IF(BN8&lt;Bewertung_Stammdaten!J$96,Bewertung_Stammdaten!I$96,IF(BN8&lt;Bewertung_Stammdaten!J$97,Bewertung_Stammdaten!I$97,IF(BN8&lt;Bewertung_Stammdaten!J$98,Bewertung_Stammdaten!I$98,Bewertung_Stammdaten!I$99)))))))))</f>
        <v>10</v>
      </c>
    </row>
    <row r="9" spans="1:69" x14ac:dyDescent="0.25">
      <c r="A9" s="38" t="s">
        <v>12</v>
      </c>
      <c r="B9" s="38" t="s">
        <v>13</v>
      </c>
      <c r="C9" s="38" t="s">
        <v>296</v>
      </c>
      <c r="D9" s="32">
        <f t="shared" ca="1" si="0"/>
        <v>71</v>
      </c>
      <c r="E9" s="43"/>
      <c r="F9" s="66">
        <v>1</v>
      </c>
      <c r="G9" s="11">
        <f ca="1">VLOOKUP(A9,KGV!A$3:R$103,17,FALSE)</f>
        <v>24.974772956609481</v>
      </c>
      <c r="H9" s="11">
        <f>VLOOKUP(A9,KGV!A$3:R$103,16,FALSE)</f>
        <v>15.644444444444444</v>
      </c>
      <c r="I9" s="12">
        <f ca="1">VLOOKUP(A9,KGV!A$3:R$103,18,FALSE)</f>
        <v>0.59639883955600381</v>
      </c>
      <c r="J9" s="16">
        <f t="shared" ca="1" si="1"/>
        <v>32.57579081296889</v>
      </c>
      <c r="K9" s="12">
        <f t="shared" ca="1" si="2"/>
        <v>1.0822593559426137</v>
      </c>
      <c r="L9" s="11">
        <f ca="1">VLOOKUP(A9,KBV!A$3:R$103,17,FALSE)</f>
        <v>2.6342164314793299</v>
      </c>
      <c r="M9" s="11">
        <f>VLOOKUP(A9,KBV!A$3:R$103,16,FALSE)</f>
        <v>1.3346190935390549</v>
      </c>
      <c r="N9" s="12">
        <f ca="1">VLOOKUP(A9,KBV!A$3:R$103,18,FALSE)</f>
        <v>0.9737589880376194</v>
      </c>
      <c r="O9" s="16">
        <f t="shared" ca="1" si="9"/>
        <v>3.4427383064878372</v>
      </c>
      <c r="P9" s="12">
        <f t="shared" ca="1" si="10"/>
        <v>1.5795662021877797</v>
      </c>
      <c r="Q9" s="32">
        <f ca="1">IF(F9=1,IF(I9&lt;Bewertung_Stammdaten!B$12,Bewertung_Stammdaten!A$12,IF(I9&lt;Bewertung_Stammdaten!B$13,Bewertung_Stammdaten!A$13,IF(I9&lt;Bewertung_Stammdaten!B$14,Bewertung_Stammdaten!A$14,IF(I9&lt;Bewertung_Stammdaten!B$15,Bewertung_Stammdaten!A$15,IF(I9&lt;Bewertung_Stammdaten!B$16,Bewertung_Stammdaten!A$16,IF(I9&lt;Bewertung_Stammdaten!B$17,Bewertung_Stammdaten!A$17,IF(I9&lt;Bewertung_Stammdaten!B$18,Bewertung_Stammdaten!A$18,IF(I9&lt;Bewertung_Stammdaten!B$19,Bewertung_Stammdaten!A$19,IF(I9&lt;Bewertung_Stammdaten!B$20,Bewertung_Stammdaten!A$20,Bewertung_Stammdaten!A$21))))))))),IF(N9&lt;Bewertung_Stammdaten!C$12,Bewertung_Stammdaten!A$12,IF(N9&lt;Bewertung_Stammdaten!C$13,Bewertung_Stammdaten!A$13,IF(N9&lt;Bewertung_Stammdaten!C$14,Bewertung_Stammdaten!A$14,IF(N9&lt;Bewertung_Stammdaten!C$15,Bewertung_Stammdaten!A$15,IF(N9&lt;Bewertung_Stammdaten!C$16,Bewertung_Stammdaten!A$16,IF(N9&lt;Bewertung_Stammdaten!C$17,Bewertung_Stammdaten!A$17,IF(N9&lt;Bewertung_Stammdaten!C$18,Bewertung_Stammdaten!A$18,IF(N9&lt;Bewertung_Stammdaten!C$19,Bewertung_Stammdaten!A$19,IF(N9&lt;Bewertung_Stammdaten!C$20,Bewertung_Stammdaten!A$20,Bewertung_Stammdaten!A$21))))))))))</f>
        <v>6</v>
      </c>
      <c r="R9" s="32">
        <f ca="1">IF(F9=1,IF(K9&lt;Bewertung_Stammdaten!F$12,Bewertung_Stammdaten!E$12,IF(K9&lt;Bewertung_Stammdaten!F$13,Bewertung_Stammdaten!E$13,IF(K9&lt;Bewertung_Stammdaten!F$14,Bewertung_Stammdaten!E$14,IF(K9&lt;Bewertung_Stammdaten!F$15,Bewertung_Stammdaten!E$15,IF(K9&lt;Bewertung_Stammdaten!F$16,Bewertung_Stammdaten!E$16,IF(K9&lt;Bewertung_Stammdaten!F$17,Bewertung_Stammdaten!E$17,IF(K9&lt;Bewertung_Stammdaten!F$18,Bewertung_Stammdaten!E$18,IF(K9&lt;Bewertung_Stammdaten!F$19,Bewertung_Stammdaten!E$19,IF(K9&lt;Bewertung_Stammdaten!F$20,Bewertung_Stammdaten!E$20,Bewertung_Stammdaten!E$21))))))))),IF(P9&lt;Bewertung_Stammdaten!G$12,Bewertung_Stammdaten!E$12,IF(P9&lt;Bewertung_Stammdaten!G$13,Bewertung_Stammdaten!E$13,IF(P9&lt;Bewertung_Stammdaten!G$14,Bewertung_Stammdaten!E$14,IF(P9&lt;Bewertung_Stammdaten!G$15,Bewertung_Stammdaten!E$15,IF(P9&lt;Bewertung_Stammdaten!G$16,Bewertung_Stammdaten!E$16,IF(P9&lt;Bewertung_Stammdaten!G$17,Bewertung_Stammdaten!E$17,IF(P9&lt;Bewertung_Stammdaten!G$18,Bewertung_Stammdaten!E$18,IF(P9&lt;Bewertung_Stammdaten!G$19,Bewertung_Stammdaten!E$19,IF(P9&lt;Bewertung_Stammdaten!G$20,Bewertung_Stammdaten!E$20,Bewertung_Stammdaten!E$21))))))))))</f>
        <v>2.5</v>
      </c>
      <c r="S9" s="43"/>
      <c r="T9" s="11">
        <f ca="1">VLOOKUP(A9,Buchwert_je_Aktie!A$3:AK$103,23,FALSE)</f>
        <v>6.2637222222222215</v>
      </c>
      <c r="U9" s="11">
        <f>VLOOKUP(A9,Buchwert_je_Aktie!A$3:AK$103,19,FALSE)</f>
        <v>8.7153846153846164</v>
      </c>
      <c r="V9" s="12">
        <f ca="1">VLOOKUP(A9,Buchwert_je_Aktie!A$3:AK$103,24,FALSE)</f>
        <v>-0.28130283416691204</v>
      </c>
      <c r="W9" s="12">
        <f>VLOOKUP(A9,Buchwert_je_Aktie!A$3:AK$103,37,FALSE)</f>
        <v>-0.23484848484848486</v>
      </c>
      <c r="X9" s="16">
        <f t="shared" ca="1" si="3"/>
        <v>4.7926965488215485</v>
      </c>
      <c r="Y9" s="12">
        <f t="shared" ca="1" si="4"/>
        <v>-0.45008777462771299</v>
      </c>
      <c r="Z9" s="51">
        <f ca="1">IF(V9&lt;Bewertung_Stammdaten!B$25,Bewertung_Stammdaten!A$25,IF(V9&lt;Bewertung_Stammdaten!B$26,Bewertung_Stammdaten!A$26,IF(V9&lt;Bewertung_Stammdaten!B$27,Bewertung_Stammdaten!A$27,IF(V9&lt;Bewertung_Stammdaten!B$28,Bewertung_Stammdaten!A$28,IF(V9&lt;Bewertung_Stammdaten!B$29,Bewertung_Stammdaten!A$29,IF(V9&lt;Bewertung_Stammdaten!B$30,Bewertung_Stammdaten!A$30,IF(V9&lt;Bewertung_Stammdaten!B$31,Bewertung_Stammdaten!A$31,IF(V9&lt;Bewertung_Stammdaten!B$32,Bewertung_Stammdaten!A$32,IF(V9&lt;Bewertung_Stammdaten!B$33,Bewertung_Stammdaten!A$33,Bewertung_Stammdaten!A$34)))))))))</f>
        <v>1.5</v>
      </c>
      <c r="AA9" s="51">
        <f>IF(W9&lt;Bewertung_Stammdaten!F$25,Bewertung_Stammdaten!E$25,IF(W9&lt;Bewertung_Stammdaten!F$26,Bewertung_Stammdaten!E$26,IF(W9&lt;Bewertung_Stammdaten!F$27,Bewertung_Stammdaten!E$27,IF(W9&lt;Bewertung_Stammdaten!F$28,Bewertung_Stammdaten!E$28,IF(W9&lt;Bewertung_Stammdaten!F$29,Bewertung_Stammdaten!E$29,IF(W9&lt;Bewertung_Stammdaten!F$30,Bewertung_Stammdaten!E$30,IF(W9&lt;Bewertung_Stammdaten!F$31,Bewertung_Stammdaten!E$31,IF(W9&lt;Bewertung_Stammdaten!F$32,Bewertung_Stammdaten!E$32,IF(W9&lt;Bewertung_Stammdaten!F$33,Bewertung_Stammdaten!E$33,Bewertung_Stammdaten!E$34)))))))))</f>
        <v>4.5</v>
      </c>
      <c r="AB9" s="51">
        <f ca="1">IF(Y9&lt;Bewertung_Stammdaten!J$25,Bewertung_Stammdaten!I$25,IF(Y9&lt;Bewertung_Stammdaten!J$26,Bewertung_Stammdaten!I$26,IF(Y9&lt;Bewertung_Stammdaten!J$27,Bewertung_Stammdaten!I$27,IF(Y9&lt;Bewertung_Stammdaten!J$28,Bewertung_Stammdaten!I$28,IF(Y9&lt;Bewertung_Stammdaten!J$29,Bewertung_Stammdaten!I$29,IF(Y9&lt;Bewertung_Stammdaten!J$30,Bewertung_Stammdaten!I$30,IF(Y9&lt;Bewertung_Stammdaten!J$31,Bewertung_Stammdaten!I$31,IF(Y9&lt;Bewertung_Stammdaten!J$32,Bewertung_Stammdaten!I$32,IF(Y9&lt;Bewertung_Stammdaten!J$33,Bewertung_Stammdaten!I$33,Bewertung_Stammdaten!I$34)))))))))</f>
        <v>1</v>
      </c>
      <c r="AC9" s="43"/>
      <c r="AD9" s="14">
        <f ca="1">VLOOKUP(A9,Ergebnis_je_Aktie_verwässert!A$3:AK$103,23,FALSE)</f>
        <v>0.66066666666666674</v>
      </c>
      <c r="AE9" s="14">
        <f>VLOOKUP(A9,Ergebnis_je_Aktie_verwässert!A$3:AK$103,19,FALSE)</f>
        <v>0.74692307692307702</v>
      </c>
      <c r="AF9" s="12">
        <f ca="1">VLOOKUP(A9,Ergebnis_je_Aktie_verwässert!A$3:AK$103,24,FALSE)</f>
        <v>-0.1154823206316512</v>
      </c>
      <c r="AG9" s="40">
        <f>VLOOKUP(A9,Ergebnis_je_Aktie_verwässert!A$3:AK$103,37,FALSE)</f>
        <v>-0.23333333333333339</v>
      </c>
      <c r="AH9" s="16">
        <f t="shared" ca="1" si="5"/>
        <v>0.50651111111111113</v>
      </c>
      <c r="AI9" s="12">
        <f t="shared" ca="1" si="6"/>
        <v>-0.32186977915093262</v>
      </c>
      <c r="AJ9" s="32">
        <f ca="1">IF(AF9&lt;Bewertung_Stammdaten!B$38,Bewertung_Stammdaten!A$38,IF(AF9&lt;Bewertung_Stammdaten!B$39,Bewertung_Stammdaten!A$39,IF(AF9&lt;Bewertung_Stammdaten!B$40,Bewertung_Stammdaten!A$40,IF(AF9&lt;Bewertung_Stammdaten!B$41,Bewertung_Stammdaten!A$41,IF(AF9&lt;Bewertung_Stammdaten!B$42,Bewertung_Stammdaten!A$42,IF(AF9&lt;Bewertung_Stammdaten!B$43,Bewertung_Stammdaten!A$43,IF(AF9&lt;Bewertung_Stammdaten!B$44,Bewertung_Stammdaten!A$44,IF(AF9&lt;Bewertung_Stammdaten!B$45,Bewertung_Stammdaten!A$45,IF(AF9&lt;Bewertung_Stammdaten!B$46,Bewertung_Stammdaten!A$46,Bewertung_Stammdaten!A$47)))))))))</f>
        <v>4</v>
      </c>
      <c r="AK9" s="32">
        <f>IF(AG9&lt;Bewertung_Stammdaten!F$38,Bewertung_Stammdaten!E$38,IF(AG9&lt;Bewertung_Stammdaten!F$39,Bewertung_Stammdaten!E$39,IF(AG9&lt;Bewertung_Stammdaten!F$40,Bewertung_Stammdaten!E$40,IF(AG9&lt;Bewertung_Stammdaten!F$41,Bewertung_Stammdaten!E$41,IF(AG9&lt;Bewertung_Stammdaten!F$42,Bewertung_Stammdaten!E$42,IF(AG9&lt;Bewertung_Stammdaten!F$43,Bewertung_Stammdaten!E$43,IF(AG9&lt;Bewertung_Stammdaten!F$44,Bewertung_Stammdaten!E$44,IF(AG9&lt;Bewertung_Stammdaten!F$45,Bewertung_Stammdaten!E$45,IF(AG9&lt;Bewertung_Stammdaten!F$46,Bewertung_Stammdaten!E$46,Bewertung_Stammdaten!E$47)))))))))</f>
        <v>7.5</v>
      </c>
      <c r="AL9" s="32">
        <f ca="1">IF(AI9&lt;Bewertung_Stammdaten!J$38,Bewertung_Stammdaten!I$38,IF(AI9&lt;Bewertung_Stammdaten!J$39,Bewertung_Stammdaten!I$39,IF(AI9&lt;Bewertung_Stammdaten!J$40,Bewertung_Stammdaten!I$40,IF(AI9&lt;Bewertung_Stammdaten!J$41,Bewertung_Stammdaten!I$41,IF(AI9&lt;Bewertung_Stammdaten!J$42,Bewertung_Stammdaten!I$42,IF(AI9&lt;Bewertung_Stammdaten!J$43,Bewertung_Stammdaten!I$43,IF(AI9&lt;Bewertung_Stammdaten!J$44,Bewertung_Stammdaten!I$44,IF(AI9&lt;Bewertung_Stammdaten!J$45,Bewertung_Stammdaten!I$45,IF(AI9&lt;Bewertung_Stammdaten!J$46,Bewertung_Stammdaten!I$46,Bewertung_Stammdaten!I$47)))))))))</f>
        <v>1</v>
      </c>
      <c r="AM9" s="43"/>
      <c r="AN9" s="14">
        <f ca="1">VLOOKUP(A9,Dividende_je_Aktie!A$3:AM$103,24,FALSE)</f>
        <v>0.55694444444444446</v>
      </c>
      <c r="AO9" s="14">
        <f>VLOOKUP(A9,Dividende_je_Aktie!A$3:AM$103,20,FALSE)</f>
        <v>0.66142857142857137</v>
      </c>
      <c r="AP9" s="12">
        <f ca="1">VLOOKUP(A9,Dividende_je_Aktie!A$3:AM$103,25,FALSE)</f>
        <v>-0.15796736261099098</v>
      </c>
      <c r="AQ9" s="40">
        <f>VLOOKUP(A9,Dividende_je_Aktie!A$3:AM$103,39,FALSE)</f>
        <v>-0.2857142857142857</v>
      </c>
      <c r="AR9" s="16">
        <f t="shared" ca="1" si="7"/>
        <v>0.39781746031746035</v>
      </c>
      <c r="AS9" s="12">
        <f t="shared" ca="1" si="8"/>
        <v>-0.39854811615070784</v>
      </c>
      <c r="AT9" s="32">
        <f ca="1">IF(AP9&lt;Bewertung_Stammdaten!B$51,Bewertung_Stammdaten!A$51,IF(AP9&lt;Bewertung_Stammdaten!B$52,Bewertung_Stammdaten!A$52,IF(AP9&lt;Bewertung_Stammdaten!B$53,Bewertung_Stammdaten!A$53,IF(AP9&lt;Bewertung_Stammdaten!B$54,Bewertung_Stammdaten!A$54,IF(AP9&lt;Bewertung_Stammdaten!B$55,Bewertung_Stammdaten!A$55,IF(AP9&lt;Bewertung_Stammdaten!B$56,Bewertung_Stammdaten!A$56,IF(AP9&lt;Bewertung_Stammdaten!B$57,Bewertung_Stammdaten!A$57,IF(AP9&lt;Bewertung_Stammdaten!B$58,Bewertung_Stammdaten!A$58,IF(AP9&lt;Bewertung_Stammdaten!B$59,Bewertung_Stammdaten!A$59,Bewertung_Stammdaten!A$60)))))))))</f>
        <v>2</v>
      </c>
      <c r="AU9" s="32">
        <f>IF(AQ9&lt;Bewertung_Stammdaten!F$51,Bewertung_Stammdaten!E$51,IF(AQ9&lt;Bewertung_Stammdaten!F$52,Bewertung_Stammdaten!E$52,IF(AQ9&lt;Bewertung_Stammdaten!F$53,Bewertung_Stammdaten!E$53,IF(AQ9&lt;Bewertung_Stammdaten!F$54,Bewertung_Stammdaten!E$54,IF(AQ9&lt;Bewertung_Stammdaten!F$55,Bewertung_Stammdaten!E$55,IF(AQ9&lt;Bewertung_Stammdaten!F$56,Bewertung_Stammdaten!E$56,IF(AQ9&lt;Bewertung_Stammdaten!F$57,Bewertung_Stammdaten!E$57,IF(AQ9&lt;Bewertung_Stammdaten!F$58,Bewertung_Stammdaten!E$58,IF(AQ9&lt;Bewertung_Stammdaten!F$59,Bewertung_Stammdaten!E$59,Bewertung_Stammdaten!E$60)))))))))</f>
        <v>7.5</v>
      </c>
      <c r="AV9" s="32">
        <f ca="1">IF(AS9&lt;Bewertung_Stammdaten!J$51,Bewertung_Stammdaten!I$51,IF(AS9&lt;Bewertung_Stammdaten!J$52,Bewertung_Stammdaten!I$52,IF(AS9&lt;Bewertung_Stammdaten!J$53,Bewertung_Stammdaten!I$53,IF(AS9&lt;Bewertung_Stammdaten!J$54,Bewertung_Stammdaten!I$54,IF(AS9&lt;Bewertung_Stammdaten!J$55,Bewertung_Stammdaten!I$55,IF(AS9&lt;Bewertung_Stammdaten!J$56,Bewertung_Stammdaten!I$56,IF(AS9&lt;Bewertung_Stammdaten!J$57,Bewertung_Stammdaten!I$57,IF(AS9&lt;Bewertung_Stammdaten!J$58,Bewertung_Stammdaten!I$58,IF(AS9&lt;Bewertung_Stammdaten!J$59,Bewertung_Stammdaten!I$59,Bewertung_Stammdaten!I$60)))))))))</f>
        <v>1</v>
      </c>
      <c r="AW9" s="43"/>
      <c r="AX9" s="12">
        <f ca="1">VLOOKUP(A9,Dividendenrendite!A$3:R$103,17,FALSE)</f>
        <v>3.3754208754208759E-2</v>
      </c>
      <c r="AY9" s="12">
        <f>VLOOKUP(A9,Dividendenrendite!A$3:R$103,16,FALSE)</f>
        <v>5.5387656454784745E-2</v>
      </c>
      <c r="AZ9" s="12">
        <f ca="1">VLOOKUP(A9,Dividendenrendite!A$3:R$103,18,FALSE)</f>
        <v>-0.39058247063109219</v>
      </c>
      <c r="BA9" s="32">
        <f ca="1">IF(AX9&lt;Bewertung_Stammdaten!B$64,Bewertung_Stammdaten!A$64,IF(AX9&lt;Bewertung_Stammdaten!B$65,Bewertung_Stammdaten!A$65,IF(AX9&lt;Bewertung_Stammdaten!B$66,Bewertung_Stammdaten!A$66,IF(AX9&lt;Bewertung_Stammdaten!B$67,Bewertung_Stammdaten!A$67,IF(AX9&lt;Bewertung_Stammdaten!B$68,Bewertung_Stammdaten!A$68,IF(AX9&lt;Bewertung_Stammdaten!B$69,Bewertung_Stammdaten!A$69,IF(AX9&lt;Bewertung_Stammdaten!B$70,Bewertung_Stammdaten!A$70,IF(AX9&lt;Bewertung_Stammdaten!B$71,Bewertung_Stammdaten!A$71,IF(AX9&lt;Bewertung_Stammdaten!B$72,Bewertung_Stammdaten!A$72,Bewertung_Stammdaten!A$73)))))))))</f>
        <v>10.5</v>
      </c>
      <c r="BB9" s="32">
        <f>IF(AY9&lt;Bewertung_Stammdaten!F$64,Bewertung_Stammdaten!E$64,IF(AY9&lt;Bewertung_Stammdaten!F$65,Bewertung_Stammdaten!E$65,IF(AY9&lt;Bewertung_Stammdaten!F$66,Bewertung_Stammdaten!E$66,IF(AY9&lt;Bewertung_Stammdaten!F$67,Bewertung_Stammdaten!E$67,IF(AY9&lt;Bewertung_Stammdaten!F$68,Bewertung_Stammdaten!E$68,IF(AY9&lt;Bewertung_Stammdaten!F$69,Bewertung_Stammdaten!E$69,IF(AY9&lt;Bewertung_Stammdaten!F$70,Bewertung_Stammdaten!E$70,IF(AY9&lt;Bewertung_Stammdaten!F$71,Bewertung_Stammdaten!E$71,IF(AY9&lt;Bewertung_Stammdaten!F$72,Bewertung_Stammdaten!E$72,Bewertung_Stammdaten!E$73)))))))))</f>
        <v>10</v>
      </c>
      <c r="BC9" s="32">
        <f ca="1">IF(AZ9&lt;Bewertung_Stammdaten!J$64,Bewertung_Stammdaten!I$64,IF(AZ9&lt;Bewertung_Stammdaten!J$65,Bewertung_Stammdaten!I$65,IF(AZ9&lt;Bewertung_Stammdaten!J$66,Bewertung_Stammdaten!I$66,IF(AZ9&lt;Bewertung_Stammdaten!J$67,Bewertung_Stammdaten!I$67,IF(AZ9&lt;Bewertung_Stammdaten!J$68,Bewertung_Stammdaten!I$68,IF(AZ9&lt;Bewertung_Stammdaten!J$69,Bewertung_Stammdaten!I$69,IF(AZ9&lt;Bewertung_Stammdaten!J$70,Bewertung_Stammdaten!I$70,IF(AZ9&lt;Bewertung_Stammdaten!J$71,Bewertung_Stammdaten!I$71,IF(AZ9&lt;Bewertung_Stammdaten!J$72,Bewertung_Stammdaten!I$72,Bewertung_Stammdaten!I$73)))))))))</f>
        <v>0.5</v>
      </c>
      <c r="BD9" s="43"/>
      <c r="BE9" s="12">
        <f>VLOOKUP(A9,Aktien_im_Umlauf_splitbereinigt!A$3:Z$103,26,FALSE)</f>
        <v>1.9096832172545541E-2</v>
      </c>
      <c r="BF9" s="12">
        <f>VLOOKUP(A9,Aktien_im_Umlauf_splitbereinigt!A$3:Y$103,24,FALSE)</f>
        <v>8.7598072922090188E-3</v>
      </c>
      <c r="BG9" s="12">
        <f>VLOOKUP(A9,Aktien_im_Umlauf_splitbereinigt!A$3:Y$103,25,FALSE)</f>
        <v>-99.999989999999997</v>
      </c>
      <c r="BH9" s="41">
        <f>IF(BE9&lt;Bewertung_Stammdaten!B$77,Bewertung_Stammdaten!A$77,IF(BE9&lt;Bewertung_Stammdaten!B$78,Bewertung_Stammdaten!A$78,IF(BE9&lt;Bewertung_Stammdaten!B$79,Bewertung_Stammdaten!A$79,IF(BE9&lt;Bewertung_Stammdaten!B$80,Bewertung_Stammdaten!A$80,IF(BE9&lt;Bewertung_Stammdaten!B$81,Bewertung_Stammdaten!A$81,IF(BE9&lt;Bewertung_Stammdaten!B$82,Bewertung_Stammdaten!A$82,IF(BE9&lt;Bewertung_Stammdaten!B$83,Bewertung_Stammdaten!A$83,IF(BE9&lt;Bewertung_Stammdaten!B$84,Bewertung_Stammdaten!A$84,IF(BE9&lt;Bewertung_Stammdaten!B$85,Bewertung_Stammdaten!A$85,Bewertung_Stammdaten!A$86)))))))))</f>
        <v>1</v>
      </c>
      <c r="BI9" s="41">
        <f>IF(BF9&lt;Bewertung_Stammdaten!F$77,Bewertung_Stammdaten!E$77,IF(BF9&lt;Bewertung_Stammdaten!F$78,Bewertung_Stammdaten!E$78,IF(BF9&lt;Bewertung_Stammdaten!F$79,Bewertung_Stammdaten!E$79,IF(BF9&lt;Bewertung_Stammdaten!F$80,Bewertung_Stammdaten!E$80,IF(BF9&lt;Bewertung_Stammdaten!F$81,Bewertung_Stammdaten!E$81,IF(BF9&lt;Bewertung_Stammdaten!F$82,Bewertung_Stammdaten!E$82,IF(BF9&lt;Bewertung_Stammdaten!F$83,Bewertung_Stammdaten!E$83,IF(BF9&lt;Bewertung_Stammdaten!F$84,Bewertung_Stammdaten!E$84,IF(BF9&lt;Bewertung_Stammdaten!F$85,Bewertung_Stammdaten!E$85,Bewertung_Stammdaten!E$86)))))))))</f>
        <v>1</v>
      </c>
      <c r="BJ9" s="41">
        <f>IF(BG9&lt;Bewertung_Stammdaten!J$77,Bewertung_Stammdaten!I$77,IF(BG9&lt;Bewertung_Stammdaten!J$78,Bewertung_Stammdaten!I$78,IF(BG9&lt;Bewertung_Stammdaten!J$79,Bewertung_Stammdaten!I$79,IF(BG9&lt;Bewertung_Stammdaten!J$80,Bewertung_Stammdaten!I$80,IF(BG9&lt;Bewertung_Stammdaten!J$81,Bewertung_Stammdaten!I$81,IF(BG9&lt;Bewertung_Stammdaten!J$82,Bewertung_Stammdaten!I$82,IF(BG9&lt;Bewertung_Stammdaten!J$83,Bewertung_Stammdaten!I$83,IF(BG9&lt;Bewertung_Stammdaten!J$84,Bewertung_Stammdaten!I$84,IF(BG9&lt;Bewertung_Stammdaten!J$85,Bewertung_Stammdaten!I$85,Bewertung_Stammdaten!I$86)))))))))</f>
        <v>0.5</v>
      </c>
      <c r="BK9" s="43"/>
      <c r="BL9" s="12">
        <f ca="1">VLOOKUP(A9,Ausschüttungsquote!A$3:X$103,23,FALSE)</f>
        <v>0.84600164680809842</v>
      </c>
      <c r="BM9" s="12">
        <f>VLOOKUP(A9,Ausschüttungsquote!A$3:X$103,19,FALSE)</f>
        <v>0.9096111336741457</v>
      </c>
      <c r="BN9" s="12">
        <f ca="1">VLOOKUP(A9,Ausschüttungsquote!A$3:X$103,24,FALSE)</f>
        <v>-6.9930418077791878E-2</v>
      </c>
      <c r="BO9" s="32">
        <f ca="1">IF(BL9&lt;Bewertung_Stammdaten!B$90,Bewertung_Stammdaten!A$90,IF(BL9&lt;Bewertung_Stammdaten!B$91,Bewertung_Stammdaten!A$91,IF(BL9&lt;Bewertung_Stammdaten!B$92,Bewertung_Stammdaten!A$92,IF(BL9&lt;Bewertung_Stammdaten!B$93,Bewertung_Stammdaten!A$93,IF(BL9&lt;Bewertung_Stammdaten!B$94,Bewertung_Stammdaten!A$94,IF(BL9&lt;Bewertung_Stammdaten!B$95,Bewertung_Stammdaten!A$95,IF(BL9&lt;Bewertung_Stammdaten!B$96,Bewertung_Stammdaten!A$96,IF(BL9&lt;Bewertung_Stammdaten!B$97,Bewertung_Stammdaten!A$97,IF(BL9&lt;Bewertung_Stammdaten!B$98,Bewertung_Stammdaten!A$98,Bewertung_Stammdaten!A$99)))))))))</f>
        <v>1</v>
      </c>
      <c r="BP9" s="41">
        <f>IF(BM9&lt;Bewertung_Stammdaten!F$90,Bewertung_Stammdaten!E$90,IF(BM9&lt;Bewertung_Stammdaten!F$91,Bewertung_Stammdaten!E$91,IF(BM9&lt;Bewertung_Stammdaten!F$92,Bewertung_Stammdaten!E$92,IF(BM9&lt;Bewertung_Stammdaten!F$93,Bewertung_Stammdaten!E$93,IF(BM9&lt;Bewertung_Stammdaten!F$94,Bewertung_Stammdaten!E$94,IF(BM9&lt;Bewertung_Stammdaten!F$95,Bewertung_Stammdaten!E$95,IF(BM9&lt;Bewertung_Stammdaten!F$96,Bewertung_Stammdaten!E$96,IF(BM9&lt;Bewertung_Stammdaten!F$97,Bewertung_Stammdaten!E$97,IF(BM9&lt;Bewertung_Stammdaten!F$98,Bewertung_Stammdaten!E$98,Bewertung_Stammdaten!E$99)))))))))</f>
        <v>1</v>
      </c>
      <c r="BQ9" s="32">
        <f ca="1">IF(BN9&lt;Bewertung_Stammdaten!J$90,Bewertung_Stammdaten!I$90,IF(BN9&lt;Bewertung_Stammdaten!J$91,Bewertung_Stammdaten!I$91,IF(BN9&lt;Bewertung_Stammdaten!J$92,Bewertung_Stammdaten!I$92,IF(BN9&lt;Bewertung_Stammdaten!J$93,Bewertung_Stammdaten!I$93,IF(BN9&lt;Bewertung_Stammdaten!J$94,Bewertung_Stammdaten!I$94,IF(BN9&lt;Bewertung_Stammdaten!J$95,Bewertung_Stammdaten!I$95,IF(BN9&lt;Bewertung_Stammdaten!J$96,Bewertung_Stammdaten!I$96,IF(BN9&lt;Bewertung_Stammdaten!J$97,Bewertung_Stammdaten!I$97,IF(BN9&lt;Bewertung_Stammdaten!J$98,Bewertung_Stammdaten!I$98,Bewertung_Stammdaten!I$99)))))))))</f>
        <v>7</v>
      </c>
    </row>
    <row r="10" spans="1:69" x14ac:dyDescent="0.25">
      <c r="A10" s="38" t="s">
        <v>14</v>
      </c>
      <c r="B10" s="38" t="s">
        <v>15</v>
      </c>
      <c r="C10" s="38" t="s">
        <v>296</v>
      </c>
      <c r="D10" s="32">
        <f t="shared" ca="1" si="0"/>
        <v>186.5</v>
      </c>
      <c r="E10" s="43"/>
      <c r="F10" s="66">
        <v>1</v>
      </c>
      <c r="G10" s="11">
        <f ca="1">VLOOKUP(A10,KGV!A$3:R$103,17,FALSE)</f>
        <v>20.945920738014891</v>
      </c>
      <c r="H10" s="11">
        <f>VLOOKUP(A10,KGV!A$3:R$103,16,FALSE)</f>
        <v>19.061111111111114</v>
      </c>
      <c r="I10" s="12">
        <f ca="1">VLOOKUP(A10,KGV!A$3:R$103,18,FALSE)</f>
        <v>9.8882463667350651E-2</v>
      </c>
      <c r="J10" s="16">
        <f t="shared" ca="1" si="1"/>
        <v>22.085834791784411</v>
      </c>
      <c r="K10" s="12">
        <f t="shared" ca="1" si="2"/>
        <v>0.15868559094176438</v>
      </c>
      <c r="L10" s="11">
        <f ca="1">VLOOKUP(A10,KBV!A$3:R$103,17,FALSE)</f>
        <v>3.660601031355581</v>
      </c>
      <c r="M10" s="11">
        <f>VLOOKUP(A10,KBV!A$3:R$103,16,FALSE)</f>
        <v>3.9238035264483626</v>
      </c>
      <c r="N10" s="12">
        <f ca="1">VLOOKUP(A10,KBV!A$3:R$103,18,FALSE)</f>
        <v>-6.7078408314449889E-2</v>
      </c>
      <c r="O10" s="16">
        <f t="shared" ca="1" si="9"/>
        <v>3.660601031355581</v>
      </c>
      <c r="P10" s="12">
        <f t="shared" ca="1" si="10"/>
        <v>-6.7078408314449889E-2</v>
      </c>
      <c r="Q10" s="32">
        <f ca="1">IF(F10=1,IF(I10&lt;Bewertung_Stammdaten!B$12,Bewertung_Stammdaten!A$12,IF(I10&lt;Bewertung_Stammdaten!B$13,Bewertung_Stammdaten!A$13,IF(I10&lt;Bewertung_Stammdaten!B$14,Bewertung_Stammdaten!A$14,IF(I10&lt;Bewertung_Stammdaten!B$15,Bewertung_Stammdaten!A$15,IF(I10&lt;Bewertung_Stammdaten!B$16,Bewertung_Stammdaten!A$16,IF(I10&lt;Bewertung_Stammdaten!B$17,Bewertung_Stammdaten!A$17,IF(I10&lt;Bewertung_Stammdaten!B$18,Bewertung_Stammdaten!A$18,IF(I10&lt;Bewertung_Stammdaten!B$19,Bewertung_Stammdaten!A$19,IF(I10&lt;Bewertung_Stammdaten!B$20,Bewertung_Stammdaten!A$20,Bewertung_Stammdaten!A$21))))))))),IF(N10&lt;Bewertung_Stammdaten!C$12,Bewertung_Stammdaten!A$12,IF(N10&lt;Bewertung_Stammdaten!C$13,Bewertung_Stammdaten!A$13,IF(N10&lt;Bewertung_Stammdaten!C$14,Bewertung_Stammdaten!A$14,IF(N10&lt;Bewertung_Stammdaten!C$15,Bewertung_Stammdaten!A$15,IF(N10&lt;Bewertung_Stammdaten!C$16,Bewertung_Stammdaten!A$16,IF(N10&lt;Bewertung_Stammdaten!C$17,Bewertung_Stammdaten!A$17,IF(N10&lt;Bewertung_Stammdaten!C$18,Bewertung_Stammdaten!A$18,IF(N10&lt;Bewertung_Stammdaten!C$19,Bewertung_Stammdaten!A$19,IF(N10&lt;Bewertung_Stammdaten!C$20,Bewertung_Stammdaten!A$20,Bewertung_Stammdaten!A$21))))))))))</f>
        <v>30</v>
      </c>
      <c r="R10" s="32">
        <f ca="1">IF(F10=1,IF(K10&lt;Bewertung_Stammdaten!F$12,Bewertung_Stammdaten!E$12,IF(K10&lt;Bewertung_Stammdaten!F$13,Bewertung_Stammdaten!E$13,IF(K10&lt;Bewertung_Stammdaten!F$14,Bewertung_Stammdaten!E$14,IF(K10&lt;Bewertung_Stammdaten!F$15,Bewertung_Stammdaten!E$15,IF(K10&lt;Bewertung_Stammdaten!F$16,Bewertung_Stammdaten!E$16,IF(K10&lt;Bewertung_Stammdaten!F$17,Bewertung_Stammdaten!E$17,IF(K10&lt;Bewertung_Stammdaten!F$18,Bewertung_Stammdaten!E$18,IF(K10&lt;Bewertung_Stammdaten!F$19,Bewertung_Stammdaten!E$19,IF(K10&lt;Bewertung_Stammdaten!F$20,Bewertung_Stammdaten!E$20,Bewertung_Stammdaten!E$21))))))))),IF(P10&lt;Bewertung_Stammdaten!G$12,Bewertung_Stammdaten!E$12,IF(P10&lt;Bewertung_Stammdaten!G$13,Bewertung_Stammdaten!E$13,IF(P10&lt;Bewertung_Stammdaten!G$14,Bewertung_Stammdaten!E$14,IF(P10&lt;Bewertung_Stammdaten!G$15,Bewertung_Stammdaten!E$15,IF(P10&lt;Bewertung_Stammdaten!G$16,Bewertung_Stammdaten!E$16,IF(P10&lt;Bewertung_Stammdaten!G$17,Bewertung_Stammdaten!E$17,IF(P10&lt;Bewertung_Stammdaten!G$18,Bewertung_Stammdaten!E$18,IF(P10&lt;Bewertung_Stammdaten!G$19,Bewertung_Stammdaten!E$19,IF(P10&lt;Bewertung_Stammdaten!G$20,Bewertung_Stammdaten!E$20,Bewertung_Stammdaten!E$21))))))))))</f>
        <v>15</v>
      </c>
      <c r="S10" s="43"/>
      <c r="T10" s="11">
        <f ca="1">VLOOKUP(A10,Buchwert_je_Aktie!A$3:AK$103,23,FALSE)</f>
        <v>18.745555555555555</v>
      </c>
      <c r="U10" s="11">
        <f>VLOOKUP(A10,Buchwert_je_Aktie!A$3:AK$103,19,FALSE)</f>
        <v>11.315384615384614</v>
      </c>
      <c r="V10" s="12">
        <f ca="1">VLOOKUP(A10,Buchwert_je_Aktie!A$3:AK$103,24,FALSE)</f>
        <v>0.65664325100083087</v>
      </c>
      <c r="W10" s="12">
        <f>VLOOKUP(A10,Buchwert_je_Aktie!A$3:AK$103,37,FALSE)</f>
        <v>5.908096280087527E-2</v>
      </c>
      <c r="X10" s="16">
        <f t="shared" ca="1" si="3"/>
        <v>18.745555555555555</v>
      </c>
      <c r="Y10" s="12">
        <f t="shared" ca="1" si="4"/>
        <v>0.65664325100083087</v>
      </c>
      <c r="Z10" s="51">
        <f ca="1">IF(V10&lt;Bewertung_Stammdaten!B$25,Bewertung_Stammdaten!A$25,IF(V10&lt;Bewertung_Stammdaten!B$26,Bewertung_Stammdaten!A$26,IF(V10&lt;Bewertung_Stammdaten!B$27,Bewertung_Stammdaten!A$27,IF(V10&lt;Bewertung_Stammdaten!B$28,Bewertung_Stammdaten!A$28,IF(V10&lt;Bewertung_Stammdaten!B$29,Bewertung_Stammdaten!A$29,IF(V10&lt;Bewertung_Stammdaten!B$30,Bewertung_Stammdaten!A$30,IF(V10&lt;Bewertung_Stammdaten!B$31,Bewertung_Stammdaten!A$31,IF(V10&lt;Bewertung_Stammdaten!B$32,Bewertung_Stammdaten!A$32,IF(V10&lt;Bewertung_Stammdaten!B$33,Bewertung_Stammdaten!A$33,Bewertung_Stammdaten!A$34)))))))))</f>
        <v>13.5</v>
      </c>
      <c r="AA10" s="51">
        <f>IF(W10&lt;Bewertung_Stammdaten!F$25,Bewertung_Stammdaten!E$25,IF(W10&lt;Bewertung_Stammdaten!F$26,Bewertung_Stammdaten!E$26,IF(W10&lt;Bewertung_Stammdaten!F$27,Bewertung_Stammdaten!E$27,IF(W10&lt;Bewertung_Stammdaten!F$28,Bewertung_Stammdaten!E$28,IF(W10&lt;Bewertung_Stammdaten!F$29,Bewertung_Stammdaten!E$29,IF(W10&lt;Bewertung_Stammdaten!F$30,Bewertung_Stammdaten!E$30,IF(W10&lt;Bewertung_Stammdaten!F$31,Bewertung_Stammdaten!E$31,IF(W10&lt;Bewertung_Stammdaten!F$32,Bewertung_Stammdaten!E$32,IF(W10&lt;Bewertung_Stammdaten!F$33,Bewertung_Stammdaten!E$33,Bewertung_Stammdaten!E$34)))))))))</f>
        <v>13.5</v>
      </c>
      <c r="AB10" s="51">
        <f ca="1">IF(Y10&lt;Bewertung_Stammdaten!J$25,Bewertung_Stammdaten!I$25,IF(Y10&lt;Bewertung_Stammdaten!J$26,Bewertung_Stammdaten!I$26,IF(Y10&lt;Bewertung_Stammdaten!J$27,Bewertung_Stammdaten!I$27,IF(Y10&lt;Bewertung_Stammdaten!J$28,Bewertung_Stammdaten!I$28,IF(Y10&lt;Bewertung_Stammdaten!J$29,Bewertung_Stammdaten!I$29,IF(Y10&lt;Bewertung_Stammdaten!J$30,Bewertung_Stammdaten!I$30,IF(Y10&lt;Bewertung_Stammdaten!J$31,Bewertung_Stammdaten!I$31,IF(Y10&lt;Bewertung_Stammdaten!J$32,Bewertung_Stammdaten!I$32,IF(Y10&lt;Bewertung_Stammdaten!J$33,Bewertung_Stammdaten!I$33,Bewertung_Stammdaten!I$34)))))))))</f>
        <v>9</v>
      </c>
      <c r="AC10" s="43"/>
      <c r="AD10" s="14">
        <f ca="1">VLOOKUP(A10,Ergebnis_je_Aktie_verwässert!A$3:AK$103,23,FALSE)</f>
        <v>3.2760555555555557</v>
      </c>
      <c r="AE10" s="14">
        <f>VLOOKUP(A10,Ergebnis_je_Aktie_verwässert!A$3:AK$103,19,FALSE)</f>
        <v>2.3384615384615381</v>
      </c>
      <c r="AF10" s="12">
        <f ca="1">VLOOKUP(A10,Ergebnis_je_Aktie_verwässert!A$3:AK$103,24,FALSE)</f>
        <v>0.40094480994152071</v>
      </c>
      <c r="AG10" s="40">
        <f>VLOOKUP(A10,Ergebnis_je_Aktie_verwässert!A$3:AK$103,37,FALSE)</f>
        <v>-5.1612903225806472E-2</v>
      </c>
      <c r="AH10" s="16">
        <f t="shared" ca="1" si="5"/>
        <v>3.1069688172043013</v>
      </c>
      <c r="AI10" s="12">
        <f t="shared" ca="1" si="6"/>
        <v>0.32863798104131314</v>
      </c>
      <c r="AJ10" s="32">
        <f ca="1">IF(AF10&lt;Bewertung_Stammdaten!B$38,Bewertung_Stammdaten!A$38,IF(AF10&lt;Bewertung_Stammdaten!B$39,Bewertung_Stammdaten!A$39,IF(AF10&lt;Bewertung_Stammdaten!B$40,Bewertung_Stammdaten!A$40,IF(AF10&lt;Bewertung_Stammdaten!B$41,Bewertung_Stammdaten!A$41,IF(AF10&lt;Bewertung_Stammdaten!B$42,Bewertung_Stammdaten!A$42,IF(AF10&lt;Bewertung_Stammdaten!B$43,Bewertung_Stammdaten!A$43,IF(AF10&lt;Bewertung_Stammdaten!B$44,Bewertung_Stammdaten!A$44,IF(AF10&lt;Bewertung_Stammdaten!B$45,Bewertung_Stammdaten!A$45,IF(AF10&lt;Bewertung_Stammdaten!B$46,Bewertung_Stammdaten!A$46,Bewertung_Stammdaten!A$47)))))))))</f>
        <v>16</v>
      </c>
      <c r="AK10" s="32">
        <f>IF(AG10&lt;Bewertung_Stammdaten!F$38,Bewertung_Stammdaten!E$38,IF(AG10&lt;Bewertung_Stammdaten!F$39,Bewertung_Stammdaten!E$39,IF(AG10&lt;Bewertung_Stammdaten!F$40,Bewertung_Stammdaten!E$40,IF(AG10&lt;Bewertung_Stammdaten!F$41,Bewertung_Stammdaten!E$41,IF(AG10&lt;Bewertung_Stammdaten!F$42,Bewertung_Stammdaten!E$42,IF(AG10&lt;Bewertung_Stammdaten!F$43,Bewertung_Stammdaten!E$43,IF(AG10&lt;Bewertung_Stammdaten!F$44,Bewertung_Stammdaten!E$44,IF(AG10&lt;Bewertung_Stammdaten!F$45,Bewertung_Stammdaten!E$45,IF(AG10&lt;Bewertung_Stammdaten!F$46,Bewertung_Stammdaten!E$46,Bewertung_Stammdaten!E$47)))))))))</f>
        <v>10.5</v>
      </c>
      <c r="AL10" s="32">
        <f ca="1">IF(AI10&lt;Bewertung_Stammdaten!J$38,Bewertung_Stammdaten!I$38,IF(AI10&lt;Bewertung_Stammdaten!J$39,Bewertung_Stammdaten!I$39,IF(AI10&lt;Bewertung_Stammdaten!J$40,Bewertung_Stammdaten!I$40,IF(AI10&lt;Bewertung_Stammdaten!J$41,Bewertung_Stammdaten!I$41,IF(AI10&lt;Bewertung_Stammdaten!J$42,Bewertung_Stammdaten!I$42,IF(AI10&lt;Bewertung_Stammdaten!J$43,Bewertung_Stammdaten!I$43,IF(AI10&lt;Bewertung_Stammdaten!J$44,Bewertung_Stammdaten!I$44,IF(AI10&lt;Bewertung_Stammdaten!J$45,Bewertung_Stammdaten!I$45,IF(AI10&lt;Bewertung_Stammdaten!J$46,Bewertung_Stammdaten!I$46,Bewertung_Stammdaten!I$47)))))))))</f>
        <v>7</v>
      </c>
      <c r="AM10" s="43"/>
      <c r="AN10" s="14">
        <f ca="1">VLOOKUP(A10,Dividende_je_Aktie!A$3:AM$103,24,FALSE)</f>
        <v>1.167111111111111</v>
      </c>
      <c r="AO10" s="14">
        <f>VLOOKUP(A10,Dividende_je_Aktie!A$3:AM$103,20,FALSE)</f>
        <v>0.78357142857142847</v>
      </c>
      <c r="AP10" s="12">
        <f ca="1">VLOOKUP(A10,Dividende_je_Aktie!A$3:AM$103,25,FALSE)</f>
        <v>0.48947634964043352</v>
      </c>
      <c r="AQ10" s="40">
        <f>VLOOKUP(A10,Dividende_je_Aktie!A$3:AM$103,39,FALSE)</f>
        <v>-0.2272727272727274</v>
      </c>
      <c r="AR10" s="16">
        <f t="shared" ca="1" si="7"/>
        <v>0.90185858585858558</v>
      </c>
      <c r="AS10" s="12">
        <f t="shared" ca="1" si="8"/>
        <v>0.15095899744942565</v>
      </c>
      <c r="AT10" s="32">
        <f ca="1">IF(AP10&lt;Bewertung_Stammdaten!B$51,Bewertung_Stammdaten!A$51,IF(AP10&lt;Bewertung_Stammdaten!B$52,Bewertung_Stammdaten!A$52,IF(AP10&lt;Bewertung_Stammdaten!B$53,Bewertung_Stammdaten!A$53,IF(AP10&lt;Bewertung_Stammdaten!B$54,Bewertung_Stammdaten!A$54,IF(AP10&lt;Bewertung_Stammdaten!B$55,Bewertung_Stammdaten!A$55,IF(AP10&lt;Bewertung_Stammdaten!B$56,Bewertung_Stammdaten!A$56,IF(AP10&lt;Bewertung_Stammdaten!B$57,Bewertung_Stammdaten!A$57,IF(AP10&lt;Bewertung_Stammdaten!B$58,Bewertung_Stammdaten!A$58,IF(AP10&lt;Bewertung_Stammdaten!B$59,Bewertung_Stammdaten!A$59,Bewertung_Stammdaten!A$60)))))))))</f>
        <v>14</v>
      </c>
      <c r="AU10" s="32">
        <f>IF(AQ10&lt;Bewertung_Stammdaten!F$51,Bewertung_Stammdaten!E$51,IF(AQ10&lt;Bewertung_Stammdaten!F$52,Bewertung_Stammdaten!E$52,IF(AQ10&lt;Bewertung_Stammdaten!F$53,Bewertung_Stammdaten!E$53,IF(AQ10&lt;Bewertung_Stammdaten!F$54,Bewertung_Stammdaten!E$54,IF(AQ10&lt;Bewertung_Stammdaten!F$55,Bewertung_Stammdaten!E$55,IF(AQ10&lt;Bewertung_Stammdaten!F$56,Bewertung_Stammdaten!E$56,IF(AQ10&lt;Bewertung_Stammdaten!F$57,Bewertung_Stammdaten!E$57,IF(AQ10&lt;Bewertung_Stammdaten!F$58,Bewertung_Stammdaten!E$58,IF(AQ10&lt;Bewertung_Stammdaten!F$59,Bewertung_Stammdaten!E$59,Bewertung_Stammdaten!E$60)))))))))</f>
        <v>7.5</v>
      </c>
      <c r="AV10" s="32">
        <f ca="1">IF(AS10&lt;Bewertung_Stammdaten!J$51,Bewertung_Stammdaten!I$51,IF(AS10&lt;Bewertung_Stammdaten!J$52,Bewertung_Stammdaten!I$52,IF(AS10&lt;Bewertung_Stammdaten!J$53,Bewertung_Stammdaten!I$53,IF(AS10&lt;Bewertung_Stammdaten!J$54,Bewertung_Stammdaten!I$54,IF(AS10&lt;Bewertung_Stammdaten!J$55,Bewertung_Stammdaten!I$55,IF(AS10&lt;Bewertung_Stammdaten!J$56,Bewertung_Stammdaten!I$56,IF(AS10&lt;Bewertung_Stammdaten!J$57,Bewertung_Stammdaten!I$57,IF(AS10&lt;Bewertung_Stammdaten!J$58,Bewertung_Stammdaten!I$58,IF(AS10&lt;Bewertung_Stammdaten!J$59,Bewertung_Stammdaten!I$59,Bewertung_Stammdaten!I$60)))))))))</f>
        <v>6</v>
      </c>
      <c r="AW10" s="43"/>
      <c r="AX10" s="12">
        <f ca="1">VLOOKUP(A10,Dividendenrendite!A$3:R$103,17,FALSE)</f>
        <v>1.7008322808381098E-2</v>
      </c>
      <c r="AY10" s="12">
        <f>VLOOKUP(A10,Dividendenrendite!A$3:R$103,16,FALSE)</f>
        <v>1.5722200296872588E-2</v>
      </c>
      <c r="AZ10" s="12">
        <f ca="1">VLOOKUP(A10,Dividendenrendite!A$3:R$103,18,FALSE)</f>
        <v>8.1802959332883063E-2</v>
      </c>
      <c r="BA10" s="32">
        <f ca="1">IF(AX10&lt;Bewertung_Stammdaten!B$64,Bewertung_Stammdaten!A$64,IF(AX10&lt;Bewertung_Stammdaten!B$65,Bewertung_Stammdaten!A$65,IF(AX10&lt;Bewertung_Stammdaten!B$66,Bewertung_Stammdaten!A$66,IF(AX10&lt;Bewertung_Stammdaten!B$67,Bewertung_Stammdaten!A$67,IF(AX10&lt;Bewertung_Stammdaten!B$68,Bewertung_Stammdaten!A$68,IF(AX10&lt;Bewertung_Stammdaten!B$69,Bewertung_Stammdaten!A$69,IF(AX10&lt;Bewertung_Stammdaten!B$70,Bewertung_Stammdaten!A$70,IF(AX10&lt;Bewertung_Stammdaten!B$71,Bewertung_Stammdaten!A$71,IF(AX10&lt;Bewertung_Stammdaten!B$72,Bewertung_Stammdaten!A$72,Bewertung_Stammdaten!A$73)))))))))</f>
        <v>6</v>
      </c>
      <c r="BB10" s="32">
        <f>IF(AY10&lt;Bewertung_Stammdaten!F$64,Bewertung_Stammdaten!E$64,IF(AY10&lt;Bewertung_Stammdaten!F$65,Bewertung_Stammdaten!E$65,IF(AY10&lt;Bewertung_Stammdaten!F$66,Bewertung_Stammdaten!E$66,IF(AY10&lt;Bewertung_Stammdaten!F$67,Bewertung_Stammdaten!E$67,IF(AY10&lt;Bewertung_Stammdaten!F$68,Bewertung_Stammdaten!E$68,IF(AY10&lt;Bewertung_Stammdaten!F$69,Bewertung_Stammdaten!E$69,IF(AY10&lt;Bewertung_Stammdaten!F$70,Bewertung_Stammdaten!E$70,IF(AY10&lt;Bewertung_Stammdaten!F$71,Bewertung_Stammdaten!E$71,IF(AY10&lt;Bewertung_Stammdaten!F$72,Bewertung_Stammdaten!E$72,Bewertung_Stammdaten!E$73)))))))))</f>
        <v>4</v>
      </c>
      <c r="BC10" s="32">
        <f ca="1">IF(AZ10&lt;Bewertung_Stammdaten!J$64,Bewertung_Stammdaten!I$64,IF(AZ10&lt;Bewertung_Stammdaten!J$65,Bewertung_Stammdaten!I$65,IF(AZ10&lt;Bewertung_Stammdaten!J$66,Bewertung_Stammdaten!I$66,IF(AZ10&lt;Bewertung_Stammdaten!J$67,Bewertung_Stammdaten!I$67,IF(AZ10&lt;Bewertung_Stammdaten!J$68,Bewertung_Stammdaten!I$68,IF(AZ10&lt;Bewertung_Stammdaten!J$69,Bewertung_Stammdaten!I$69,IF(AZ10&lt;Bewertung_Stammdaten!J$70,Bewertung_Stammdaten!I$70,IF(AZ10&lt;Bewertung_Stammdaten!J$71,Bewertung_Stammdaten!I$71,IF(AZ10&lt;Bewertung_Stammdaten!J$72,Bewertung_Stammdaten!I$72,Bewertung_Stammdaten!I$73)))))))))</f>
        <v>3.5</v>
      </c>
      <c r="BD10" s="43"/>
      <c r="BE10" s="12">
        <f>VLOOKUP(A10,Aktien_im_Umlauf_splitbereinigt!A$3:Z$103,26,FALSE)</f>
        <v>0</v>
      </c>
      <c r="BF10" s="12">
        <f>VLOOKUP(A10,Aktien_im_Umlauf_splitbereinigt!A$3:Y$103,24,FALSE)</f>
        <v>-3.2640838228868616E-3</v>
      </c>
      <c r="BG10" s="12">
        <f>VLOOKUP(A10,Aktien_im_Umlauf_splitbereinigt!A$3:Y$103,25,FALSE)</f>
        <v>-1</v>
      </c>
      <c r="BH10" s="41">
        <f>IF(BE10&lt;Bewertung_Stammdaten!B$77,Bewertung_Stammdaten!A$77,IF(BE10&lt;Bewertung_Stammdaten!B$78,Bewertung_Stammdaten!A$78,IF(BE10&lt;Bewertung_Stammdaten!B$79,Bewertung_Stammdaten!A$79,IF(BE10&lt;Bewertung_Stammdaten!B$80,Bewertung_Stammdaten!A$80,IF(BE10&lt;Bewertung_Stammdaten!B$81,Bewertung_Stammdaten!A$81,IF(BE10&lt;Bewertung_Stammdaten!B$82,Bewertung_Stammdaten!A$82,IF(BE10&lt;Bewertung_Stammdaten!B$83,Bewertung_Stammdaten!A$83,IF(BE10&lt;Bewertung_Stammdaten!B$84,Bewertung_Stammdaten!A$84,IF(BE10&lt;Bewertung_Stammdaten!B$85,Bewertung_Stammdaten!A$85,Bewertung_Stammdaten!A$86)))))))))</f>
        <v>2</v>
      </c>
      <c r="BI10" s="41">
        <f>IF(BF10&lt;Bewertung_Stammdaten!F$77,Bewertung_Stammdaten!E$77,IF(BF10&lt;Bewertung_Stammdaten!F$78,Bewertung_Stammdaten!E$78,IF(BF10&lt;Bewertung_Stammdaten!F$79,Bewertung_Stammdaten!E$79,IF(BF10&lt;Bewertung_Stammdaten!F$80,Bewertung_Stammdaten!E$80,IF(BF10&lt;Bewertung_Stammdaten!F$81,Bewertung_Stammdaten!E$81,IF(BF10&lt;Bewertung_Stammdaten!F$82,Bewertung_Stammdaten!E$82,IF(BF10&lt;Bewertung_Stammdaten!F$83,Bewertung_Stammdaten!E$83,IF(BF10&lt;Bewertung_Stammdaten!F$84,Bewertung_Stammdaten!E$84,IF(BF10&lt;Bewertung_Stammdaten!F$85,Bewertung_Stammdaten!E$85,Bewertung_Stammdaten!E$86)))))))))</f>
        <v>3</v>
      </c>
      <c r="BJ10" s="41">
        <f>IF(BG10&lt;Bewertung_Stammdaten!J$77,Bewertung_Stammdaten!I$77,IF(BG10&lt;Bewertung_Stammdaten!J$78,Bewertung_Stammdaten!I$78,IF(BG10&lt;Bewertung_Stammdaten!J$79,Bewertung_Stammdaten!I$79,IF(BG10&lt;Bewertung_Stammdaten!J$80,Bewertung_Stammdaten!I$80,IF(BG10&lt;Bewertung_Stammdaten!J$81,Bewertung_Stammdaten!I$81,IF(BG10&lt;Bewertung_Stammdaten!J$82,Bewertung_Stammdaten!I$82,IF(BG10&lt;Bewertung_Stammdaten!J$83,Bewertung_Stammdaten!I$83,IF(BG10&lt;Bewertung_Stammdaten!J$84,Bewertung_Stammdaten!I$84,IF(BG10&lt;Bewertung_Stammdaten!J$85,Bewertung_Stammdaten!I$85,Bewertung_Stammdaten!I$86)))))))))</f>
        <v>1</v>
      </c>
      <c r="BK10" s="43"/>
      <c r="BL10" s="12">
        <f ca="1">VLOOKUP(A10,Ausschüttungsquote!A$3:X$103,23,FALSE)</f>
        <v>0.35718222777976261</v>
      </c>
      <c r="BM10" s="12">
        <f>VLOOKUP(A10,Ausschüttungsquote!A$3:X$103,19,FALSE)</f>
        <v>0.34498925376936512</v>
      </c>
      <c r="BN10" s="12">
        <f ca="1">VLOOKUP(A10,Ausschüttungsquote!A$3:X$103,24,FALSE)</f>
        <v>3.5343054536269181E-2</v>
      </c>
      <c r="BO10" s="32">
        <f ca="1">IF(BL10&lt;Bewertung_Stammdaten!B$90,Bewertung_Stammdaten!A$90,IF(BL10&lt;Bewertung_Stammdaten!B$91,Bewertung_Stammdaten!A$91,IF(BL10&lt;Bewertung_Stammdaten!B$92,Bewertung_Stammdaten!A$92,IF(BL10&lt;Bewertung_Stammdaten!B$93,Bewertung_Stammdaten!A$93,IF(BL10&lt;Bewertung_Stammdaten!B$94,Bewertung_Stammdaten!A$94,IF(BL10&lt;Bewertung_Stammdaten!B$95,Bewertung_Stammdaten!A$95,IF(BL10&lt;Bewertung_Stammdaten!B$96,Bewertung_Stammdaten!A$96,IF(BL10&lt;Bewertung_Stammdaten!B$97,Bewertung_Stammdaten!A$97,IF(BL10&lt;Bewertung_Stammdaten!B$98,Bewertung_Stammdaten!A$98,Bewertung_Stammdaten!A$99)))))))))</f>
        <v>10</v>
      </c>
      <c r="BP10" s="41">
        <f>IF(BM10&lt;Bewertung_Stammdaten!F$90,Bewertung_Stammdaten!E$90,IF(BM10&lt;Bewertung_Stammdaten!F$91,Bewertung_Stammdaten!E$91,IF(BM10&lt;Bewertung_Stammdaten!F$92,Bewertung_Stammdaten!E$92,IF(BM10&lt;Bewertung_Stammdaten!F$93,Bewertung_Stammdaten!E$93,IF(BM10&lt;Bewertung_Stammdaten!F$94,Bewertung_Stammdaten!E$94,IF(BM10&lt;Bewertung_Stammdaten!F$95,Bewertung_Stammdaten!E$95,IF(BM10&lt;Bewertung_Stammdaten!F$96,Bewertung_Stammdaten!E$96,IF(BM10&lt;Bewertung_Stammdaten!F$97,Bewertung_Stammdaten!E$97,IF(BM10&lt;Bewertung_Stammdaten!F$98,Bewertung_Stammdaten!E$98,Bewertung_Stammdaten!E$99)))))))))</f>
        <v>10</v>
      </c>
      <c r="BQ10" s="32">
        <f ca="1">IF(BN10&lt;Bewertung_Stammdaten!J$90,Bewertung_Stammdaten!I$90,IF(BN10&lt;Bewertung_Stammdaten!J$91,Bewertung_Stammdaten!I$91,IF(BN10&lt;Bewertung_Stammdaten!J$92,Bewertung_Stammdaten!I$92,IF(BN10&lt;Bewertung_Stammdaten!J$93,Bewertung_Stammdaten!I$93,IF(BN10&lt;Bewertung_Stammdaten!J$94,Bewertung_Stammdaten!I$94,IF(BN10&lt;Bewertung_Stammdaten!J$95,Bewertung_Stammdaten!I$95,IF(BN10&lt;Bewertung_Stammdaten!J$96,Bewertung_Stammdaten!I$96,IF(BN10&lt;Bewertung_Stammdaten!J$97,Bewertung_Stammdaten!I$97,IF(BN10&lt;Bewertung_Stammdaten!J$98,Bewertung_Stammdaten!I$98,Bewertung_Stammdaten!I$99)))))))))</f>
        <v>5</v>
      </c>
    </row>
    <row r="11" spans="1:69" x14ac:dyDescent="0.25">
      <c r="A11" s="38" t="s">
        <v>16</v>
      </c>
      <c r="B11" s="38" t="s">
        <v>17</v>
      </c>
      <c r="C11" s="38" t="s">
        <v>296</v>
      </c>
      <c r="D11" s="32">
        <f t="shared" ca="1" si="0"/>
        <v>176</v>
      </c>
      <c r="E11" s="43"/>
      <c r="F11" s="66">
        <v>1</v>
      </c>
      <c r="G11" s="11">
        <f ca="1">VLOOKUP(A11,KGV!A$3:R$103,17,FALSE)</f>
        <v>13.37739559987193</v>
      </c>
      <c r="H11" s="11">
        <f>VLOOKUP(A11,KGV!A$3:R$103,16,FALSE)</f>
        <v>14.252252252252251</v>
      </c>
      <c r="I11" s="12">
        <f ca="1">VLOOKUP(A11,KGV!A$3:R$103,18,FALSE)</f>
        <v>-6.138374741732977E-2</v>
      </c>
      <c r="J11" s="16">
        <f t="shared" ca="1" si="1"/>
        <v>25.562746047280026</v>
      </c>
      <c r="K11" s="12">
        <f t="shared" ca="1" si="2"/>
        <v>0.79359343315302344</v>
      </c>
      <c r="L11" s="11">
        <f ca="1">VLOOKUP(A11,KBV!A$3:R$103,17,FALSE)</f>
        <v>2.3805628472010256</v>
      </c>
      <c r="M11" s="11">
        <f>VLOOKUP(A11,KBV!A$3:R$103,16,FALSE)</f>
        <v>2.2449985503044361</v>
      </c>
      <c r="N11" s="12">
        <f ca="1">VLOOKUP(A11,KBV!A$3:R$103,18,FALSE)</f>
        <v>6.0385026475053172E-2</v>
      </c>
      <c r="O11" s="16">
        <f t="shared" ca="1" si="9"/>
        <v>2.6021319996982695</v>
      </c>
      <c r="P11" s="12">
        <f t="shared" ca="1" si="10"/>
        <v>0.15907959020526041</v>
      </c>
      <c r="Q11" s="32">
        <f ca="1">IF(F11=1,IF(I11&lt;Bewertung_Stammdaten!B$12,Bewertung_Stammdaten!A$12,IF(I11&lt;Bewertung_Stammdaten!B$13,Bewertung_Stammdaten!A$13,IF(I11&lt;Bewertung_Stammdaten!B$14,Bewertung_Stammdaten!A$14,IF(I11&lt;Bewertung_Stammdaten!B$15,Bewertung_Stammdaten!A$15,IF(I11&lt;Bewertung_Stammdaten!B$16,Bewertung_Stammdaten!A$16,IF(I11&lt;Bewertung_Stammdaten!B$17,Bewertung_Stammdaten!A$17,IF(I11&lt;Bewertung_Stammdaten!B$18,Bewertung_Stammdaten!A$18,IF(I11&lt;Bewertung_Stammdaten!B$19,Bewertung_Stammdaten!A$19,IF(I11&lt;Bewertung_Stammdaten!B$20,Bewertung_Stammdaten!A$20,Bewertung_Stammdaten!A$21))))))))),IF(N11&lt;Bewertung_Stammdaten!C$12,Bewertung_Stammdaten!A$12,IF(N11&lt;Bewertung_Stammdaten!C$13,Bewertung_Stammdaten!A$13,IF(N11&lt;Bewertung_Stammdaten!C$14,Bewertung_Stammdaten!A$14,IF(N11&lt;Bewertung_Stammdaten!C$15,Bewertung_Stammdaten!A$15,IF(N11&lt;Bewertung_Stammdaten!C$16,Bewertung_Stammdaten!A$16,IF(N11&lt;Bewertung_Stammdaten!C$17,Bewertung_Stammdaten!A$17,IF(N11&lt;Bewertung_Stammdaten!C$18,Bewertung_Stammdaten!A$18,IF(N11&lt;Bewertung_Stammdaten!C$19,Bewertung_Stammdaten!A$19,IF(N11&lt;Bewertung_Stammdaten!C$20,Bewertung_Stammdaten!A$20,Bewertung_Stammdaten!A$21))))))))))</f>
        <v>48</v>
      </c>
      <c r="R11" s="32">
        <f ca="1">IF(F11=1,IF(K11&lt;Bewertung_Stammdaten!F$12,Bewertung_Stammdaten!E$12,IF(K11&lt;Bewertung_Stammdaten!F$13,Bewertung_Stammdaten!E$13,IF(K11&lt;Bewertung_Stammdaten!F$14,Bewertung_Stammdaten!E$14,IF(K11&lt;Bewertung_Stammdaten!F$15,Bewertung_Stammdaten!E$15,IF(K11&lt;Bewertung_Stammdaten!F$16,Bewertung_Stammdaten!E$16,IF(K11&lt;Bewertung_Stammdaten!F$17,Bewertung_Stammdaten!E$17,IF(K11&lt;Bewertung_Stammdaten!F$18,Bewertung_Stammdaten!E$18,IF(K11&lt;Bewertung_Stammdaten!F$19,Bewertung_Stammdaten!E$19,IF(K11&lt;Bewertung_Stammdaten!F$20,Bewertung_Stammdaten!E$20,Bewertung_Stammdaten!E$21))))))))),IF(P11&lt;Bewertung_Stammdaten!G$12,Bewertung_Stammdaten!E$12,IF(P11&lt;Bewertung_Stammdaten!G$13,Bewertung_Stammdaten!E$13,IF(P11&lt;Bewertung_Stammdaten!G$14,Bewertung_Stammdaten!E$14,IF(P11&lt;Bewertung_Stammdaten!G$15,Bewertung_Stammdaten!E$15,IF(P11&lt;Bewertung_Stammdaten!G$16,Bewertung_Stammdaten!E$16,IF(P11&lt;Bewertung_Stammdaten!G$17,Bewertung_Stammdaten!E$17,IF(P11&lt;Bewertung_Stammdaten!G$18,Bewertung_Stammdaten!E$18,IF(P11&lt;Bewertung_Stammdaten!G$19,Bewertung_Stammdaten!E$19,IF(P11&lt;Bewertung_Stammdaten!G$20,Bewertung_Stammdaten!E$20,Bewertung_Stammdaten!E$21))))))))))</f>
        <v>2.5</v>
      </c>
      <c r="S11" s="43"/>
      <c r="T11" s="11">
        <f ca="1">VLOOKUP(A11,Buchwert_je_Aktie!A$3:AK$103,23,FALSE)</f>
        <v>40.952500000000001</v>
      </c>
      <c r="U11" s="11">
        <f>VLOOKUP(A11,Buchwert_je_Aktie!A$3:AK$103,19,FALSE)</f>
        <v>34.490769230769232</v>
      </c>
      <c r="V11" s="12">
        <f ca="1">VLOOKUP(A11,Buchwert_je_Aktie!A$3:AK$103,24,FALSE)</f>
        <v>0.18734667023506857</v>
      </c>
      <c r="W11" s="12">
        <f>VLOOKUP(A11,Buchwert_je_Aktie!A$3:AK$103,37,FALSE)</f>
        <v>-8.5149082568807377E-2</v>
      </c>
      <c r="X11" s="16">
        <f t="shared" ca="1" si="3"/>
        <v>37.465432196100913</v>
      </c>
      <c r="Y11" s="12">
        <f t="shared" ca="1" si="4"/>
        <v>8.6245190573424058E-2</v>
      </c>
      <c r="Z11" s="51">
        <f ca="1">IF(V11&lt;Bewertung_Stammdaten!B$25,Bewertung_Stammdaten!A$25,IF(V11&lt;Bewertung_Stammdaten!B$26,Bewertung_Stammdaten!A$26,IF(V11&lt;Bewertung_Stammdaten!B$27,Bewertung_Stammdaten!A$27,IF(V11&lt;Bewertung_Stammdaten!B$28,Bewertung_Stammdaten!A$28,IF(V11&lt;Bewertung_Stammdaten!B$29,Bewertung_Stammdaten!A$29,IF(V11&lt;Bewertung_Stammdaten!B$30,Bewertung_Stammdaten!A$30,IF(V11&lt;Bewertung_Stammdaten!B$31,Bewertung_Stammdaten!A$31,IF(V11&lt;Bewertung_Stammdaten!B$32,Bewertung_Stammdaten!A$32,IF(V11&lt;Bewertung_Stammdaten!B$33,Bewertung_Stammdaten!A$33,Bewertung_Stammdaten!A$34)))))))))</f>
        <v>6</v>
      </c>
      <c r="AA11" s="51">
        <f>IF(W11&lt;Bewertung_Stammdaten!F$25,Bewertung_Stammdaten!E$25,IF(W11&lt;Bewertung_Stammdaten!F$26,Bewertung_Stammdaten!E$26,IF(W11&lt;Bewertung_Stammdaten!F$27,Bewertung_Stammdaten!E$27,IF(W11&lt;Bewertung_Stammdaten!F$28,Bewertung_Stammdaten!E$28,IF(W11&lt;Bewertung_Stammdaten!F$29,Bewertung_Stammdaten!E$29,IF(W11&lt;Bewertung_Stammdaten!F$30,Bewertung_Stammdaten!E$30,IF(W11&lt;Bewertung_Stammdaten!F$31,Bewertung_Stammdaten!E$31,IF(W11&lt;Bewertung_Stammdaten!F$32,Bewertung_Stammdaten!E$32,IF(W11&lt;Bewertung_Stammdaten!F$33,Bewertung_Stammdaten!E$33,Bewertung_Stammdaten!E$34)))))))))</f>
        <v>9</v>
      </c>
      <c r="AB11" s="51">
        <f ca="1">IF(Y11&lt;Bewertung_Stammdaten!J$25,Bewertung_Stammdaten!I$25,IF(Y11&lt;Bewertung_Stammdaten!J$26,Bewertung_Stammdaten!I$26,IF(Y11&lt;Bewertung_Stammdaten!J$27,Bewertung_Stammdaten!I$27,IF(Y11&lt;Bewertung_Stammdaten!J$28,Bewertung_Stammdaten!I$28,IF(Y11&lt;Bewertung_Stammdaten!J$29,Bewertung_Stammdaten!I$29,IF(Y11&lt;Bewertung_Stammdaten!J$30,Bewertung_Stammdaten!I$30,IF(Y11&lt;Bewertung_Stammdaten!J$31,Bewertung_Stammdaten!I$31,IF(Y11&lt;Bewertung_Stammdaten!J$32,Bewertung_Stammdaten!I$32,IF(Y11&lt;Bewertung_Stammdaten!J$33,Bewertung_Stammdaten!I$33,Bewertung_Stammdaten!I$34)))))))))</f>
        <v>3</v>
      </c>
      <c r="AC11" s="43"/>
      <c r="AD11" s="14">
        <f ca="1">VLOOKUP(A11,Ergebnis_je_Aktie_verwässert!A$3:AK$103,23,FALSE)</f>
        <v>7.2876666666666665</v>
      </c>
      <c r="AE11" s="14">
        <f>VLOOKUP(A11,Ergebnis_je_Aktie_verwässert!A$3:AK$103,19,FALSE)</f>
        <v>4.9407692307692308</v>
      </c>
      <c r="AF11" s="12">
        <f ca="1">VLOOKUP(A11,Ergebnis_je_Aktie_verwässert!A$3:AK$103,24,FALSE)</f>
        <v>0.47500648710363791</v>
      </c>
      <c r="AG11" s="40">
        <f>VLOOKUP(A11,Ergebnis_je_Aktie_verwässert!A$3:AK$103,37,FALSE)</f>
        <v>-0.47668393782383423</v>
      </c>
      <c r="AH11" s="16">
        <f t="shared" ca="1" si="5"/>
        <v>3.813753022452504</v>
      </c>
      <c r="AI11" s="12">
        <f t="shared" ca="1" si="6"/>
        <v>-0.22810541348462476</v>
      </c>
      <c r="AJ11" s="32">
        <f ca="1">IF(AF11&lt;Bewertung_Stammdaten!B$38,Bewertung_Stammdaten!A$38,IF(AF11&lt;Bewertung_Stammdaten!B$39,Bewertung_Stammdaten!A$39,IF(AF11&lt;Bewertung_Stammdaten!B$40,Bewertung_Stammdaten!A$40,IF(AF11&lt;Bewertung_Stammdaten!B$41,Bewertung_Stammdaten!A$41,IF(AF11&lt;Bewertung_Stammdaten!B$42,Bewertung_Stammdaten!A$42,IF(AF11&lt;Bewertung_Stammdaten!B$43,Bewertung_Stammdaten!A$43,IF(AF11&lt;Bewertung_Stammdaten!B$44,Bewertung_Stammdaten!A$44,IF(AF11&lt;Bewertung_Stammdaten!B$45,Bewertung_Stammdaten!A$45,IF(AF11&lt;Bewertung_Stammdaten!B$46,Bewertung_Stammdaten!A$46,Bewertung_Stammdaten!A$47)))))))))</f>
        <v>16</v>
      </c>
      <c r="AK11" s="32">
        <f>IF(AG11&lt;Bewertung_Stammdaten!F$38,Bewertung_Stammdaten!E$38,IF(AG11&lt;Bewertung_Stammdaten!F$39,Bewertung_Stammdaten!E$39,IF(AG11&lt;Bewertung_Stammdaten!F$40,Bewertung_Stammdaten!E$40,IF(AG11&lt;Bewertung_Stammdaten!F$41,Bewertung_Stammdaten!E$41,IF(AG11&lt;Bewertung_Stammdaten!F$42,Bewertung_Stammdaten!E$42,IF(AG11&lt;Bewertung_Stammdaten!F$43,Bewertung_Stammdaten!E$43,IF(AG11&lt;Bewertung_Stammdaten!F$44,Bewertung_Stammdaten!E$44,IF(AG11&lt;Bewertung_Stammdaten!F$45,Bewertung_Stammdaten!E$45,IF(AG11&lt;Bewertung_Stammdaten!F$46,Bewertung_Stammdaten!E$46,Bewertung_Stammdaten!E$47)))))))))</f>
        <v>4.5</v>
      </c>
      <c r="AL11" s="32">
        <f ca="1">IF(AI11&lt;Bewertung_Stammdaten!J$38,Bewertung_Stammdaten!I$38,IF(AI11&lt;Bewertung_Stammdaten!J$39,Bewertung_Stammdaten!I$39,IF(AI11&lt;Bewertung_Stammdaten!J$40,Bewertung_Stammdaten!I$40,IF(AI11&lt;Bewertung_Stammdaten!J$41,Bewertung_Stammdaten!I$41,IF(AI11&lt;Bewertung_Stammdaten!J$42,Bewertung_Stammdaten!I$42,IF(AI11&lt;Bewertung_Stammdaten!J$43,Bewertung_Stammdaten!I$43,IF(AI11&lt;Bewertung_Stammdaten!J$44,Bewertung_Stammdaten!I$44,IF(AI11&lt;Bewertung_Stammdaten!J$45,Bewertung_Stammdaten!I$45,IF(AI11&lt;Bewertung_Stammdaten!J$46,Bewertung_Stammdaten!I$46,Bewertung_Stammdaten!I$47)))))))))</f>
        <v>2</v>
      </c>
      <c r="AM11" s="43"/>
      <c r="AN11" s="14">
        <f ca="1">VLOOKUP(A11,Dividende_je_Aktie!A$3:AM$103,24,FALSE)</f>
        <v>3.6087499999999997</v>
      </c>
      <c r="AO11" s="14">
        <f>VLOOKUP(A11,Dividende_je_Aktie!A$3:AM$103,20,FALSE)</f>
        <v>2.5021428571428577</v>
      </c>
      <c r="AP11" s="12">
        <f ca="1">VLOOKUP(A11,Dividende_je_Aktie!A$3:AM$103,25,FALSE)</f>
        <v>0.44226377390807836</v>
      </c>
      <c r="AQ11" s="40">
        <f>VLOOKUP(A11,Dividende_je_Aktie!A$3:AM$103,39,FALSE)</f>
        <v>0</v>
      </c>
      <c r="AR11" s="16">
        <f t="shared" ca="1" si="7"/>
        <v>3.6087499999999997</v>
      </c>
      <c r="AS11" s="12">
        <f t="shared" ca="1" si="8"/>
        <v>0.44226377390807836</v>
      </c>
      <c r="AT11" s="32">
        <f ca="1">IF(AP11&lt;Bewertung_Stammdaten!B$51,Bewertung_Stammdaten!A$51,IF(AP11&lt;Bewertung_Stammdaten!B$52,Bewertung_Stammdaten!A$52,IF(AP11&lt;Bewertung_Stammdaten!B$53,Bewertung_Stammdaten!A$53,IF(AP11&lt;Bewertung_Stammdaten!B$54,Bewertung_Stammdaten!A$54,IF(AP11&lt;Bewertung_Stammdaten!B$55,Bewertung_Stammdaten!A$55,IF(AP11&lt;Bewertung_Stammdaten!B$56,Bewertung_Stammdaten!A$56,IF(AP11&lt;Bewertung_Stammdaten!B$57,Bewertung_Stammdaten!A$57,IF(AP11&lt;Bewertung_Stammdaten!B$58,Bewertung_Stammdaten!A$58,IF(AP11&lt;Bewertung_Stammdaten!B$59,Bewertung_Stammdaten!A$59,Bewertung_Stammdaten!A$60)))))))))</f>
        <v>14</v>
      </c>
      <c r="AU11" s="32">
        <f>IF(AQ11&lt;Bewertung_Stammdaten!F$51,Bewertung_Stammdaten!E$51,IF(AQ11&lt;Bewertung_Stammdaten!F$52,Bewertung_Stammdaten!E$52,IF(AQ11&lt;Bewertung_Stammdaten!F$53,Bewertung_Stammdaten!E$53,IF(AQ11&lt;Bewertung_Stammdaten!F$54,Bewertung_Stammdaten!E$54,IF(AQ11&lt;Bewertung_Stammdaten!F$55,Bewertung_Stammdaten!E$55,IF(AQ11&lt;Bewertung_Stammdaten!F$56,Bewertung_Stammdaten!E$56,IF(AQ11&lt;Bewertung_Stammdaten!F$57,Bewertung_Stammdaten!E$57,IF(AQ11&lt;Bewertung_Stammdaten!F$58,Bewertung_Stammdaten!E$58,IF(AQ11&lt;Bewertung_Stammdaten!F$59,Bewertung_Stammdaten!E$59,Bewertung_Stammdaten!E$60)))))))))</f>
        <v>12</v>
      </c>
      <c r="AV11" s="32">
        <f ca="1">IF(AS11&lt;Bewertung_Stammdaten!J$51,Bewertung_Stammdaten!I$51,IF(AS11&lt;Bewertung_Stammdaten!J$52,Bewertung_Stammdaten!I$52,IF(AS11&lt;Bewertung_Stammdaten!J$53,Bewertung_Stammdaten!I$53,IF(AS11&lt;Bewertung_Stammdaten!J$54,Bewertung_Stammdaten!I$54,IF(AS11&lt;Bewertung_Stammdaten!J$55,Bewertung_Stammdaten!I$55,IF(AS11&lt;Bewertung_Stammdaten!J$56,Bewertung_Stammdaten!I$56,IF(AS11&lt;Bewertung_Stammdaten!J$57,Bewertung_Stammdaten!I$57,IF(AS11&lt;Bewertung_Stammdaten!J$58,Bewertung_Stammdaten!I$58,IF(AS11&lt;Bewertung_Stammdaten!J$59,Bewertung_Stammdaten!I$59,Bewertung_Stammdaten!I$60)))))))))</f>
        <v>8</v>
      </c>
      <c r="AW11" s="43"/>
      <c r="AX11" s="12">
        <f ca="1">VLOOKUP(A11,Dividendenrendite!A$3:R$103,17,FALSE)</f>
        <v>3.7016617088932197E-2</v>
      </c>
      <c r="AY11" s="12">
        <f>VLOOKUP(A11,Dividendenrendite!A$3:R$103,16,FALSE)</f>
        <v>2.9956218350187743E-2</v>
      </c>
      <c r="AZ11" s="12">
        <f ca="1">VLOOKUP(A11,Dividendenrendite!A$3:R$103,18,FALSE)</f>
        <v>0.23569058871879278</v>
      </c>
      <c r="BA11" s="32">
        <f ca="1">IF(AX11&lt;Bewertung_Stammdaten!B$64,Bewertung_Stammdaten!A$64,IF(AX11&lt;Bewertung_Stammdaten!B$65,Bewertung_Stammdaten!A$65,IF(AX11&lt;Bewertung_Stammdaten!B$66,Bewertung_Stammdaten!A$66,IF(AX11&lt;Bewertung_Stammdaten!B$67,Bewertung_Stammdaten!A$67,IF(AX11&lt;Bewertung_Stammdaten!B$68,Bewertung_Stammdaten!A$68,IF(AX11&lt;Bewertung_Stammdaten!B$69,Bewertung_Stammdaten!A$69,IF(AX11&lt;Bewertung_Stammdaten!B$70,Bewertung_Stammdaten!A$70,IF(AX11&lt;Bewertung_Stammdaten!B$71,Bewertung_Stammdaten!A$71,IF(AX11&lt;Bewertung_Stammdaten!B$72,Bewertung_Stammdaten!A$72,Bewertung_Stammdaten!A$73)))))))))</f>
        <v>12</v>
      </c>
      <c r="BB11" s="32">
        <f>IF(AY11&lt;Bewertung_Stammdaten!F$64,Bewertung_Stammdaten!E$64,IF(AY11&lt;Bewertung_Stammdaten!F$65,Bewertung_Stammdaten!E$65,IF(AY11&lt;Bewertung_Stammdaten!F$66,Bewertung_Stammdaten!E$66,IF(AY11&lt;Bewertung_Stammdaten!F$67,Bewertung_Stammdaten!E$67,IF(AY11&lt;Bewertung_Stammdaten!F$68,Bewertung_Stammdaten!E$68,IF(AY11&lt;Bewertung_Stammdaten!F$69,Bewertung_Stammdaten!E$69,IF(AY11&lt;Bewertung_Stammdaten!F$70,Bewertung_Stammdaten!E$70,IF(AY11&lt;Bewertung_Stammdaten!F$71,Bewertung_Stammdaten!E$71,IF(AY11&lt;Bewertung_Stammdaten!F$72,Bewertung_Stammdaten!E$72,Bewertung_Stammdaten!E$73)))))))))</f>
        <v>6</v>
      </c>
      <c r="BC11" s="32">
        <f ca="1">IF(AZ11&lt;Bewertung_Stammdaten!J$64,Bewertung_Stammdaten!I$64,IF(AZ11&lt;Bewertung_Stammdaten!J$65,Bewertung_Stammdaten!I$65,IF(AZ11&lt;Bewertung_Stammdaten!J$66,Bewertung_Stammdaten!I$66,IF(AZ11&lt;Bewertung_Stammdaten!J$67,Bewertung_Stammdaten!I$67,IF(AZ11&lt;Bewertung_Stammdaten!J$68,Bewertung_Stammdaten!I$68,IF(AZ11&lt;Bewertung_Stammdaten!J$69,Bewertung_Stammdaten!I$69,IF(AZ11&lt;Bewertung_Stammdaten!J$70,Bewertung_Stammdaten!I$70,IF(AZ11&lt;Bewertung_Stammdaten!J$71,Bewertung_Stammdaten!I$71,IF(AZ11&lt;Bewertung_Stammdaten!J$72,Bewertung_Stammdaten!I$72,Bewertung_Stammdaten!I$73)))))))))</f>
        <v>5</v>
      </c>
      <c r="BD11" s="43"/>
      <c r="BE11" s="12">
        <f>VLOOKUP(A11,Aktien_im_Umlauf_splitbereinigt!A$3:Z$103,26,FALSE)</f>
        <v>0</v>
      </c>
      <c r="BF11" s="12">
        <f>VLOOKUP(A11,Aktien_im_Umlauf_splitbereinigt!A$3:Y$103,24,FALSE)</f>
        <v>-1.1419716938405723E-3</v>
      </c>
      <c r="BG11" s="12">
        <f>VLOOKUP(A11,Aktien_im_Umlauf_splitbereinigt!A$3:Y$103,25,FALSE)</f>
        <v>-1</v>
      </c>
      <c r="BH11" s="41">
        <f>IF(BE11&lt;Bewertung_Stammdaten!B$77,Bewertung_Stammdaten!A$77,IF(BE11&lt;Bewertung_Stammdaten!B$78,Bewertung_Stammdaten!A$78,IF(BE11&lt;Bewertung_Stammdaten!B$79,Bewertung_Stammdaten!A$79,IF(BE11&lt;Bewertung_Stammdaten!B$80,Bewertung_Stammdaten!A$80,IF(BE11&lt;Bewertung_Stammdaten!B$81,Bewertung_Stammdaten!A$81,IF(BE11&lt;Bewertung_Stammdaten!B$82,Bewertung_Stammdaten!A$82,IF(BE11&lt;Bewertung_Stammdaten!B$83,Bewertung_Stammdaten!A$83,IF(BE11&lt;Bewertung_Stammdaten!B$84,Bewertung_Stammdaten!A$84,IF(BE11&lt;Bewertung_Stammdaten!B$85,Bewertung_Stammdaten!A$85,Bewertung_Stammdaten!A$86)))))))))</f>
        <v>2</v>
      </c>
      <c r="BI11" s="41">
        <f>IF(BF11&lt;Bewertung_Stammdaten!F$77,Bewertung_Stammdaten!E$77,IF(BF11&lt;Bewertung_Stammdaten!F$78,Bewertung_Stammdaten!E$78,IF(BF11&lt;Bewertung_Stammdaten!F$79,Bewertung_Stammdaten!E$79,IF(BF11&lt;Bewertung_Stammdaten!F$80,Bewertung_Stammdaten!E$80,IF(BF11&lt;Bewertung_Stammdaten!F$81,Bewertung_Stammdaten!E$81,IF(BF11&lt;Bewertung_Stammdaten!F$82,Bewertung_Stammdaten!E$82,IF(BF11&lt;Bewertung_Stammdaten!F$83,Bewertung_Stammdaten!E$83,IF(BF11&lt;Bewertung_Stammdaten!F$84,Bewertung_Stammdaten!E$84,IF(BF11&lt;Bewertung_Stammdaten!F$85,Bewertung_Stammdaten!E$85,Bewertung_Stammdaten!E$86)))))))))</f>
        <v>3</v>
      </c>
      <c r="BJ11" s="41">
        <f>IF(BG11&lt;Bewertung_Stammdaten!J$77,Bewertung_Stammdaten!I$77,IF(BG11&lt;Bewertung_Stammdaten!J$78,Bewertung_Stammdaten!I$78,IF(BG11&lt;Bewertung_Stammdaten!J$79,Bewertung_Stammdaten!I$79,IF(BG11&lt;Bewertung_Stammdaten!J$80,Bewertung_Stammdaten!I$80,IF(BG11&lt;Bewertung_Stammdaten!J$81,Bewertung_Stammdaten!I$81,IF(BG11&lt;Bewertung_Stammdaten!J$82,Bewertung_Stammdaten!I$82,IF(BG11&lt;Bewertung_Stammdaten!J$83,Bewertung_Stammdaten!I$83,IF(BG11&lt;Bewertung_Stammdaten!J$84,Bewertung_Stammdaten!I$84,IF(BG11&lt;Bewertung_Stammdaten!J$85,Bewertung_Stammdaten!I$85,Bewertung_Stammdaten!I$86)))))))))</f>
        <v>1</v>
      </c>
      <c r="BK11" s="43"/>
      <c r="BL11" s="12">
        <f ca="1">VLOOKUP(A11,Ausschüttungsquote!A$3:X$103,23,FALSE)</f>
        <v>0.49666927301205099</v>
      </c>
      <c r="BM11" s="12">
        <f>VLOOKUP(A11,Ausschüttungsquote!A$3:X$103,19,FALSE)</f>
        <v>0.54464792091288927</v>
      </c>
      <c r="BN11" s="12">
        <f ca="1">VLOOKUP(A11,Ausschüttungsquote!A$3:X$103,24,FALSE)</f>
        <v>-8.8091124667144305E-2</v>
      </c>
      <c r="BO11" s="32">
        <f ca="1">IF(BL11&lt;Bewertung_Stammdaten!B$90,Bewertung_Stammdaten!A$90,IF(BL11&lt;Bewertung_Stammdaten!B$91,Bewertung_Stammdaten!A$91,IF(BL11&lt;Bewertung_Stammdaten!B$92,Bewertung_Stammdaten!A$92,IF(BL11&lt;Bewertung_Stammdaten!B$93,Bewertung_Stammdaten!A$93,IF(BL11&lt;Bewertung_Stammdaten!B$94,Bewertung_Stammdaten!A$94,IF(BL11&lt;Bewertung_Stammdaten!B$95,Bewertung_Stammdaten!A$95,IF(BL11&lt;Bewertung_Stammdaten!B$96,Bewertung_Stammdaten!A$96,IF(BL11&lt;Bewertung_Stammdaten!B$97,Bewertung_Stammdaten!A$97,IF(BL11&lt;Bewertung_Stammdaten!B$98,Bewertung_Stammdaten!A$98,Bewertung_Stammdaten!A$99)))))))))</f>
        <v>8</v>
      </c>
      <c r="BP11" s="41">
        <f>IF(BM11&lt;Bewertung_Stammdaten!F$90,Bewertung_Stammdaten!E$90,IF(BM11&lt;Bewertung_Stammdaten!F$91,Bewertung_Stammdaten!E$91,IF(BM11&lt;Bewertung_Stammdaten!F$92,Bewertung_Stammdaten!E$92,IF(BM11&lt;Bewertung_Stammdaten!F$93,Bewertung_Stammdaten!E$93,IF(BM11&lt;Bewertung_Stammdaten!F$94,Bewertung_Stammdaten!E$94,IF(BM11&lt;Bewertung_Stammdaten!F$95,Bewertung_Stammdaten!E$95,IF(BM11&lt;Bewertung_Stammdaten!F$96,Bewertung_Stammdaten!E$96,IF(BM11&lt;Bewertung_Stammdaten!F$97,Bewertung_Stammdaten!E$97,IF(BM11&lt;Bewertung_Stammdaten!F$98,Bewertung_Stammdaten!E$98,Bewertung_Stammdaten!E$99)))))))))</f>
        <v>7</v>
      </c>
      <c r="BQ11" s="32">
        <f ca="1">IF(BN11&lt;Bewertung_Stammdaten!J$90,Bewertung_Stammdaten!I$90,IF(BN11&lt;Bewertung_Stammdaten!J$91,Bewertung_Stammdaten!I$91,IF(BN11&lt;Bewertung_Stammdaten!J$92,Bewertung_Stammdaten!I$92,IF(BN11&lt;Bewertung_Stammdaten!J$93,Bewertung_Stammdaten!I$93,IF(BN11&lt;Bewertung_Stammdaten!J$94,Bewertung_Stammdaten!I$94,IF(BN11&lt;Bewertung_Stammdaten!J$95,Bewertung_Stammdaten!I$95,IF(BN11&lt;Bewertung_Stammdaten!J$96,Bewertung_Stammdaten!I$96,IF(BN11&lt;Bewertung_Stammdaten!J$97,Bewertung_Stammdaten!I$97,IF(BN11&lt;Bewertung_Stammdaten!J$98,Bewertung_Stammdaten!I$98,Bewertung_Stammdaten!I$99)))))))))</f>
        <v>7</v>
      </c>
    </row>
    <row r="12" spans="1:69" x14ac:dyDescent="0.25">
      <c r="A12" s="38" t="s">
        <v>18</v>
      </c>
      <c r="B12" s="38" t="s">
        <v>19</v>
      </c>
      <c r="C12" s="38" t="s">
        <v>296</v>
      </c>
      <c r="D12" s="32">
        <f t="shared" ca="1" si="0"/>
        <v>136</v>
      </c>
      <c r="E12" s="43"/>
      <c r="F12" s="66">
        <v>0</v>
      </c>
      <c r="G12" s="11">
        <f ca="1">VLOOKUP(A12,KGV!A$3:R$103,17,FALSE)</f>
        <v>10.581480765513243</v>
      </c>
      <c r="H12" s="11">
        <f>VLOOKUP(A12,KGV!A$3:R$103,16,FALSE)</f>
        <v>8.7109199016981762</v>
      </c>
      <c r="I12" s="12">
        <f ca="1">VLOOKUP(A12,KGV!A$3:R$103,18,FALSE)</f>
        <v>0.21473746572395935</v>
      </c>
      <c r="J12" s="16">
        <f t="shared" ca="1" si="1"/>
        <v>99</v>
      </c>
      <c r="K12" s="12">
        <f t="shared" ca="1" si="2"/>
        <v>10.365045381797179</v>
      </c>
      <c r="L12" s="11">
        <f ca="1">VLOOKUP(A12,KBV!A$3:R$103,17,FALSE)</f>
        <v>1.1015455204056992</v>
      </c>
      <c r="M12" s="11">
        <f>VLOOKUP(A12,KBV!A$3:R$103,16,FALSE)</f>
        <v>1.0034957844951675</v>
      </c>
      <c r="N12" s="12">
        <f ca="1">VLOOKUP(A12,KBV!A$3:R$103,18,FALSE)</f>
        <v>9.7708169207564755E-2</v>
      </c>
      <c r="O12" s="16">
        <f t="shared" ca="1" si="9"/>
        <v>1.5714987673091125</v>
      </c>
      <c r="P12" s="12">
        <f t="shared" ca="1" si="10"/>
        <v>0.56602428389840465</v>
      </c>
      <c r="Q12" s="32">
        <f ca="1">IF(F12=1,IF(I12&lt;Bewertung_Stammdaten!B$12,Bewertung_Stammdaten!A$12,IF(I12&lt;Bewertung_Stammdaten!B$13,Bewertung_Stammdaten!A$13,IF(I12&lt;Bewertung_Stammdaten!B$14,Bewertung_Stammdaten!A$14,IF(I12&lt;Bewertung_Stammdaten!B$15,Bewertung_Stammdaten!A$15,IF(I12&lt;Bewertung_Stammdaten!B$16,Bewertung_Stammdaten!A$16,IF(I12&lt;Bewertung_Stammdaten!B$17,Bewertung_Stammdaten!A$17,IF(I12&lt;Bewertung_Stammdaten!B$18,Bewertung_Stammdaten!A$18,IF(I12&lt;Bewertung_Stammdaten!B$19,Bewertung_Stammdaten!A$19,IF(I12&lt;Bewertung_Stammdaten!B$20,Bewertung_Stammdaten!A$20,Bewertung_Stammdaten!A$21))))))))),IF(N12&lt;Bewertung_Stammdaten!C$12,Bewertung_Stammdaten!A$12,IF(N12&lt;Bewertung_Stammdaten!C$13,Bewertung_Stammdaten!A$13,IF(N12&lt;Bewertung_Stammdaten!C$14,Bewertung_Stammdaten!A$14,IF(N12&lt;Bewertung_Stammdaten!C$15,Bewertung_Stammdaten!A$15,IF(N12&lt;Bewertung_Stammdaten!C$16,Bewertung_Stammdaten!A$16,IF(N12&lt;Bewertung_Stammdaten!C$17,Bewertung_Stammdaten!A$17,IF(N12&lt;Bewertung_Stammdaten!C$18,Bewertung_Stammdaten!A$18,IF(N12&lt;Bewertung_Stammdaten!C$19,Bewertung_Stammdaten!A$19,IF(N12&lt;Bewertung_Stammdaten!C$20,Bewertung_Stammdaten!A$20,Bewertung_Stammdaten!A$21))))))))))</f>
        <v>30</v>
      </c>
      <c r="R12" s="32">
        <f ca="1">IF(F12=1,IF(K12&lt;Bewertung_Stammdaten!F$12,Bewertung_Stammdaten!E$12,IF(K12&lt;Bewertung_Stammdaten!F$13,Bewertung_Stammdaten!E$13,IF(K12&lt;Bewertung_Stammdaten!F$14,Bewertung_Stammdaten!E$14,IF(K12&lt;Bewertung_Stammdaten!F$15,Bewertung_Stammdaten!E$15,IF(K12&lt;Bewertung_Stammdaten!F$16,Bewertung_Stammdaten!E$16,IF(K12&lt;Bewertung_Stammdaten!F$17,Bewertung_Stammdaten!E$17,IF(K12&lt;Bewertung_Stammdaten!F$18,Bewertung_Stammdaten!E$18,IF(K12&lt;Bewertung_Stammdaten!F$19,Bewertung_Stammdaten!E$19,IF(K12&lt;Bewertung_Stammdaten!F$20,Bewertung_Stammdaten!E$20,Bewertung_Stammdaten!E$21))))))))),IF(P12&lt;Bewertung_Stammdaten!G$12,Bewertung_Stammdaten!E$12,IF(P12&lt;Bewertung_Stammdaten!G$13,Bewertung_Stammdaten!E$13,IF(P12&lt;Bewertung_Stammdaten!G$14,Bewertung_Stammdaten!E$14,IF(P12&lt;Bewertung_Stammdaten!G$15,Bewertung_Stammdaten!E$15,IF(P12&lt;Bewertung_Stammdaten!G$16,Bewertung_Stammdaten!E$16,IF(P12&lt;Bewertung_Stammdaten!G$17,Bewertung_Stammdaten!E$17,IF(P12&lt;Bewertung_Stammdaten!G$18,Bewertung_Stammdaten!E$18,IF(P12&lt;Bewertung_Stammdaten!G$19,Bewertung_Stammdaten!E$19,IF(P12&lt;Bewertung_Stammdaten!G$20,Bewertung_Stammdaten!E$20,Bewertung_Stammdaten!E$21))))))))))</f>
        <v>2.5</v>
      </c>
      <c r="S12" s="43"/>
      <c r="T12" s="11">
        <f ca="1">VLOOKUP(A12,Buchwert_je_Aktie!A$3:AK$103,23,FALSE)</f>
        <v>138.03333333333333</v>
      </c>
      <c r="U12" s="11">
        <f>VLOOKUP(A12,Buchwert_je_Aktie!A$3:AK$103,19,FALSE)</f>
        <v>112.65307692307691</v>
      </c>
      <c r="V12" s="12">
        <f ca="1">VLOOKUP(A12,Buchwert_je_Aktie!A$3:AK$103,24,FALSE)</f>
        <v>0.22529572297068157</v>
      </c>
      <c r="W12" s="12">
        <f>VLOOKUP(A12,Buchwert_je_Aktie!A$3:AK$103,37,FALSE)</f>
        <v>-0.29904779862355046</v>
      </c>
      <c r="X12" s="16">
        <f t="shared" ca="1" si="3"/>
        <v>96.754768863329247</v>
      </c>
      <c r="Y12" s="12">
        <f t="shared" ca="1" si="4"/>
        <v>-0.14112626564655251</v>
      </c>
      <c r="Z12" s="51">
        <f ca="1">IF(V12&lt;Bewertung_Stammdaten!B$25,Bewertung_Stammdaten!A$25,IF(V12&lt;Bewertung_Stammdaten!B$26,Bewertung_Stammdaten!A$26,IF(V12&lt;Bewertung_Stammdaten!B$27,Bewertung_Stammdaten!A$27,IF(V12&lt;Bewertung_Stammdaten!B$28,Bewertung_Stammdaten!A$28,IF(V12&lt;Bewertung_Stammdaten!B$29,Bewertung_Stammdaten!A$29,IF(V12&lt;Bewertung_Stammdaten!B$30,Bewertung_Stammdaten!A$30,IF(V12&lt;Bewertung_Stammdaten!B$31,Bewertung_Stammdaten!A$31,IF(V12&lt;Bewertung_Stammdaten!B$32,Bewertung_Stammdaten!A$32,IF(V12&lt;Bewertung_Stammdaten!B$33,Bewertung_Stammdaten!A$33,Bewertung_Stammdaten!A$34)))))))))</f>
        <v>7.5</v>
      </c>
      <c r="AA12" s="51">
        <f>IF(W12&lt;Bewertung_Stammdaten!F$25,Bewertung_Stammdaten!E$25,IF(W12&lt;Bewertung_Stammdaten!F$26,Bewertung_Stammdaten!E$26,IF(W12&lt;Bewertung_Stammdaten!F$27,Bewertung_Stammdaten!E$27,IF(W12&lt;Bewertung_Stammdaten!F$28,Bewertung_Stammdaten!E$28,IF(W12&lt;Bewertung_Stammdaten!F$29,Bewertung_Stammdaten!E$29,IF(W12&lt;Bewertung_Stammdaten!F$30,Bewertung_Stammdaten!E$30,IF(W12&lt;Bewertung_Stammdaten!F$31,Bewertung_Stammdaten!E$31,IF(W12&lt;Bewertung_Stammdaten!F$32,Bewertung_Stammdaten!E$32,IF(W12&lt;Bewertung_Stammdaten!F$33,Bewertung_Stammdaten!E$33,Bewertung_Stammdaten!E$34)))))))))</f>
        <v>3</v>
      </c>
      <c r="AB12" s="51">
        <f ca="1">IF(Y12&lt;Bewertung_Stammdaten!J$25,Bewertung_Stammdaten!I$25,IF(Y12&lt;Bewertung_Stammdaten!J$26,Bewertung_Stammdaten!I$26,IF(Y12&lt;Bewertung_Stammdaten!J$27,Bewertung_Stammdaten!I$27,IF(Y12&lt;Bewertung_Stammdaten!J$28,Bewertung_Stammdaten!I$28,IF(Y12&lt;Bewertung_Stammdaten!J$29,Bewertung_Stammdaten!I$29,IF(Y12&lt;Bewertung_Stammdaten!J$30,Bewertung_Stammdaten!I$30,IF(Y12&lt;Bewertung_Stammdaten!J$31,Bewertung_Stammdaten!I$31,IF(Y12&lt;Bewertung_Stammdaten!J$32,Bewertung_Stammdaten!I$32,IF(Y12&lt;Bewertung_Stammdaten!J$33,Bewertung_Stammdaten!I$33,Bewertung_Stammdaten!I$34)))))))))</f>
        <v>1</v>
      </c>
      <c r="AC12" s="43"/>
      <c r="AD12" s="14">
        <f ca="1">VLOOKUP(A12,Ergebnis_je_Aktie_verwässert!A$3:AK$103,23,FALSE)</f>
        <v>14.369444444444444</v>
      </c>
      <c r="AE12" s="14">
        <f>VLOOKUP(A12,Ergebnis_je_Aktie_verwässert!A$3:AK$103,19,FALSE)</f>
        <v>11.376153846153848</v>
      </c>
      <c r="AF12" s="12">
        <f ca="1">VLOOKUP(A12,Ergebnis_je_Aktie_verwässert!A$3:AK$103,24,FALSE)</f>
        <v>0.26311973614022399</v>
      </c>
      <c r="AG12" s="40">
        <f>VLOOKUP(A12,Ergebnis_je_Aktie_verwässert!A$3:AK$103,37,FALSE)</f>
        <v>-1.3088650479954826</v>
      </c>
      <c r="AH12" s="16">
        <f t="shared" ca="1" si="5"/>
        <v>-4.4382191480017541</v>
      </c>
      <c r="AI12" s="12">
        <f t="shared" ca="1" si="6"/>
        <v>-1.3901335379269917</v>
      </c>
      <c r="AJ12" s="32">
        <f ca="1">IF(AF12&lt;Bewertung_Stammdaten!B$38,Bewertung_Stammdaten!A$38,IF(AF12&lt;Bewertung_Stammdaten!B$39,Bewertung_Stammdaten!A$39,IF(AF12&lt;Bewertung_Stammdaten!B$40,Bewertung_Stammdaten!A$40,IF(AF12&lt;Bewertung_Stammdaten!B$41,Bewertung_Stammdaten!A$41,IF(AF12&lt;Bewertung_Stammdaten!B$42,Bewertung_Stammdaten!A$42,IF(AF12&lt;Bewertung_Stammdaten!B$43,Bewertung_Stammdaten!A$43,IF(AF12&lt;Bewertung_Stammdaten!B$44,Bewertung_Stammdaten!A$44,IF(AF12&lt;Bewertung_Stammdaten!B$45,Bewertung_Stammdaten!A$45,IF(AF12&lt;Bewertung_Stammdaten!B$46,Bewertung_Stammdaten!A$46,Bewertung_Stammdaten!A$47)))))))))</f>
        <v>12</v>
      </c>
      <c r="AK12" s="32">
        <f>IF(AG12&lt;Bewertung_Stammdaten!F$38,Bewertung_Stammdaten!E$38,IF(AG12&lt;Bewertung_Stammdaten!F$39,Bewertung_Stammdaten!E$39,IF(AG12&lt;Bewertung_Stammdaten!F$40,Bewertung_Stammdaten!E$40,IF(AG12&lt;Bewertung_Stammdaten!F$41,Bewertung_Stammdaten!E$41,IF(AG12&lt;Bewertung_Stammdaten!F$42,Bewertung_Stammdaten!E$42,IF(AG12&lt;Bewertung_Stammdaten!F$43,Bewertung_Stammdaten!E$43,IF(AG12&lt;Bewertung_Stammdaten!F$44,Bewertung_Stammdaten!E$44,IF(AG12&lt;Bewertung_Stammdaten!F$45,Bewertung_Stammdaten!E$45,IF(AG12&lt;Bewertung_Stammdaten!F$46,Bewertung_Stammdaten!E$46,Bewertung_Stammdaten!E$47)))))))))</f>
        <v>1.5</v>
      </c>
      <c r="AL12" s="32">
        <f ca="1">IF(AI12&lt;Bewertung_Stammdaten!J$38,Bewertung_Stammdaten!I$38,IF(AI12&lt;Bewertung_Stammdaten!J$39,Bewertung_Stammdaten!I$39,IF(AI12&lt;Bewertung_Stammdaten!J$40,Bewertung_Stammdaten!I$40,IF(AI12&lt;Bewertung_Stammdaten!J$41,Bewertung_Stammdaten!I$41,IF(AI12&lt;Bewertung_Stammdaten!J$42,Bewertung_Stammdaten!I$42,IF(AI12&lt;Bewertung_Stammdaten!J$43,Bewertung_Stammdaten!I$43,IF(AI12&lt;Bewertung_Stammdaten!J$44,Bewertung_Stammdaten!I$44,IF(AI12&lt;Bewertung_Stammdaten!J$45,Bewertung_Stammdaten!I$45,IF(AI12&lt;Bewertung_Stammdaten!J$46,Bewertung_Stammdaten!I$46,Bewertung_Stammdaten!I$47)))))))))</f>
        <v>1</v>
      </c>
      <c r="AM12" s="43"/>
      <c r="AN12" s="14">
        <f ca="1">VLOOKUP(A12,Dividende_je_Aktie!A$3:AM$103,24,FALSE)</f>
        <v>7.0501666666666658</v>
      </c>
      <c r="AO12" s="14">
        <f>VLOOKUP(A12,Dividende_je_Aktie!A$3:AM$103,20,FALSE)</f>
        <v>4.8142857142857149</v>
      </c>
      <c r="AP12" s="12">
        <f ca="1">VLOOKUP(A12,Dividende_je_Aktie!A$3:AM$103,25,FALSE)</f>
        <v>0.46442631058358019</v>
      </c>
      <c r="AQ12" s="40">
        <f>VLOOKUP(A12,Dividende_je_Aktie!A$3:AM$103,39,FALSE)</f>
        <v>-0.36363636363636365</v>
      </c>
      <c r="AR12" s="16">
        <f t="shared" ca="1" si="7"/>
        <v>4.4864696969696967</v>
      </c>
      <c r="AS12" s="12">
        <f t="shared" ca="1" si="8"/>
        <v>-6.8092347810448928E-2</v>
      </c>
      <c r="AT12" s="32">
        <f ca="1">IF(AP12&lt;Bewertung_Stammdaten!B$51,Bewertung_Stammdaten!A$51,IF(AP12&lt;Bewertung_Stammdaten!B$52,Bewertung_Stammdaten!A$52,IF(AP12&lt;Bewertung_Stammdaten!B$53,Bewertung_Stammdaten!A$53,IF(AP12&lt;Bewertung_Stammdaten!B$54,Bewertung_Stammdaten!A$54,IF(AP12&lt;Bewertung_Stammdaten!B$55,Bewertung_Stammdaten!A$55,IF(AP12&lt;Bewertung_Stammdaten!B$56,Bewertung_Stammdaten!A$56,IF(AP12&lt;Bewertung_Stammdaten!B$57,Bewertung_Stammdaten!A$57,IF(AP12&lt;Bewertung_Stammdaten!B$58,Bewertung_Stammdaten!A$58,IF(AP12&lt;Bewertung_Stammdaten!B$59,Bewertung_Stammdaten!A$59,Bewertung_Stammdaten!A$60)))))))))</f>
        <v>14</v>
      </c>
      <c r="AU12" s="32">
        <f>IF(AQ12&lt;Bewertung_Stammdaten!F$51,Bewertung_Stammdaten!E$51,IF(AQ12&lt;Bewertung_Stammdaten!F$52,Bewertung_Stammdaten!E$52,IF(AQ12&lt;Bewertung_Stammdaten!F$53,Bewertung_Stammdaten!E$53,IF(AQ12&lt;Bewertung_Stammdaten!F$54,Bewertung_Stammdaten!E$54,IF(AQ12&lt;Bewertung_Stammdaten!F$55,Bewertung_Stammdaten!E$55,IF(AQ12&lt;Bewertung_Stammdaten!F$56,Bewertung_Stammdaten!E$56,IF(AQ12&lt;Bewertung_Stammdaten!F$57,Bewertung_Stammdaten!E$57,IF(AQ12&lt;Bewertung_Stammdaten!F$58,Bewertung_Stammdaten!E$58,IF(AQ12&lt;Bewertung_Stammdaten!F$59,Bewertung_Stammdaten!E$59,Bewertung_Stammdaten!E$60)))))))))</f>
        <v>6</v>
      </c>
      <c r="AV12" s="32">
        <f ca="1">IF(AS12&lt;Bewertung_Stammdaten!J$51,Bewertung_Stammdaten!I$51,IF(AS12&lt;Bewertung_Stammdaten!J$52,Bewertung_Stammdaten!I$52,IF(AS12&lt;Bewertung_Stammdaten!J$53,Bewertung_Stammdaten!I$53,IF(AS12&lt;Bewertung_Stammdaten!J$54,Bewertung_Stammdaten!I$54,IF(AS12&lt;Bewertung_Stammdaten!J$55,Bewertung_Stammdaten!I$55,IF(AS12&lt;Bewertung_Stammdaten!J$56,Bewertung_Stammdaten!I$56,IF(AS12&lt;Bewertung_Stammdaten!J$57,Bewertung_Stammdaten!I$57,IF(AS12&lt;Bewertung_Stammdaten!J$58,Bewertung_Stammdaten!I$58,IF(AS12&lt;Bewertung_Stammdaten!J$59,Bewertung_Stammdaten!I$59,Bewertung_Stammdaten!I$60)))))))))</f>
        <v>3</v>
      </c>
      <c r="AW12" s="43"/>
      <c r="AX12" s="12">
        <f ca="1">VLOOKUP(A12,Dividendenrendite!A$3:R$103,17,FALSE)</f>
        <v>4.6367422996821214E-2</v>
      </c>
      <c r="AY12" s="12">
        <f>VLOOKUP(A12,Dividendenrendite!A$3:R$103,16,FALSE)</f>
        <v>4.0519975072612083E-2</v>
      </c>
      <c r="AZ12" s="12">
        <f ca="1">VLOOKUP(A12,Dividendenrendite!A$3:R$103,18,FALSE)</f>
        <v>0.14431025472573622</v>
      </c>
      <c r="BA12" s="32">
        <f ca="1">IF(AX12&lt;Bewertung_Stammdaten!B$64,Bewertung_Stammdaten!A$64,IF(AX12&lt;Bewertung_Stammdaten!B$65,Bewertung_Stammdaten!A$65,IF(AX12&lt;Bewertung_Stammdaten!B$66,Bewertung_Stammdaten!A$66,IF(AX12&lt;Bewertung_Stammdaten!B$67,Bewertung_Stammdaten!A$67,IF(AX12&lt;Bewertung_Stammdaten!B$68,Bewertung_Stammdaten!A$68,IF(AX12&lt;Bewertung_Stammdaten!B$69,Bewertung_Stammdaten!A$69,IF(AX12&lt;Bewertung_Stammdaten!B$70,Bewertung_Stammdaten!A$70,IF(AX12&lt;Bewertung_Stammdaten!B$71,Bewertung_Stammdaten!A$71,IF(AX12&lt;Bewertung_Stammdaten!B$72,Bewertung_Stammdaten!A$72,Bewertung_Stammdaten!A$73)))))))))</f>
        <v>15</v>
      </c>
      <c r="BB12" s="32">
        <f>IF(AY12&lt;Bewertung_Stammdaten!F$64,Bewertung_Stammdaten!E$64,IF(AY12&lt;Bewertung_Stammdaten!F$65,Bewertung_Stammdaten!E$65,IF(AY12&lt;Bewertung_Stammdaten!F$66,Bewertung_Stammdaten!E$66,IF(AY12&lt;Bewertung_Stammdaten!F$67,Bewertung_Stammdaten!E$67,IF(AY12&lt;Bewertung_Stammdaten!F$68,Bewertung_Stammdaten!E$68,IF(AY12&lt;Bewertung_Stammdaten!F$69,Bewertung_Stammdaten!E$69,IF(AY12&lt;Bewertung_Stammdaten!F$70,Bewertung_Stammdaten!E$70,IF(AY12&lt;Bewertung_Stammdaten!F$71,Bewertung_Stammdaten!E$71,IF(AY12&lt;Bewertung_Stammdaten!F$72,Bewertung_Stammdaten!E$72,Bewertung_Stammdaten!E$73)))))))))</f>
        <v>9</v>
      </c>
      <c r="BC12" s="32">
        <f ca="1">IF(AZ12&lt;Bewertung_Stammdaten!J$64,Bewertung_Stammdaten!I$64,IF(AZ12&lt;Bewertung_Stammdaten!J$65,Bewertung_Stammdaten!I$65,IF(AZ12&lt;Bewertung_Stammdaten!J$66,Bewertung_Stammdaten!I$66,IF(AZ12&lt;Bewertung_Stammdaten!J$67,Bewertung_Stammdaten!I$67,IF(AZ12&lt;Bewertung_Stammdaten!J$68,Bewertung_Stammdaten!I$68,IF(AZ12&lt;Bewertung_Stammdaten!J$69,Bewertung_Stammdaten!I$69,IF(AZ12&lt;Bewertung_Stammdaten!J$70,Bewertung_Stammdaten!I$70,IF(AZ12&lt;Bewertung_Stammdaten!J$71,Bewertung_Stammdaten!I$71,IF(AZ12&lt;Bewertung_Stammdaten!J$72,Bewertung_Stammdaten!I$72,Bewertung_Stammdaten!I$73)))))))))</f>
        <v>4</v>
      </c>
      <c r="BD12" s="43"/>
      <c r="BE12" s="12">
        <f>VLOOKUP(A12,Aktien_im_Umlauf_splitbereinigt!A$3:Z$103,26,FALSE)</f>
        <v>1.0952902519167917E-3</v>
      </c>
      <c r="BF12" s="12">
        <f>VLOOKUP(A12,Aktien_im_Umlauf_splitbereinigt!A$3:Y$103,24,FALSE)</f>
        <v>1.3466371515281727E-2</v>
      </c>
      <c r="BG12" s="12">
        <f>VLOOKUP(A12,Aktien_im_Umlauf_splitbereinigt!A$3:Y$103,25,FALSE)</f>
        <v>-99.999989999999997</v>
      </c>
      <c r="BH12" s="41">
        <f>IF(BE12&lt;Bewertung_Stammdaten!B$77,Bewertung_Stammdaten!A$77,IF(BE12&lt;Bewertung_Stammdaten!B$78,Bewertung_Stammdaten!A$78,IF(BE12&lt;Bewertung_Stammdaten!B$79,Bewertung_Stammdaten!A$79,IF(BE12&lt;Bewertung_Stammdaten!B$80,Bewertung_Stammdaten!A$80,IF(BE12&lt;Bewertung_Stammdaten!B$81,Bewertung_Stammdaten!A$81,IF(BE12&lt;Bewertung_Stammdaten!B$82,Bewertung_Stammdaten!A$82,IF(BE12&lt;Bewertung_Stammdaten!B$83,Bewertung_Stammdaten!A$83,IF(BE12&lt;Bewertung_Stammdaten!B$84,Bewertung_Stammdaten!A$84,IF(BE12&lt;Bewertung_Stammdaten!B$85,Bewertung_Stammdaten!A$85,Bewertung_Stammdaten!A$86)))))))))</f>
        <v>2</v>
      </c>
      <c r="BI12" s="41">
        <f>IF(BF12&lt;Bewertung_Stammdaten!F$77,Bewertung_Stammdaten!E$77,IF(BF12&lt;Bewertung_Stammdaten!F$78,Bewertung_Stammdaten!E$78,IF(BF12&lt;Bewertung_Stammdaten!F$79,Bewertung_Stammdaten!E$79,IF(BF12&lt;Bewertung_Stammdaten!F$80,Bewertung_Stammdaten!E$80,IF(BF12&lt;Bewertung_Stammdaten!F$81,Bewertung_Stammdaten!E$81,IF(BF12&lt;Bewertung_Stammdaten!F$82,Bewertung_Stammdaten!E$82,IF(BF12&lt;Bewertung_Stammdaten!F$83,Bewertung_Stammdaten!E$83,IF(BF12&lt;Bewertung_Stammdaten!F$84,Bewertung_Stammdaten!E$84,IF(BF12&lt;Bewertung_Stammdaten!F$85,Bewertung_Stammdaten!E$85,Bewertung_Stammdaten!E$86)))))))))</f>
        <v>1</v>
      </c>
      <c r="BJ12" s="41">
        <f>IF(BG12&lt;Bewertung_Stammdaten!J$77,Bewertung_Stammdaten!I$77,IF(BG12&lt;Bewertung_Stammdaten!J$78,Bewertung_Stammdaten!I$78,IF(BG12&lt;Bewertung_Stammdaten!J$79,Bewertung_Stammdaten!I$79,IF(BG12&lt;Bewertung_Stammdaten!J$80,Bewertung_Stammdaten!I$80,IF(BG12&lt;Bewertung_Stammdaten!J$81,Bewertung_Stammdaten!I$81,IF(BG12&lt;Bewertung_Stammdaten!J$82,Bewertung_Stammdaten!I$82,IF(BG12&lt;Bewertung_Stammdaten!J$83,Bewertung_Stammdaten!I$83,IF(BG12&lt;Bewertung_Stammdaten!J$84,Bewertung_Stammdaten!I$84,IF(BG12&lt;Bewertung_Stammdaten!J$85,Bewertung_Stammdaten!I$85,Bewertung_Stammdaten!I$86)))))))))</f>
        <v>0.5</v>
      </c>
      <c r="BK12" s="43"/>
      <c r="BL12" s="12">
        <f ca="1">VLOOKUP(A12,Ausschüttungsquote!A$3:X$103,23,FALSE)</f>
        <v>0.49075154631492662</v>
      </c>
      <c r="BM12" s="12">
        <f>VLOOKUP(A12,Ausschüttungsquote!A$3:X$103,19,FALSE)</f>
        <v>0.54869441084615633</v>
      </c>
      <c r="BN12" s="12">
        <f ca="1">VLOOKUP(A12,Ausschüttungsquote!A$3:X$103,24,FALSE)</f>
        <v>-0.10560133908029878</v>
      </c>
      <c r="BO12" s="32">
        <f ca="1">IF(BL12&lt;Bewertung_Stammdaten!B$90,Bewertung_Stammdaten!A$90,IF(BL12&lt;Bewertung_Stammdaten!B$91,Bewertung_Stammdaten!A$91,IF(BL12&lt;Bewertung_Stammdaten!B$92,Bewertung_Stammdaten!A$92,IF(BL12&lt;Bewertung_Stammdaten!B$93,Bewertung_Stammdaten!A$93,IF(BL12&lt;Bewertung_Stammdaten!B$94,Bewertung_Stammdaten!A$94,IF(BL12&lt;Bewertung_Stammdaten!B$95,Bewertung_Stammdaten!A$95,IF(BL12&lt;Bewertung_Stammdaten!B$96,Bewertung_Stammdaten!A$96,IF(BL12&lt;Bewertung_Stammdaten!B$97,Bewertung_Stammdaten!A$97,IF(BL12&lt;Bewertung_Stammdaten!B$98,Bewertung_Stammdaten!A$98,Bewertung_Stammdaten!A$99)))))))))</f>
        <v>8</v>
      </c>
      <c r="BP12" s="41">
        <f>IF(BM12&lt;Bewertung_Stammdaten!F$90,Bewertung_Stammdaten!E$90,IF(BM12&lt;Bewertung_Stammdaten!F$91,Bewertung_Stammdaten!E$91,IF(BM12&lt;Bewertung_Stammdaten!F$92,Bewertung_Stammdaten!E$92,IF(BM12&lt;Bewertung_Stammdaten!F$93,Bewertung_Stammdaten!E$93,IF(BM12&lt;Bewertung_Stammdaten!F$94,Bewertung_Stammdaten!E$94,IF(BM12&lt;Bewertung_Stammdaten!F$95,Bewertung_Stammdaten!E$95,IF(BM12&lt;Bewertung_Stammdaten!F$96,Bewertung_Stammdaten!E$96,IF(BM12&lt;Bewertung_Stammdaten!F$97,Bewertung_Stammdaten!E$97,IF(BM12&lt;Bewertung_Stammdaten!F$98,Bewertung_Stammdaten!E$98,Bewertung_Stammdaten!E$99)))))))))</f>
        <v>7</v>
      </c>
      <c r="BQ12" s="32">
        <f ca="1">IF(BN12&lt;Bewertung_Stammdaten!J$90,Bewertung_Stammdaten!I$90,IF(BN12&lt;Bewertung_Stammdaten!J$91,Bewertung_Stammdaten!I$91,IF(BN12&lt;Bewertung_Stammdaten!J$92,Bewertung_Stammdaten!I$92,IF(BN12&lt;Bewertung_Stammdaten!J$93,Bewertung_Stammdaten!I$93,IF(BN12&lt;Bewertung_Stammdaten!J$94,Bewertung_Stammdaten!I$94,IF(BN12&lt;Bewertung_Stammdaten!J$95,Bewertung_Stammdaten!I$95,IF(BN12&lt;Bewertung_Stammdaten!J$96,Bewertung_Stammdaten!I$96,IF(BN12&lt;Bewertung_Stammdaten!J$97,Bewertung_Stammdaten!I$97,IF(BN12&lt;Bewertung_Stammdaten!J$98,Bewertung_Stammdaten!I$98,Bewertung_Stammdaten!I$99)))))))))</f>
        <v>8</v>
      </c>
    </row>
    <row r="13" spans="1:69" x14ac:dyDescent="0.25">
      <c r="A13" s="38" t="s">
        <v>20</v>
      </c>
      <c r="B13" s="38" t="s">
        <v>21</v>
      </c>
      <c r="C13" s="38" t="s">
        <v>296</v>
      </c>
      <c r="D13" s="32">
        <f t="shared" ca="1" si="0"/>
        <v>186</v>
      </c>
      <c r="E13" s="43"/>
      <c r="F13" s="66">
        <v>0</v>
      </c>
      <c r="G13" s="11">
        <f ca="1">VLOOKUP(A13,KGV!A$3:R$103,17,FALSE)</f>
        <v>10.364853336833125</v>
      </c>
      <c r="H13" s="11">
        <f>VLOOKUP(A13,KGV!A$3:R$103,16,FALSE)</f>
        <v>8.5714285714285712</v>
      </c>
      <c r="I13" s="12">
        <f ca="1">VLOOKUP(A13,KGV!A$3:R$103,18,FALSE)</f>
        <v>0.20923288929719797</v>
      </c>
      <c r="J13" s="16">
        <f t="shared" ca="1" si="1"/>
        <v>34.356595070822486</v>
      </c>
      <c r="K13" s="12">
        <f t="shared" ca="1" si="2"/>
        <v>3.0082694249292903</v>
      </c>
      <c r="L13" s="11">
        <f ca="1">VLOOKUP(A13,KBV!A$3:R$103,17,FALSE)</f>
        <v>0.93833541258242747</v>
      </c>
      <c r="M13" s="11">
        <f>VLOOKUP(A13,KBV!A$3:R$103,16,FALSE)</f>
        <v>0.91884816753926701</v>
      </c>
      <c r="N13" s="12">
        <f ca="1">VLOOKUP(A13,KBV!A$3:R$103,18,FALSE)</f>
        <v>2.1208340759223177E-2</v>
      </c>
      <c r="O13" s="16">
        <f t="shared" ca="1" si="9"/>
        <v>1.0579597834521108</v>
      </c>
      <c r="P13" s="12">
        <f t="shared" ca="1" si="10"/>
        <v>0.15139782700486126</v>
      </c>
      <c r="Q13" s="32">
        <f ca="1">IF(F13=1,IF(I13&lt;Bewertung_Stammdaten!B$12,Bewertung_Stammdaten!A$12,IF(I13&lt;Bewertung_Stammdaten!B$13,Bewertung_Stammdaten!A$13,IF(I13&lt;Bewertung_Stammdaten!B$14,Bewertung_Stammdaten!A$14,IF(I13&lt;Bewertung_Stammdaten!B$15,Bewertung_Stammdaten!A$15,IF(I13&lt;Bewertung_Stammdaten!B$16,Bewertung_Stammdaten!A$16,IF(I13&lt;Bewertung_Stammdaten!B$17,Bewertung_Stammdaten!A$17,IF(I13&lt;Bewertung_Stammdaten!B$18,Bewertung_Stammdaten!A$18,IF(I13&lt;Bewertung_Stammdaten!B$19,Bewertung_Stammdaten!A$19,IF(I13&lt;Bewertung_Stammdaten!B$20,Bewertung_Stammdaten!A$20,Bewertung_Stammdaten!A$21))))))))),IF(N13&lt;Bewertung_Stammdaten!C$12,Bewertung_Stammdaten!A$12,IF(N13&lt;Bewertung_Stammdaten!C$13,Bewertung_Stammdaten!A$13,IF(N13&lt;Bewertung_Stammdaten!C$14,Bewertung_Stammdaten!A$14,IF(N13&lt;Bewertung_Stammdaten!C$15,Bewertung_Stammdaten!A$15,IF(N13&lt;Bewertung_Stammdaten!C$16,Bewertung_Stammdaten!A$16,IF(N13&lt;Bewertung_Stammdaten!C$17,Bewertung_Stammdaten!A$17,IF(N13&lt;Bewertung_Stammdaten!C$18,Bewertung_Stammdaten!A$18,IF(N13&lt;Bewertung_Stammdaten!C$19,Bewertung_Stammdaten!A$19,IF(N13&lt;Bewertung_Stammdaten!C$20,Bewertung_Stammdaten!A$20,Bewertung_Stammdaten!A$21))))))))))</f>
        <v>36</v>
      </c>
      <c r="R13" s="32">
        <f ca="1">IF(F13=1,IF(K13&lt;Bewertung_Stammdaten!F$12,Bewertung_Stammdaten!E$12,IF(K13&lt;Bewertung_Stammdaten!F$13,Bewertung_Stammdaten!E$13,IF(K13&lt;Bewertung_Stammdaten!F$14,Bewertung_Stammdaten!E$14,IF(K13&lt;Bewertung_Stammdaten!F$15,Bewertung_Stammdaten!E$15,IF(K13&lt;Bewertung_Stammdaten!F$16,Bewertung_Stammdaten!E$16,IF(K13&lt;Bewertung_Stammdaten!F$17,Bewertung_Stammdaten!E$17,IF(K13&lt;Bewertung_Stammdaten!F$18,Bewertung_Stammdaten!E$18,IF(K13&lt;Bewertung_Stammdaten!F$19,Bewertung_Stammdaten!E$19,IF(K13&lt;Bewertung_Stammdaten!F$20,Bewertung_Stammdaten!E$20,Bewertung_Stammdaten!E$21))))))))),IF(P13&lt;Bewertung_Stammdaten!G$12,Bewertung_Stammdaten!E$12,IF(P13&lt;Bewertung_Stammdaten!G$13,Bewertung_Stammdaten!E$13,IF(P13&lt;Bewertung_Stammdaten!G$14,Bewertung_Stammdaten!E$14,IF(P13&lt;Bewertung_Stammdaten!G$15,Bewertung_Stammdaten!E$15,IF(P13&lt;Bewertung_Stammdaten!G$16,Bewertung_Stammdaten!E$16,IF(P13&lt;Bewertung_Stammdaten!G$17,Bewertung_Stammdaten!E$17,IF(P13&lt;Bewertung_Stammdaten!G$18,Bewertung_Stammdaten!E$18,IF(P13&lt;Bewertung_Stammdaten!G$19,Bewertung_Stammdaten!E$19,IF(P13&lt;Bewertung_Stammdaten!G$20,Bewertung_Stammdaten!E$20,Bewertung_Stammdaten!E$21))))))))))</f>
        <v>15</v>
      </c>
      <c r="S13" s="43"/>
      <c r="T13" s="11">
        <f ca="1">VLOOKUP(A13,Buchwert_je_Aktie!A$3:AK$103,23,FALSE)</f>
        <v>187.0333333333333</v>
      </c>
      <c r="U13" s="11">
        <f>VLOOKUP(A13,Buchwert_je_Aktie!A$3:AK$103,19,FALSE)</f>
        <v>141.59692307692305</v>
      </c>
      <c r="V13" s="12">
        <f ca="1">VLOOKUP(A13,Buchwert_je_Aktie!A$3:AK$103,24,FALSE)</f>
        <v>0.32088557624749203</v>
      </c>
      <c r="W13" s="12">
        <f>VLOOKUP(A13,Buchwert_je_Aktie!A$3:AK$103,37,FALSE)</f>
        <v>-0.11307081114118578</v>
      </c>
      <c r="X13" s="16">
        <f t="shared" ca="1" si="3"/>
        <v>165.88532262289354</v>
      </c>
      <c r="Y13" s="12">
        <f t="shared" ca="1" si="4"/>
        <v>0.17153197271649567</v>
      </c>
      <c r="Z13" s="51">
        <f ca="1">IF(V13&lt;Bewertung_Stammdaten!B$25,Bewertung_Stammdaten!A$25,IF(V13&lt;Bewertung_Stammdaten!B$26,Bewertung_Stammdaten!A$26,IF(V13&lt;Bewertung_Stammdaten!B$27,Bewertung_Stammdaten!A$27,IF(V13&lt;Bewertung_Stammdaten!B$28,Bewertung_Stammdaten!A$28,IF(V13&lt;Bewertung_Stammdaten!B$29,Bewertung_Stammdaten!A$29,IF(V13&lt;Bewertung_Stammdaten!B$30,Bewertung_Stammdaten!A$30,IF(V13&lt;Bewertung_Stammdaten!B$31,Bewertung_Stammdaten!A$31,IF(V13&lt;Bewertung_Stammdaten!B$32,Bewertung_Stammdaten!A$32,IF(V13&lt;Bewertung_Stammdaten!B$33,Bewertung_Stammdaten!A$33,Bewertung_Stammdaten!A$34)))))))))</f>
        <v>9</v>
      </c>
      <c r="AA13" s="51">
        <f>IF(W13&lt;Bewertung_Stammdaten!F$25,Bewertung_Stammdaten!E$25,IF(W13&lt;Bewertung_Stammdaten!F$26,Bewertung_Stammdaten!E$26,IF(W13&lt;Bewertung_Stammdaten!F$27,Bewertung_Stammdaten!E$27,IF(W13&lt;Bewertung_Stammdaten!F$28,Bewertung_Stammdaten!E$28,IF(W13&lt;Bewertung_Stammdaten!F$29,Bewertung_Stammdaten!E$29,IF(W13&lt;Bewertung_Stammdaten!F$30,Bewertung_Stammdaten!E$30,IF(W13&lt;Bewertung_Stammdaten!F$31,Bewertung_Stammdaten!E$31,IF(W13&lt;Bewertung_Stammdaten!F$32,Bewertung_Stammdaten!E$32,IF(W13&lt;Bewertung_Stammdaten!F$33,Bewertung_Stammdaten!E$33,Bewertung_Stammdaten!E$34)))))))))</f>
        <v>7.5</v>
      </c>
      <c r="AB13" s="51">
        <f ca="1">IF(Y13&lt;Bewertung_Stammdaten!J$25,Bewertung_Stammdaten!I$25,IF(Y13&lt;Bewertung_Stammdaten!J$26,Bewertung_Stammdaten!I$26,IF(Y13&lt;Bewertung_Stammdaten!J$27,Bewertung_Stammdaten!I$27,IF(Y13&lt;Bewertung_Stammdaten!J$28,Bewertung_Stammdaten!I$28,IF(Y13&lt;Bewertung_Stammdaten!J$29,Bewertung_Stammdaten!I$29,IF(Y13&lt;Bewertung_Stammdaten!J$30,Bewertung_Stammdaten!I$30,IF(Y13&lt;Bewertung_Stammdaten!J$31,Bewertung_Stammdaten!I$31,IF(Y13&lt;Bewertung_Stammdaten!J$32,Bewertung_Stammdaten!I$32,IF(Y13&lt;Bewertung_Stammdaten!J$33,Bewertung_Stammdaten!I$33,Bewertung_Stammdaten!I$34)))))))))</f>
        <v>4</v>
      </c>
      <c r="AC13" s="43"/>
      <c r="AD13" s="14">
        <f ca="1">VLOOKUP(A13,Ergebnis_je_Aktie_verwässert!A$3:AK$103,23,FALSE)</f>
        <v>16.932222222222222</v>
      </c>
      <c r="AE13" s="14">
        <f>VLOOKUP(A13,Ergebnis_je_Aktie_verwässert!A$3:AK$103,19,FALSE)</f>
        <v>14.418461538461539</v>
      </c>
      <c r="AF13" s="12">
        <f ca="1">VLOOKUP(A13,Ergebnis_je_Aktie_verwässert!A$3:AK$103,24,FALSE)</f>
        <v>0.17434319723052116</v>
      </c>
      <c r="AG13" s="40">
        <f>VLOOKUP(A13,Ergebnis_je_Aktie_verwässert!A$3:AK$103,37,FALSE)</f>
        <v>-0.69831546707503822</v>
      </c>
      <c r="AH13" s="16">
        <f t="shared" ca="1" si="5"/>
        <v>5.1081895524927692</v>
      </c>
      <c r="AI13" s="12">
        <f t="shared" ca="1" si="6"/>
        <v>-0.64571882104990397</v>
      </c>
      <c r="AJ13" s="32">
        <f ca="1">IF(AF13&lt;Bewertung_Stammdaten!B$38,Bewertung_Stammdaten!A$38,IF(AF13&lt;Bewertung_Stammdaten!B$39,Bewertung_Stammdaten!A$39,IF(AF13&lt;Bewertung_Stammdaten!B$40,Bewertung_Stammdaten!A$40,IF(AF13&lt;Bewertung_Stammdaten!B$41,Bewertung_Stammdaten!A$41,IF(AF13&lt;Bewertung_Stammdaten!B$42,Bewertung_Stammdaten!A$42,IF(AF13&lt;Bewertung_Stammdaten!B$43,Bewertung_Stammdaten!A$43,IF(AF13&lt;Bewertung_Stammdaten!B$44,Bewertung_Stammdaten!A$44,IF(AF13&lt;Bewertung_Stammdaten!B$45,Bewertung_Stammdaten!A$45,IF(AF13&lt;Bewertung_Stammdaten!B$46,Bewertung_Stammdaten!A$46,Bewertung_Stammdaten!A$47)))))))))</f>
        <v>10</v>
      </c>
      <c r="AK13" s="32">
        <f>IF(AG13&lt;Bewertung_Stammdaten!F$38,Bewertung_Stammdaten!E$38,IF(AG13&lt;Bewertung_Stammdaten!F$39,Bewertung_Stammdaten!E$39,IF(AG13&lt;Bewertung_Stammdaten!F$40,Bewertung_Stammdaten!E$40,IF(AG13&lt;Bewertung_Stammdaten!F$41,Bewertung_Stammdaten!E$41,IF(AG13&lt;Bewertung_Stammdaten!F$42,Bewertung_Stammdaten!E$42,IF(AG13&lt;Bewertung_Stammdaten!F$43,Bewertung_Stammdaten!E$43,IF(AG13&lt;Bewertung_Stammdaten!F$44,Bewertung_Stammdaten!E$44,IF(AG13&lt;Bewertung_Stammdaten!F$45,Bewertung_Stammdaten!E$45,IF(AG13&lt;Bewertung_Stammdaten!F$46,Bewertung_Stammdaten!E$46,Bewertung_Stammdaten!E$47)))))))))</f>
        <v>1.5</v>
      </c>
      <c r="AL13" s="32">
        <f ca="1">IF(AI13&lt;Bewertung_Stammdaten!J$38,Bewertung_Stammdaten!I$38,IF(AI13&lt;Bewertung_Stammdaten!J$39,Bewertung_Stammdaten!I$39,IF(AI13&lt;Bewertung_Stammdaten!J$40,Bewertung_Stammdaten!I$40,IF(AI13&lt;Bewertung_Stammdaten!J$41,Bewertung_Stammdaten!I$41,IF(AI13&lt;Bewertung_Stammdaten!J$42,Bewertung_Stammdaten!I$42,IF(AI13&lt;Bewertung_Stammdaten!J$43,Bewertung_Stammdaten!I$43,IF(AI13&lt;Bewertung_Stammdaten!J$44,Bewertung_Stammdaten!I$44,IF(AI13&lt;Bewertung_Stammdaten!J$45,Bewertung_Stammdaten!I$45,IF(AI13&lt;Bewertung_Stammdaten!J$46,Bewertung_Stammdaten!I$46,Bewertung_Stammdaten!I$47)))))))))</f>
        <v>1</v>
      </c>
      <c r="AM13" s="43"/>
      <c r="AN13" s="14">
        <f ca="1">VLOOKUP(A13,Dividende_je_Aktie!A$3:AM$103,24,FALSE)</f>
        <v>8.0015000000000001</v>
      </c>
      <c r="AO13" s="14">
        <f>VLOOKUP(A13,Dividende_je_Aktie!A$3:AM$103,20,FALSE)</f>
        <v>6.1071428571428568</v>
      </c>
      <c r="AP13" s="12">
        <f ca="1">VLOOKUP(A13,Dividende_je_Aktie!A$3:AM$103,25,FALSE)</f>
        <v>0.31018713450292412</v>
      </c>
      <c r="AQ13" s="40">
        <f>VLOOKUP(A13,Dividende_je_Aktie!A$3:AM$103,39,FALSE)</f>
        <v>0</v>
      </c>
      <c r="AR13" s="16">
        <f t="shared" ca="1" si="7"/>
        <v>8.0015000000000001</v>
      </c>
      <c r="AS13" s="12">
        <f t="shared" ca="1" si="8"/>
        <v>0.31018713450292412</v>
      </c>
      <c r="AT13" s="32">
        <f ca="1">IF(AP13&lt;Bewertung_Stammdaten!B$51,Bewertung_Stammdaten!A$51,IF(AP13&lt;Bewertung_Stammdaten!B$52,Bewertung_Stammdaten!A$52,IF(AP13&lt;Bewertung_Stammdaten!B$53,Bewertung_Stammdaten!A$53,IF(AP13&lt;Bewertung_Stammdaten!B$54,Bewertung_Stammdaten!A$54,IF(AP13&lt;Bewertung_Stammdaten!B$55,Bewertung_Stammdaten!A$55,IF(AP13&lt;Bewertung_Stammdaten!B$56,Bewertung_Stammdaten!A$56,IF(AP13&lt;Bewertung_Stammdaten!B$57,Bewertung_Stammdaten!A$57,IF(AP13&lt;Bewertung_Stammdaten!B$58,Bewertung_Stammdaten!A$58,IF(AP13&lt;Bewertung_Stammdaten!B$59,Bewertung_Stammdaten!A$59,Bewertung_Stammdaten!A$60)))))))))</f>
        <v>12</v>
      </c>
      <c r="AU13" s="32">
        <f>IF(AQ13&lt;Bewertung_Stammdaten!F$51,Bewertung_Stammdaten!E$51,IF(AQ13&lt;Bewertung_Stammdaten!F$52,Bewertung_Stammdaten!E$52,IF(AQ13&lt;Bewertung_Stammdaten!F$53,Bewertung_Stammdaten!E$53,IF(AQ13&lt;Bewertung_Stammdaten!F$54,Bewertung_Stammdaten!E$54,IF(AQ13&lt;Bewertung_Stammdaten!F$55,Bewertung_Stammdaten!E$55,IF(AQ13&lt;Bewertung_Stammdaten!F$56,Bewertung_Stammdaten!E$56,IF(AQ13&lt;Bewertung_Stammdaten!F$57,Bewertung_Stammdaten!E$57,IF(AQ13&lt;Bewertung_Stammdaten!F$58,Bewertung_Stammdaten!E$58,IF(AQ13&lt;Bewertung_Stammdaten!F$59,Bewertung_Stammdaten!E$59,Bewertung_Stammdaten!E$60)))))))))</f>
        <v>12</v>
      </c>
      <c r="AV13" s="32">
        <f ca="1">IF(AS13&lt;Bewertung_Stammdaten!J$51,Bewertung_Stammdaten!I$51,IF(AS13&lt;Bewertung_Stammdaten!J$52,Bewertung_Stammdaten!I$52,IF(AS13&lt;Bewertung_Stammdaten!J$53,Bewertung_Stammdaten!I$53,IF(AS13&lt;Bewertung_Stammdaten!J$54,Bewertung_Stammdaten!I$54,IF(AS13&lt;Bewertung_Stammdaten!J$55,Bewertung_Stammdaten!I$55,IF(AS13&lt;Bewertung_Stammdaten!J$56,Bewertung_Stammdaten!I$56,IF(AS13&lt;Bewertung_Stammdaten!J$57,Bewertung_Stammdaten!I$57,IF(AS13&lt;Bewertung_Stammdaten!J$58,Bewertung_Stammdaten!I$58,IF(AS13&lt;Bewertung_Stammdaten!J$59,Bewertung_Stammdaten!I$59,Bewertung_Stammdaten!I$60)))))))))</f>
        <v>7</v>
      </c>
      <c r="AW13" s="43"/>
      <c r="AX13" s="12">
        <f ca="1">VLOOKUP(A13,Dividendenrendite!A$3:R$103,17,FALSE)</f>
        <v>4.5592592592592594E-2</v>
      </c>
      <c r="AY13" s="12">
        <f>VLOOKUP(A13,Dividendenrendite!A$3:R$103,16,FALSE)</f>
        <v>4.4904888677705083E-2</v>
      </c>
      <c r="AZ13" s="12">
        <f ca="1">VLOOKUP(A13,Dividendenrendite!A$3:R$103,18,FALSE)</f>
        <v>1.5314678092698486E-2</v>
      </c>
      <c r="BA13" s="32">
        <f ca="1">IF(AX13&lt;Bewertung_Stammdaten!B$64,Bewertung_Stammdaten!A$64,IF(AX13&lt;Bewertung_Stammdaten!B$65,Bewertung_Stammdaten!A$65,IF(AX13&lt;Bewertung_Stammdaten!B$66,Bewertung_Stammdaten!A$66,IF(AX13&lt;Bewertung_Stammdaten!B$67,Bewertung_Stammdaten!A$67,IF(AX13&lt;Bewertung_Stammdaten!B$68,Bewertung_Stammdaten!A$68,IF(AX13&lt;Bewertung_Stammdaten!B$69,Bewertung_Stammdaten!A$69,IF(AX13&lt;Bewertung_Stammdaten!B$70,Bewertung_Stammdaten!A$70,IF(AX13&lt;Bewertung_Stammdaten!B$71,Bewertung_Stammdaten!A$71,IF(AX13&lt;Bewertung_Stammdaten!B$72,Bewertung_Stammdaten!A$72,Bewertung_Stammdaten!A$73)))))))))</f>
        <v>15</v>
      </c>
      <c r="BB13" s="32">
        <f>IF(AY13&lt;Bewertung_Stammdaten!F$64,Bewertung_Stammdaten!E$64,IF(AY13&lt;Bewertung_Stammdaten!F$65,Bewertung_Stammdaten!E$65,IF(AY13&lt;Bewertung_Stammdaten!F$66,Bewertung_Stammdaten!E$66,IF(AY13&lt;Bewertung_Stammdaten!F$67,Bewertung_Stammdaten!E$67,IF(AY13&lt;Bewertung_Stammdaten!F$68,Bewertung_Stammdaten!E$68,IF(AY13&lt;Bewertung_Stammdaten!F$69,Bewertung_Stammdaten!E$69,IF(AY13&lt;Bewertung_Stammdaten!F$70,Bewertung_Stammdaten!E$70,IF(AY13&lt;Bewertung_Stammdaten!F$71,Bewertung_Stammdaten!E$71,IF(AY13&lt;Bewertung_Stammdaten!F$72,Bewertung_Stammdaten!E$72,Bewertung_Stammdaten!E$73)))))))))</f>
        <v>9</v>
      </c>
      <c r="BC13" s="32">
        <f ca="1">IF(AZ13&lt;Bewertung_Stammdaten!J$64,Bewertung_Stammdaten!I$64,IF(AZ13&lt;Bewertung_Stammdaten!J$65,Bewertung_Stammdaten!I$65,IF(AZ13&lt;Bewertung_Stammdaten!J$66,Bewertung_Stammdaten!I$66,IF(AZ13&lt;Bewertung_Stammdaten!J$67,Bewertung_Stammdaten!I$67,IF(AZ13&lt;Bewertung_Stammdaten!J$68,Bewertung_Stammdaten!I$68,IF(AZ13&lt;Bewertung_Stammdaten!J$69,Bewertung_Stammdaten!I$69,IF(AZ13&lt;Bewertung_Stammdaten!J$70,Bewertung_Stammdaten!I$70,IF(AZ13&lt;Bewertung_Stammdaten!J$71,Bewertung_Stammdaten!I$71,IF(AZ13&lt;Bewertung_Stammdaten!J$72,Bewertung_Stammdaten!I$72,Bewertung_Stammdaten!I$73)))))))))</f>
        <v>3</v>
      </c>
      <c r="BD13" s="43"/>
      <c r="BE13" s="12">
        <f>VLOOKUP(A13,Aktien_im_Umlauf_splitbereinigt!A$3:Z$103,26,FALSE)</f>
        <v>-3.5686405709824953E-2</v>
      </c>
      <c r="BF13" s="12">
        <f>VLOOKUP(A13,Aktien_im_Umlauf_splitbereinigt!A$3:Y$103,24,FALSE)</f>
        <v>-3.0743904868583732E-2</v>
      </c>
      <c r="BG13" s="12">
        <f>VLOOKUP(A13,Aktien_im_Umlauf_splitbereinigt!A$3:Y$103,25,FALSE)</f>
        <v>0.16076360053702277</v>
      </c>
      <c r="BH13" s="41">
        <f>IF(BE13&lt;Bewertung_Stammdaten!B$77,Bewertung_Stammdaten!A$77,IF(BE13&lt;Bewertung_Stammdaten!B$78,Bewertung_Stammdaten!A$78,IF(BE13&lt;Bewertung_Stammdaten!B$79,Bewertung_Stammdaten!A$79,IF(BE13&lt;Bewertung_Stammdaten!B$80,Bewertung_Stammdaten!A$80,IF(BE13&lt;Bewertung_Stammdaten!B$81,Bewertung_Stammdaten!A$81,IF(BE13&lt;Bewertung_Stammdaten!B$82,Bewertung_Stammdaten!A$82,IF(BE13&lt;Bewertung_Stammdaten!B$83,Bewertung_Stammdaten!A$83,IF(BE13&lt;Bewertung_Stammdaten!B$84,Bewertung_Stammdaten!A$84,IF(BE13&lt;Bewertung_Stammdaten!B$85,Bewertung_Stammdaten!A$85,Bewertung_Stammdaten!A$86)))))))))</f>
        <v>10</v>
      </c>
      <c r="BI13" s="41">
        <f>IF(BF13&lt;Bewertung_Stammdaten!F$77,Bewertung_Stammdaten!E$77,IF(BF13&lt;Bewertung_Stammdaten!F$78,Bewertung_Stammdaten!E$78,IF(BF13&lt;Bewertung_Stammdaten!F$79,Bewertung_Stammdaten!E$79,IF(BF13&lt;Bewertung_Stammdaten!F$80,Bewertung_Stammdaten!E$80,IF(BF13&lt;Bewertung_Stammdaten!F$81,Bewertung_Stammdaten!E$81,IF(BF13&lt;Bewertung_Stammdaten!F$82,Bewertung_Stammdaten!E$82,IF(BF13&lt;Bewertung_Stammdaten!F$83,Bewertung_Stammdaten!E$83,IF(BF13&lt;Bewertung_Stammdaten!F$84,Bewertung_Stammdaten!E$84,IF(BF13&lt;Bewertung_Stammdaten!F$85,Bewertung_Stammdaten!E$85,Bewertung_Stammdaten!E$86)))))))))</f>
        <v>9</v>
      </c>
      <c r="BJ13" s="41">
        <f>IF(BG13&lt;Bewertung_Stammdaten!J$77,Bewertung_Stammdaten!I$77,IF(BG13&lt;Bewertung_Stammdaten!J$78,Bewertung_Stammdaten!I$78,IF(BG13&lt;Bewertung_Stammdaten!J$79,Bewertung_Stammdaten!I$79,IF(BG13&lt;Bewertung_Stammdaten!J$80,Bewertung_Stammdaten!I$80,IF(BG13&lt;Bewertung_Stammdaten!J$81,Bewertung_Stammdaten!I$81,IF(BG13&lt;Bewertung_Stammdaten!J$82,Bewertung_Stammdaten!I$82,IF(BG13&lt;Bewertung_Stammdaten!J$83,Bewertung_Stammdaten!I$83,IF(BG13&lt;Bewertung_Stammdaten!J$84,Bewertung_Stammdaten!I$84,IF(BG13&lt;Bewertung_Stammdaten!J$85,Bewertung_Stammdaten!I$85,Bewertung_Stammdaten!I$86)))))))))</f>
        <v>3</v>
      </c>
      <c r="BK13" s="43"/>
      <c r="BL13" s="12">
        <f ca="1">VLOOKUP(A13,Ausschüttungsquote!A$3:X$103,23,FALSE)</f>
        <v>0.47261772486772485</v>
      </c>
      <c r="BM13" s="12">
        <f>VLOOKUP(A13,Ausschüttungsquote!A$3:X$103,19,FALSE)</f>
        <v>0.52178895502147327</v>
      </c>
      <c r="BN13" s="12">
        <f ca="1">VLOOKUP(A13,Ausschüttungsquote!A$3:X$103,24,FALSE)</f>
        <v>-9.4235858541169892E-2</v>
      </c>
      <c r="BO13" s="32">
        <f ca="1">IF(BL13&lt;Bewertung_Stammdaten!B$90,Bewertung_Stammdaten!A$90,IF(BL13&lt;Bewertung_Stammdaten!B$91,Bewertung_Stammdaten!A$91,IF(BL13&lt;Bewertung_Stammdaten!B$92,Bewertung_Stammdaten!A$92,IF(BL13&lt;Bewertung_Stammdaten!B$93,Bewertung_Stammdaten!A$93,IF(BL13&lt;Bewertung_Stammdaten!B$94,Bewertung_Stammdaten!A$94,IF(BL13&lt;Bewertung_Stammdaten!B$95,Bewertung_Stammdaten!A$95,IF(BL13&lt;Bewertung_Stammdaten!B$96,Bewertung_Stammdaten!A$96,IF(BL13&lt;Bewertung_Stammdaten!B$97,Bewertung_Stammdaten!A$97,IF(BL13&lt;Bewertung_Stammdaten!B$98,Bewertung_Stammdaten!A$98,Bewertung_Stammdaten!A$99)))))))))</f>
        <v>8</v>
      </c>
      <c r="BP13" s="41">
        <f>IF(BM13&lt;Bewertung_Stammdaten!F$90,Bewertung_Stammdaten!E$90,IF(BM13&lt;Bewertung_Stammdaten!F$91,Bewertung_Stammdaten!E$91,IF(BM13&lt;Bewertung_Stammdaten!F$92,Bewertung_Stammdaten!E$92,IF(BM13&lt;Bewertung_Stammdaten!F$93,Bewertung_Stammdaten!E$93,IF(BM13&lt;Bewertung_Stammdaten!F$94,Bewertung_Stammdaten!E$94,IF(BM13&lt;Bewertung_Stammdaten!F$95,Bewertung_Stammdaten!E$95,IF(BM13&lt;Bewertung_Stammdaten!F$96,Bewertung_Stammdaten!E$96,IF(BM13&lt;Bewertung_Stammdaten!F$97,Bewertung_Stammdaten!E$97,IF(BM13&lt;Bewertung_Stammdaten!F$98,Bewertung_Stammdaten!E$98,Bewertung_Stammdaten!E$99)))))))))</f>
        <v>7</v>
      </c>
      <c r="BQ13" s="32">
        <f ca="1">IF(BN13&lt;Bewertung_Stammdaten!J$90,Bewertung_Stammdaten!I$90,IF(BN13&lt;Bewertung_Stammdaten!J$91,Bewertung_Stammdaten!I$91,IF(BN13&lt;Bewertung_Stammdaten!J$92,Bewertung_Stammdaten!I$92,IF(BN13&lt;Bewertung_Stammdaten!J$93,Bewertung_Stammdaten!I$93,IF(BN13&lt;Bewertung_Stammdaten!J$94,Bewertung_Stammdaten!I$94,IF(BN13&lt;Bewertung_Stammdaten!J$95,Bewertung_Stammdaten!I$95,IF(BN13&lt;Bewertung_Stammdaten!J$96,Bewertung_Stammdaten!I$96,IF(BN13&lt;Bewertung_Stammdaten!J$97,Bewertung_Stammdaten!I$97,IF(BN13&lt;Bewertung_Stammdaten!J$98,Bewertung_Stammdaten!I$98,Bewertung_Stammdaten!I$99)))))))))</f>
        <v>7</v>
      </c>
    </row>
    <row r="14" spans="1:69" x14ac:dyDescent="0.25">
      <c r="A14" s="38" t="s">
        <v>22</v>
      </c>
      <c r="B14" s="38" t="s">
        <v>23</v>
      </c>
      <c r="C14" s="38" t="s">
        <v>296</v>
      </c>
      <c r="D14" s="32">
        <f t="shared" ca="1" si="0"/>
        <v>123</v>
      </c>
      <c r="E14" s="43"/>
      <c r="F14" s="66">
        <v>1</v>
      </c>
      <c r="G14" s="11">
        <f ca="1">VLOOKUP(A14,KGV!A$3:R$103,17,FALSE)</f>
        <v>16.858143276237339</v>
      </c>
      <c r="H14" s="11">
        <f>VLOOKUP(A14,KGV!A$3:R$103,16,FALSE)</f>
        <v>13.500948766603418</v>
      </c>
      <c r="I14" s="12">
        <f ca="1">VLOOKUP(A14,KGV!A$3:R$103,18,FALSE)</f>
        <v>0.24866359895672185</v>
      </c>
      <c r="J14" s="16">
        <f t="shared" ca="1" si="1"/>
        <v>34.263628866638228</v>
      </c>
      <c r="K14" s="12">
        <f t="shared" ca="1" si="2"/>
        <v>1.537868223853597</v>
      </c>
      <c r="L14" s="11">
        <f ca="1">VLOOKUP(A14,KBV!A$3:R$103,17,FALSE)</f>
        <v>2.7822782174094125</v>
      </c>
      <c r="M14" s="11">
        <f>VLOOKUP(A14,KBV!A$3:R$103,16,FALSE)</f>
        <v>2.1599131693198266</v>
      </c>
      <c r="N14" s="12">
        <f ca="1">VLOOKUP(A14,KBV!A$3:R$103,18,FALSE)</f>
        <v>0.28814354990278312</v>
      </c>
      <c r="O14" s="16">
        <f t="shared" ca="1" si="9"/>
        <v>2.8682858364951795</v>
      </c>
      <c r="P14" s="12">
        <f t="shared" ca="1" si="10"/>
        <v>0.32796349280949344</v>
      </c>
      <c r="Q14" s="32">
        <f ca="1">IF(F14=1,IF(I14&lt;Bewertung_Stammdaten!B$12,Bewertung_Stammdaten!A$12,IF(I14&lt;Bewertung_Stammdaten!B$13,Bewertung_Stammdaten!A$13,IF(I14&lt;Bewertung_Stammdaten!B$14,Bewertung_Stammdaten!A$14,IF(I14&lt;Bewertung_Stammdaten!B$15,Bewertung_Stammdaten!A$15,IF(I14&lt;Bewertung_Stammdaten!B$16,Bewertung_Stammdaten!A$16,IF(I14&lt;Bewertung_Stammdaten!B$17,Bewertung_Stammdaten!A$17,IF(I14&lt;Bewertung_Stammdaten!B$18,Bewertung_Stammdaten!A$18,IF(I14&lt;Bewertung_Stammdaten!B$19,Bewertung_Stammdaten!A$19,IF(I14&lt;Bewertung_Stammdaten!B$20,Bewertung_Stammdaten!A$20,Bewertung_Stammdaten!A$21))))))))),IF(N14&lt;Bewertung_Stammdaten!C$12,Bewertung_Stammdaten!A$12,IF(N14&lt;Bewertung_Stammdaten!C$13,Bewertung_Stammdaten!A$13,IF(N14&lt;Bewertung_Stammdaten!C$14,Bewertung_Stammdaten!A$14,IF(N14&lt;Bewertung_Stammdaten!C$15,Bewertung_Stammdaten!A$15,IF(N14&lt;Bewertung_Stammdaten!C$16,Bewertung_Stammdaten!A$16,IF(N14&lt;Bewertung_Stammdaten!C$17,Bewertung_Stammdaten!A$17,IF(N14&lt;Bewertung_Stammdaten!C$18,Bewertung_Stammdaten!A$18,IF(N14&lt;Bewertung_Stammdaten!C$19,Bewertung_Stammdaten!A$19,IF(N14&lt;Bewertung_Stammdaten!C$20,Bewertung_Stammdaten!A$20,Bewertung_Stammdaten!A$21))))))))))</f>
        <v>12</v>
      </c>
      <c r="R14" s="32">
        <f ca="1">IF(F14=1,IF(K14&lt;Bewertung_Stammdaten!F$12,Bewertung_Stammdaten!E$12,IF(K14&lt;Bewertung_Stammdaten!F$13,Bewertung_Stammdaten!E$13,IF(K14&lt;Bewertung_Stammdaten!F$14,Bewertung_Stammdaten!E$14,IF(K14&lt;Bewertung_Stammdaten!F$15,Bewertung_Stammdaten!E$15,IF(K14&lt;Bewertung_Stammdaten!F$16,Bewertung_Stammdaten!E$16,IF(K14&lt;Bewertung_Stammdaten!F$17,Bewertung_Stammdaten!E$17,IF(K14&lt;Bewertung_Stammdaten!F$18,Bewertung_Stammdaten!E$18,IF(K14&lt;Bewertung_Stammdaten!F$19,Bewertung_Stammdaten!E$19,IF(K14&lt;Bewertung_Stammdaten!F$20,Bewertung_Stammdaten!E$20,Bewertung_Stammdaten!E$21))))))))),IF(P14&lt;Bewertung_Stammdaten!G$12,Bewertung_Stammdaten!E$12,IF(P14&lt;Bewertung_Stammdaten!G$13,Bewertung_Stammdaten!E$13,IF(P14&lt;Bewertung_Stammdaten!G$14,Bewertung_Stammdaten!E$14,IF(P14&lt;Bewertung_Stammdaten!G$15,Bewertung_Stammdaten!E$15,IF(P14&lt;Bewertung_Stammdaten!G$16,Bewertung_Stammdaten!E$16,IF(P14&lt;Bewertung_Stammdaten!G$17,Bewertung_Stammdaten!E$17,IF(P14&lt;Bewertung_Stammdaten!G$18,Bewertung_Stammdaten!E$18,IF(P14&lt;Bewertung_Stammdaten!G$19,Bewertung_Stammdaten!E$19,IF(P14&lt;Bewertung_Stammdaten!G$20,Bewertung_Stammdaten!E$20,Bewertung_Stammdaten!E$21))))))))))</f>
        <v>2.5</v>
      </c>
      <c r="S14" s="43"/>
      <c r="T14" s="11">
        <f ca="1">VLOOKUP(A14,Buchwert_je_Aktie!A$3:AK$103,23,FALSE)</f>
        <v>32.013333333333335</v>
      </c>
      <c r="U14" s="11">
        <f>VLOOKUP(A14,Buchwert_je_Aktie!A$3:AK$103,19,FALSE)</f>
        <v>26.070769230769226</v>
      </c>
      <c r="V14" s="12">
        <f ca="1">VLOOKUP(A14,Buchwert_je_Aktie!A$3:AK$103,24,FALSE)</f>
        <v>0.22793973012313651</v>
      </c>
      <c r="W14" s="12">
        <f>VLOOKUP(A14,Buchwert_je_Aktie!A$3:AK$103,37,FALSE)</f>
        <v>-2.9985721085197592E-2</v>
      </c>
      <c r="X14" s="16">
        <f t="shared" ca="1" si="3"/>
        <v>31.053390448992545</v>
      </c>
      <c r="Y14" s="12">
        <f t="shared" ca="1" si="4"/>
        <v>0.19111907186623145</v>
      </c>
      <c r="Z14" s="51">
        <f ca="1">IF(V14&lt;Bewertung_Stammdaten!B$25,Bewertung_Stammdaten!A$25,IF(V14&lt;Bewertung_Stammdaten!B$26,Bewertung_Stammdaten!A$26,IF(V14&lt;Bewertung_Stammdaten!B$27,Bewertung_Stammdaten!A$27,IF(V14&lt;Bewertung_Stammdaten!B$28,Bewertung_Stammdaten!A$28,IF(V14&lt;Bewertung_Stammdaten!B$29,Bewertung_Stammdaten!A$29,IF(V14&lt;Bewertung_Stammdaten!B$30,Bewertung_Stammdaten!A$30,IF(V14&lt;Bewertung_Stammdaten!B$31,Bewertung_Stammdaten!A$31,IF(V14&lt;Bewertung_Stammdaten!B$32,Bewertung_Stammdaten!A$32,IF(V14&lt;Bewertung_Stammdaten!B$33,Bewertung_Stammdaten!A$33,Bewertung_Stammdaten!A$34)))))))))</f>
        <v>7.5</v>
      </c>
      <c r="AA14" s="51">
        <f>IF(W14&lt;Bewertung_Stammdaten!F$25,Bewertung_Stammdaten!E$25,IF(W14&lt;Bewertung_Stammdaten!F$26,Bewertung_Stammdaten!E$26,IF(W14&lt;Bewertung_Stammdaten!F$27,Bewertung_Stammdaten!E$27,IF(W14&lt;Bewertung_Stammdaten!F$28,Bewertung_Stammdaten!E$28,IF(W14&lt;Bewertung_Stammdaten!F$29,Bewertung_Stammdaten!E$29,IF(W14&lt;Bewertung_Stammdaten!F$30,Bewertung_Stammdaten!E$30,IF(W14&lt;Bewertung_Stammdaten!F$31,Bewertung_Stammdaten!E$31,IF(W14&lt;Bewertung_Stammdaten!F$32,Bewertung_Stammdaten!E$32,IF(W14&lt;Bewertung_Stammdaten!F$33,Bewertung_Stammdaten!E$33,Bewertung_Stammdaten!E$34)))))))))</f>
        <v>10.5</v>
      </c>
      <c r="AB14" s="51">
        <f ca="1">IF(Y14&lt;Bewertung_Stammdaten!J$25,Bewertung_Stammdaten!I$25,IF(Y14&lt;Bewertung_Stammdaten!J$26,Bewertung_Stammdaten!I$26,IF(Y14&lt;Bewertung_Stammdaten!J$27,Bewertung_Stammdaten!I$27,IF(Y14&lt;Bewertung_Stammdaten!J$28,Bewertung_Stammdaten!I$28,IF(Y14&lt;Bewertung_Stammdaten!J$29,Bewertung_Stammdaten!I$29,IF(Y14&lt;Bewertung_Stammdaten!J$30,Bewertung_Stammdaten!I$30,IF(Y14&lt;Bewertung_Stammdaten!J$31,Bewertung_Stammdaten!I$31,IF(Y14&lt;Bewertung_Stammdaten!J$32,Bewertung_Stammdaten!I$32,IF(Y14&lt;Bewertung_Stammdaten!J$33,Bewertung_Stammdaten!I$33,Bewertung_Stammdaten!I$34)))))))))</f>
        <v>4</v>
      </c>
      <c r="AC14" s="43"/>
      <c r="AD14" s="14">
        <f ca="1">VLOOKUP(A14,Ergebnis_je_Aktie_verwässert!A$3:AK$103,23,FALSE)</f>
        <v>5.283500000000001</v>
      </c>
      <c r="AE14" s="14">
        <f>VLOOKUP(A14,Ergebnis_je_Aktie_verwässert!A$3:AK$103,19,FALSE)</f>
        <v>4.6023076923076927</v>
      </c>
      <c r="AF14" s="12">
        <f ca="1">VLOOKUP(A14,Ergebnis_je_Aktie_verwässert!A$3:AK$103,24,FALSE)</f>
        <v>0.14801103125522319</v>
      </c>
      <c r="AG14" s="40">
        <f>VLOOKUP(A14,Ergebnis_je_Aktie_verwässert!A$3:AK$103,37,FALSE)</f>
        <v>-0.50798722044728439</v>
      </c>
      <c r="AH14" s="16">
        <f t="shared" ca="1" si="5"/>
        <v>2.5995495207667734</v>
      </c>
      <c r="AI14" s="12">
        <f t="shared" ca="1" si="6"/>
        <v>-0.43516390155493812</v>
      </c>
      <c r="AJ14" s="32">
        <f ca="1">IF(AF14&lt;Bewertung_Stammdaten!B$38,Bewertung_Stammdaten!A$38,IF(AF14&lt;Bewertung_Stammdaten!B$39,Bewertung_Stammdaten!A$39,IF(AF14&lt;Bewertung_Stammdaten!B$40,Bewertung_Stammdaten!A$40,IF(AF14&lt;Bewertung_Stammdaten!B$41,Bewertung_Stammdaten!A$41,IF(AF14&lt;Bewertung_Stammdaten!B$42,Bewertung_Stammdaten!A$42,IF(AF14&lt;Bewertung_Stammdaten!B$43,Bewertung_Stammdaten!A$43,IF(AF14&lt;Bewertung_Stammdaten!B$44,Bewertung_Stammdaten!A$44,IF(AF14&lt;Bewertung_Stammdaten!B$45,Bewertung_Stammdaten!A$45,IF(AF14&lt;Bewertung_Stammdaten!B$46,Bewertung_Stammdaten!A$46,Bewertung_Stammdaten!A$47)))))))))</f>
        <v>10</v>
      </c>
      <c r="AK14" s="32">
        <f>IF(AG14&lt;Bewertung_Stammdaten!F$38,Bewertung_Stammdaten!E$38,IF(AG14&lt;Bewertung_Stammdaten!F$39,Bewertung_Stammdaten!E$39,IF(AG14&lt;Bewertung_Stammdaten!F$40,Bewertung_Stammdaten!E$40,IF(AG14&lt;Bewertung_Stammdaten!F$41,Bewertung_Stammdaten!E$41,IF(AG14&lt;Bewertung_Stammdaten!F$42,Bewertung_Stammdaten!E$42,IF(AG14&lt;Bewertung_Stammdaten!F$43,Bewertung_Stammdaten!E$43,IF(AG14&lt;Bewertung_Stammdaten!F$44,Bewertung_Stammdaten!E$44,IF(AG14&lt;Bewertung_Stammdaten!F$45,Bewertung_Stammdaten!E$45,IF(AG14&lt;Bewertung_Stammdaten!F$46,Bewertung_Stammdaten!E$46,Bewertung_Stammdaten!E$47)))))))))</f>
        <v>3</v>
      </c>
      <c r="AL14" s="32">
        <f ca="1">IF(AI14&lt;Bewertung_Stammdaten!J$38,Bewertung_Stammdaten!I$38,IF(AI14&lt;Bewertung_Stammdaten!J$39,Bewertung_Stammdaten!I$39,IF(AI14&lt;Bewertung_Stammdaten!J$40,Bewertung_Stammdaten!I$40,IF(AI14&lt;Bewertung_Stammdaten!J$41,Bewertung_Stammdaten!I$41,IF(AI14&lt;Bewertung_Stammdaten!J$42,Bewertung_Stammdaten!I$42,IF(AI14&lt;Bewertung_Stammdaten!J$43,Bewertung_Stammdaten!I$43,IF(AI14&lt;Bewertung_Stammdaten!J$44,Bewertung_Stammdaten!I$44,IF(AI14&lt;Bewertung_Stammdaten!J$45,Bewertung_Stammdaten!I$45,IF(AI14&lt;Bewertung_Stammdaten!J$46,Bewertung_Stammdaten!I$46,Bewertung_Stammdaten!I$47)))))))))</f>
        <v>1</v>
      </c>
      <c r="AM14" s="43"/>
      <c r="AN14" s="14">
        <f ca="1">VLOOKUP(A14,Dividende_je_Aktie!A$3:AM$103,24,FALSE)</f>
        <v>2.9474444444444448</v>
      </c>
      <c r="AO14" s="14">
        <f>VLOOKUP(A14,Dividende_je_Aktie!A$3:AM$103,20,FALSE)</f>
        <v>2.2071428571428569</v>
      </c>
      <c r="AP14" s="12">
        <f ca="1">VLOOKUP(A14,Dividende_je_Aktie!A$3:AM$103,25,FALSE)</f>
        <v>0.33541172240201389</v>
      </c>
      <c r="AQ14" s="40">
        <f>VLOOKUP(A14,Dividende_je_Aktie!A$3:AM$103,39,FALSE)</f>
        <v>-0.12820512820512819</v>
      </c>
      <c r="AR14" s="16">
        <f t="shared" ca="1" si="7"/>
        <v>2.5695669515669519</v>
      </c>
      <c r="AS14" s="12">
        <f t="shared" ca="1" si="8"/>
        <v>0.16420509132483274</v>
      </c>
      <c r="AT14" s="32">
        <f ca="1">IF(AP14&lt;Bewertung_Stammdaten!B$51,Bewertung_Stammdaten!A$51,IF(AP14&lt;Bewertung_Stammdaten!B$52,Bewertung_Stammdaten!A$52,IF(AP14&lt;Bewertung_Stammdaten!B$53,Bewertung_Stammdaten!A$53,IF(AP14&lt;Bewertung_Stammdaten!B$54,Bewertung_Stammdaten!A$54,IF(AP14&lt;Bewertung_Stammdaten!B$55,Bewertung_Stammdaten!A$55,IF(AP14&lt;Bewertung_Stammdaten!B$56,Bewertung_Stammdaten!A$56,IF(AP14&lt;Bewertung_Stammdaten!B$57,Bewertung_Stammdaten!A$57,IF(AP14&lt;Bewertung_Stammdaten!B$58,Bewertung_Stammdaten!A$58,IF(AP14&lt;Bewertung_Stammdaten!B$59,Bewertung_Stammdaten!A$59,Bewertung_Stammdaten!A$60)))))))))</f>
        <v>12</v>
      </c>
      <c r="AU14" s="32">
        <f>IF(AQ14&lt;Bewertung_Stammdaten!F$51,Bewertung_Stammdaten!E$51,IF(AQ14&lt;Bewertung_Stammdaten!F$52,Bewertung_Stammdaten!E$52,IF(AQ14&lt;Bewertung_Stammdaten!F$53,Bewertung_Stammdaten!E$53,IF(AQ14&lt;Bewertung_Stammdaten!F$54,Bewertung_Stammdaten!E$54,IF(AQ14&lt;Bewertung_Stammdaten!F$55,Bewertung_Stammdaten!E$55,IF(AQ14&lt;Bewertung_Stammdaten!F$56,Bewertung_Stammdaten!E$56,IF(AQ14&lt;Bewertung_Stammdaten!F$57,Bewertung_Stammdaten!E$57,IF(AQ14&lt;Bewertung_Stammdaten!F$58,Bewertung_Stammdaten!E$58,IF(AQ14&lt;Bewertung_Stammdaten!F$59,Bewertung_Stammdaten!E$59,Bewertung_Stammdaten!E$60)))))))))</f>
        <v>9</v>
      </c>
      <c r="AV14" s="32">
        <f ca="1">IF(AS14&lt;Bewertung_Stammdaten!J$51,Bewertung_Stammdaten!I$51,IF(AS14&lt;Bewertung_Stammdaten!J$52,Bewertung_Stammdaten!I$52,IF(AS14&lt;Bewertung_Stammdaten!J$53,Bewertung_Stammdaten!I$53,IF(AS14&lt;Bewertung_Stammdaten!J$54,Bewertung_Stammdaten!I$54,IF(AS14&lt;Bewertung_Stammdaten!J$55,Bewertung_Stammdaten!I$55,IF(AS14&lt;Bewertung_Stammdaten!J$56,Bewertung_Stammdaten!I$56,IF(AS14&lt;Bewertung_Stammdaten!J$57,Bewertung_Stammdaten!I$57,IF(AS14&lt;Bewertung_Stammdaten!J$58,Bewertung_Stammdaten!I$58,IF(AS14&lt;Bewertung_Stammdaten!J$59,Bewertung_Stammdaten!I$59,Bewertung_Stammdaten!I$60)))))))))</f>
        <v>6</v>
      </c>
      <c r="AW14" s="43"/>
      <c r="AX14" s="12">
        <f ca="1">VLOOKUP(A14,Dividendenrendite!A$3:R$103,17,FALSE)</f>
        <v>3.3091326422414337E-2</v>
      </c>
      <c r="AY14" s="12">
        <f>VLOOKUP(A14,Dividendenrendite!A$3:R$103,16,FALSE)</f>
        <v>3.9452758120025876E-2</v>
      </c>
      <c r="AZ14" s="12">
        <f ca="1">VLOOKUP(A14,Dividendenrendite!A$3:R$103,18,FALSE)</f>
        <v>-0.16124174837810723</v>
      </c>
      <c r="BA14" s="32">
        <f ca="1">IF(AX14&lt;Bewertung_Stammdaten!B$64,Bewertung_Stammdaten!A$64,IF(AX14&lt;Bewertung_Stammdaten!B$65,Bewertung_Stammdaten!A$65,IF(AX14&lt;Bewertung_Stammdaten!B$66,Bewertung_Stammdaten!A$66,IF(AX14&lt;Bewertung_Stammdaten!B$67,Bewertung_Stammdaten!A$67,IF(AX14&lt;Bewertung_Stammdaten!B$68,Bewertung_Stammdaten!A$68,IF(AX14&lt;Bewertung_Stammdaten!B$69,Bewertung_Stammdaten!A$69,IF(AX14&lt;Bewertung_Stammdaten!B$70,Bewertung_Stammdaten!A$70,IF(AX14&lt;Bewertung_Stammdaten!B$71,Bewertung_Stammdaten!A$71,IF(AX14&lt;Bewertung_Stammdaten!B$72,Bewertung_Stammdaten!A$72,Bewertung_Stammdaten!A$73)))))))))</f>
        <v>10.5</v>
      </c>
      <c r="BB14" s="32">
        <f>IF(AY14&lt;Bewertung_Stammdaten!F$64,Bewertung_Stammdaten!E$64,IF(AY14&lt;Bewertung_Stammdaten!F$65,Bewertung_Stammdaten!E$65,IF(AY14&lt;Bewertung_Stammdaten!F$66,Bewertung_Stammdaten!E$66,IF(AY14&lt;Bewertung_Stammdaten!F$67,Bewertung_Stammdaten!E$67,IF(AY14&lt;Bewertung_Stammdaten!F$68,Bewertung_Stammdaten!E$68,IF(AY14&lt;Bewertung_Stammdaten!F$69,Bewertung_Stammdaten!E$69,IF(AY14&lt;Bewertung_Stammdaten!F$70,Bewertung_Stammdaten!E$70,IF(AY14&lt;Bewertung_Stammdaten!F$71,Bewertung_Stammdaten!E$71,IF(AY14&lt;Bewertung_Stammdaten!F$72,Bewertung_Stammdaten!E$72,Bewertung_Stammdaten!E$73)))))))))</f>
        <v>8</v>
      </c>
      <c r="BC14" s="32">
        <f ca="1">IF(AZ14&lt;Bewertung_Stammdaten!J$64,Bewertung_Stammdaten!I$64,IF(AZ14&lt;Bewertung_Stammdaten!J$65,Bewertung_Stammdaten!I$65,IF(AZ14&lt;Bewertung_Stammdaten!J$66,Bewertung_Stammdaten!I$66,IF(AZ14&lt;Bewertung_Stammdaten!J$67,Bewertung_Stammdaten!I$67,IF(AZ14&lt;Bewertung_Stammdaten!J$68,Bewertung_Stammdaten!I$68,IF(AZ14&lt;Bewertung_Stammdaten!J$69,Bewertung_Stammdaten!I$69,IF(AZ14&lt;Bewertung_Stammdaten!J$70,Bewertung_Stammdaten!I$70,IF(AZ14&lt;Bewertung_Stammdaten!J$71,Bewertung_Stammdaten!I$71,IF(AZ14&lt;Bewertung_Stammdaten!J$72,Bewertung_Stammdaten!I$72,Bewertung_Stammdaten!I$73)))))))))</f>
        <v>1</v>
      </c>
      <c r="BD14" s="43"/>
      <c r="BE14" s="12">
        <f>VLOOKUP(A14,Aktien_im_Umlauf_splitbereinigt!A$3:Z$103,26,FALSE)</f>
        <v>0</v>
      </c>
      <c r="BF14" s="12">
        <f>VLOOKUP(A14,Aktien_im_Umlauf_splitbereinigt!A$3:Y$103,24,FALSE)</f>
        <v>-1.2379930925287268E-2</v>
      </c>
      <c r="BG14" s="12">
        <f>VLOOKUP(A14,Aktien_im_Umlauf_splitbereinigt!A$3:Y$103,25,FALSE)</f>
        <v>-1</v>
      </c>
      <c r="BH14" s="41">
        <f>IF(BE14&lt;Bewertung_Stammdaten!B$77,Bewertung_Stammdaten!A$77,IF(BE14&lt;Bewertung_Stammdaten!B$78,Bewertung_Stammdaten!A$78,IF(BE14&lt;Bewertung_Stammdaten!B$79,Bewertung_Stammdaten!A$79,IF(BE14&lt;Bewertung_Stammdaten!B$80,Bewertung_Stammdaten!A$80,IF(BE14&lt;Bewertung_Stammdaten!B$81,Bewertung_Stammdaten!A$81,IF(BE14&lt;Bewertung_Stammdaten!B$82,Bewertung_Stammdaten!A$82,IF(BE14&lt;Bewertung_Stammdaten!B$83,Bewertung_Stammdaten!A$83,IF(BE14&lt;Bewertung_Stammdaten!B$84,Bewertung_Stammdaten!A$84,IF(BE14&lt;Bewertung_Stammdaten!B$85,Bewertung_Stammdaten!A$85,Bewertung_Stammdaten!A$86)))))))))</f>
        <v>2</v>
      </c>
      <c r="BI14" s="41">
        <f>IF(BF14&lt;Bewertung_Stammdaten!F$77,Bewertung_Stammdaten!E$77,IF(BF14&lt;Bewertung_Stammdaten!F$78,Bewertung_Stammdaten!E$78,IF(BF14&lt;Bewertung_Stammdaten!F$79,Bewertung_Stammdaten!E$79,IF(BF14&lt;Bewertung_Stammdaten!F$80,Bewertung_Stammdaten!E$80,IF(BF14&lt;Bewertung_Stammdaten!F$81,Bewertung_Stammdaten!E$81,IF(BF14&lt;Bewertung_Stammdaten!F$82,Bewertung_Stammdaten!E$82,IF(BF14&lt;Bewertung_Stammdaten!F$83,Bewertung_Stammdaten!E$83,IF(BF14&lt;Bewertung_Stammdaten!F$84,Bewertung_Stammdaten!E$84,IF(BF14&lt;Bewertung_Stammdaten!F$85,Bewertung_Stammdaten!E$85,Bewertung_Stammdaten!E$86)))))))))</f>
        <v>5</v>
      </c>
      <c r="BJ14" s="41">
        <f>IF(BG14&lt;Bewertung_Stammdaten!J$77,Bewertung_Stammdaten!I$77,IF(BG14&lt;Bewertung_Stammdaten!J$78,Bewertung_Stammdaten!I$78,IF(BG14&lt;Bewertung_Stammdaten!J$79,Bewertung_Stammdaten!I$79,IF(BG14&lt;Bewertung_Stammdaten!J$80,Bewertung_Stammdaten!I$80,IF(BG14&lt;Bewertung_Stammdaten!J$81,Bewertung_Stammdaten!I$81,IF(BG14&lt;Bewertung_Stammdaten!J$82,Bewertung_Stammdaten!I$82,IF(BG14&lt;Bewertung_Stammdaten!J$83,Bewertung_Stammdaten!I$83,IF(BG14&lt;Bewertung_Stammdaten!J$84,Bewertung_Stammdaten!I$84,IF(BG14&lt;Bewertung_Stammdaten!J$85,Bewertung_Stammdaten!I$85,Bewertung_Stammdaten!I$86)))))))))</f>
        <v>1</v>
      </c>
      <c r="BK14" s="43"/>
      <c r="BL14" s="12">
        <f ca="1">VLOOKUP(A14,Ausschüttungsquote!A$3:X$103,23,FALSE)</f>
        <v>0.55889108042954194</v>
      </c>
      <c r="BM14" s="12">
        <f>VLOOKUP(A14,Ausschüttungsquote!A$3:X$103,19,FALSE)</f>
        <v>0.53431889279534817</v>
      </c>
      <c r="BN14" s="12">
        <f ca="1">VLOOKUP(A14,Ausschüttungsquote!A$3:X$103,24,FALSE)</f>
        <v>4.5987869726338282E-2</v>
      </c>
      <c r="BO14" s="32">
        <f ca="1">IF(BL14&lt;Bewertung_Stammdaten!B$90,Bewertung_Stammdaten!A$90,IF(BL14&lt;Bewertung_Stammdaten!B$91,Bewertung_Stammdaten!A$91,IF(BL14&lt;Bewertung_Stammdaten!B$92,Bewertung_Stammdaten!A$92,IF(BL14&lt;Bewertung_Stammdaten!B$93,Bewertung_Stammdaten!A$93,IF(BL14&lt;Bewertung_Stammdaten!B$94,Bewertung_Stammdaten!A$94,IF(BL14&lt;Bewertung_Stammdaten!B$95,Bewertung_Stammdaten!A$95,IF(BL14&lt;Bewertung_Stammdaten!B$96,Bewertung_Stammdaten!A$96,IF(BL14&lt;Bewertung_Stammdaten!B$97,Bewertung_Stammdaten!A$97,IF(BL14&lt;Bewertung_Stammdaten!B$98,Bewertung_Stammdaten!A$98,Bewertung_Stammdaten!A$99)))))))))</f>
        <v>6</v>
      </c>
      <c r="BP14" s="41">
        <f>IF(BM14&lt;Bewertung_Stammdaten!F$90,Bewertung_Stammdaten!E$90,IF(BM14&lt;Bewertung_Stammdaten!F$91,Bewertung_Stammdaten!E$91,IF(BM14&lt;Bewertung_Stammdaten!F$92,Bewertung_Stammdaten!E$92,IF(BM14&lt;Bewertung_Stammdaten!F$93,Bewertung_Stammdaten!E$93,IF(BM14&lt;Bewertung_Stammdaten!F$94,Bewertung_Stammdaten!E$94,IF(BM14&lt;Bewertung_Stammdaten!F$95,Bewertung_Stammdaten!E$95,IF(BM14&lt;Bewertung_Stammdaten!F$96,Bewertung_Stammdaten!E$96,IF(BM14&lt;Bewertung_Stammdaten!F$97,Bewertung_Stammdaten!E$97,IF(BM14&lt;Bewertung_Stammdaten!F$98,Bewertung_Stammdaten!E$98,Bewertung_Stammdaten!E$99)))))))))</f>
        <v>7</v>
      </c>
      <c r="BQ14" s="32">
        <f ca="1">IF(BN14&lt;Bewertung_Stammdaten!J$90,Bewertung_Stammdaten!I$90,IF(BN14&lt;Bewertung_Stammdaten!J$91,Bewertung_Stammdaten!I$91,IF(BN14&lt;Bewertung_Stammdaten!J$92,Bewertung_Stammdaten!I$92,IF(BN14&lt;Bewertung_Stammdaten!J$93,Bewertung_Stammdaten!I$93,IF(BN14&lt;Bewertung_Stammdaten!J$94,Bewertung_Stammdaten!I$94,IF(BN14&lt;Bewertung_Stammdaten!J$95,Bewertung_Stammdaten!I$95,IF(BN14&lt;Bewertung_Stammdaten!J$96,Bewertung_Stammdaten!I$96,IF(BN14&lt;Bewertung_Stammdaten!J$97,Bewertung_Stammdaten!I$97,IF(BN14&lt;Bewertung_Stammdaten!J$98,Bewertung_Stammdaten!I$98,Bewertung_Stammdaten!I$99)))))))))</f>
        <v>5</v>
      </c>
    </row>
    <row r="15" spans="1:69" x14ac:dyDescent="0.25">
      <c r="A15" s="38" t="s">
        <v>24</v>
      </c>
      <c r="B15" s="38" t="s">
        <v>25</v>
      </c>
      <c r="C15" s="38" t="s">
        <v>296</v>
      </c>
      <c r="D15" s="32">
        <f t="shared" ca="1" si="0"/>
        <v>128.5</v>
      </c>
      <c r="E15" s="43"/>
      <c r="F15" s="66">
        <v>1</v>
      </c>
      <c r="G15" s="11">
        <f ca="1">VLOOKUP(A15,KGV!A$3:R$103,17,FALSE)</f>
        <v>23.568340066178113</v>
      </c>
      <c r="H15" s="11">
        <f>VLOOKUP(A15,KGV!A$3:R$103,16,FALSE)</f>
        <v>18.624352331606218</v>
      </c>
      <c r="I15" s="12">
        <f ca="1">VLOOKUP(A15,KGV!A$3:R$103,18,FALSE)</f>
        <v>0.26545823696546833</v>
      </c>
      <c r="J15" s="16">
        <f t="shared" ca="1" si="1"/>
        <v>40.34220371688145</v>
      </c>
      <c r="K15" s="12">
        <f t="shared" ca="1" si="2"/>
        <v>1.1660996848958463</v>
      </c>
      <c r="L15" s="11">
        <f ca="1">VLOOKUP(A15,KBV!A$3:R$103,17,FALSE)</f>
        <v>4.4196581521946019</v>
      </c>
      <c r="M15" s="11">
        <f>VLOOKUP(A15,KBV!A$3:R$103,16,FALSE)</f>
        <v>2.8573131955484898</v>
      </c>
      <c r="N15" s="12">
        <f ca="1">VLOOKUP(A15,KBV!A$3:R$103,18,FALSE)</f>
        <v>0.54678813616937227</v>
      </c>
      <c r="O15" s="16">
        <f t="shared" ca="1" si="9"/>
        <v>4.5869948751062015</v>
      </c>
      <c r="P15" s="12">
        <f t="shared" ca="1" si="10"/>
        <v>0.60535249767244426</v>
      </c>
      <c r="Q15" s="32">
        <f ca="1">IF(F15=1,IF(I15&lt;Bewertung_Stammdaten!B$12,Bewertung_Stammdaten!A$12,IF(I15&lt;Bewertung_Stammdaten!B$13,Bewertung_Stammdaten!A$13,IF(I15&lt;Bewertung_Stammdaten!B$14,Bewertung_Stammdaten!A$14,IF(I15&lt;Bewertung_Stammdaten!B$15,Bewertung_Stammdaten!A$15,IF(I15&lt;Bewertung_Stammdaten!B$16,Bewertung_Stammdaten!A$16,IF(I15&lt;Bewertung_Stammdaten!B$17,Bewertung_Stammdaten!A$17,IF(I15&lt;Bewertung_Stammdaten!B$18,Bewertung_Stammdaten!A$18,IF(I15&lt;Bewertung_Stammdaten!B$19,Bewertung_Stammdaten!A$19,IF(I15&lt;Bewertung_Stammdaten!B$20,Bewertung_Stammdaten!A$20,Bewertung_Stammdaten!A$21))))))))),IF(N15&lt;Bewertung_Stammdaten!C$12,Bewertung_Stammdaten!A$12,IF(N15&lt;Bewertung_Stammdaten!C$13,Bewertung_Stammdaten!A$13,IF(N15&lt;Bewertung_Stammdaten!C$14,Bewertung_Stammdaten!A$14,IF(N15&lt;Bewertung_Stammdaten!C$15,Bewertung_Stammdaten!A$15,IF(N15&lt;Bewertung_Stammdaten!C$16,Bewertung_Stammdaten!A$16,IF(N15&lt;Bewertung_Stammdaten!C$17,Bewertung_Stammdaten!A$17,IF(N15&lt;Bewertung_Stammdaten!C$18,Bewertung_Stammdaten!A$18,IF(N15&lt;Bewertung_Stammdaten!C$19,Bewertung_Stammdaten!A$19,IF(N15&lt;Bewertung_Stammdaten!C$20,Bewertung_Stammdaten!A$20,Bewertung_Stammdaten!A$21))))))))))</f>
        <v>6</v>
      </c>
      <c r="R15" s="32">
        <f ca="1">IF(F15=1,IF(K15&lt;Bewertung_Stammdaten!F$12,Bewertung_Stammdaten!E$12,IF(K15&lt;Bewertung_Stammdaten!F$13,Bewertung_Stammdaten!E$13,IF(K15&lt;Bewertung_Stammdaten!F$14,Bewertung_Stammdaten!E$14,IF(K15&lt;Bewertung_Stammdaten!F$15,Bewertung_Stammdaten!E$15,IF(K15&lt;Bewertung_Stammdaten!F$16,Bewertung_Stammdaten!E$16,IF(K15&lt;Bewertung_Stammdaten!F$17,Bewertung_Stammdaten!E$17,IF(K15&lt;Bewertung_Stammdaten!F$18,Bewertung_Stammdaten!E$18,IF(K15&lt;Bewertung_Stammdaten!F$19,Bewertung_Stammdaten!E$19,IF(K15&lt;Bewertung_Stammdaten!F$20,Bewertung_Stammdaten!E$20,Bewertung_Stammdaten!E$21))))))))),IF(P15&lt;Bewertung_Stammdaten!G$12,Bewertung_Stammdaten!E$12,IF(P15&lt;Bewertung_Stammdaten!G$13,Bewertung_Stammdaten!E$13,IF(P15&lt;Bewertung_Stammdaten!G$14,Bewertung_Stammdaten!E$14,IF(P15&lt;Bewertung_Stammdaten!G$15,Bewertung_Stammdaten!E$15,IF(P15&lt;Bewertung_Stammdaten!G$16,Bewertung_Stammdaten!E$16,IF(P15&lt;Bewertung_Stammdaten!G$17,Bewertung_Stammdaten!E$17,IF(P15&lt;Bewertung_Stammdaten!G$18,Bewertung_Stammdaten!E$18,IF(P15&lt;Bewertung_Stammdaten!G$19,Bewertung_Stammdaten!E$19,IF(P15&lt;Bewertung_Stammdaten!G$20,Bewertung_Stammdaten!E$20,Bewertung_Stammdaten!E$21))))))))))</f>
        <v>2.5</v>
      </c>
      <c r="S15" s="43"/>
      <c r="T15" s="11">
        <f ca="1">VLOOKUP(A15,Buchwert_je_Aktie!A$3:AK$103,23,FALSE)</f>
        <v>29.187777777777779</v>
      </c>
      <c r="U15" s="11">
        <f>VLOOKUP(A15,Buchwert_je_Aktie!A$3:AK$103,19,FALSE)</f>
        <v>25.310909090909092</v>
      </c>
      <c r="V15" s="12">
        <f ca="1">VLOOKUP(A15,Buchwert_je_Aktie!A$3:AK$103,24,FALSE)</f>
        <v>0.15316987125765236</v>
      </c>
      <c r="W15" s="12">
        <f>VLOOKUP(A15,Buchwert_je_Aktie!A$3:AK$103,37,FALSE)</f>
        <v>-3.6480686695279041E-2</v>
      </c>
      <c r="X15" s="16">
        <f t="shared" ca="1" si="3"/>
        <v>28.12298760133524</v>
      </c>
      <c r="Y15" s="12">
        <f t="shared" ca="1" si="4"/>
        <v>0.11110144247786669</v>
      </c>
      <c r="Z15" s="51">
        <f ca="1">IF(V15&lt;Bewertung_Stammdaten!B$25,Bewertung_Stammdaten!A$25,IF(V15&lt;Bewertung_Stammdaten!B$26,Bewertung_Stammdaten!A$26,IF(V15&lt;Bewertung_Stammdaten!B$27,Bewertung_Stammdaten!A$27,IF(V15&lt;Bewertung_Stammdaten!B$28,Bewertung_Stammdaten!A$28,IF(V15&lt;Bewertung_Stammdaten!B$29,Bewertung_Stammdaten!A$29,IF(V15&lt;Bewertung_Stammdaten!B$30,Bewertung_Stammdaten!A$30,IF(V15&lt;Bewertung_Stammdaten!B$31,Bewertung_Stammdaten!A$31,IF(V15&lt;Bewertung_Stammdaten!B$32,Bewertung_Stammdaten!A$32,IF(V15&lt;Bewertung_Stammdaten!B$33,Bewertung_Stammdaten!A$33,Bewertung_Stammdaten!A$34)))))))))</f>
        <v>6</v>
      </c>
      <c r="AA15" s="51">
        <f>IF(W15&lt;Bewertung_Stammdaten!F$25,Bewertung_Stammdaten!E$25,IF(W15&lt;Bewertung_Stammdaten!F$26,Bewertung_Stammdaten!E$26,IF(W15&lt;Bewertung_Stammdaten!F$27,Bewertung_Stammdaten!E$27,IF(W15&lt;Bewertung_Stammdaten!F$28,Bewertung_Stammdaten!E$28,IF(W15&lt;Bewertung_Stammdaten!F$29,Bewertung_Stammdaten!E$29,IF(W15&lt;Bewertung_Stammdaten!F$30,Bewertung_Stammdaten!E$30,IF(W15&lt;Bewertung_Stammdaten!F$31,Bewertung_Stammdaten!E$31,IF(W15&lt;Bewertung_Stammdaten!F$32,Bewertung_Stammdaten!E$32,IF(W15&lt;Bewertung_Stammdaten!F$33,Bewertung_Stammdaten!E$33,Bewertung_Stammdaten!E$34)))))))))</f>
        <v>10.5</v>
      </c>
      <c r="AB15" s="51">
        <f ca="1">IF(Y15&lt;Bewertung_Stammdaten!J$25,Bewertung_Stammdaten!I$25,IF(Y15&lt;Bewertung_Stammdaten!J$26,Bewertung_Stammdaten!I$26,IF(Y15&lt;Bewertung_Stammdaten!J$27,Bewertung_Stammdaten!I$27,IF(Y15&lt;Bewertung_Stammdaten!J$28,Bewertung_Stammdaten!I$28,IF(Y15&lt;Bewertung_Stammdaten!J$29,Bewertung_Stammdaten!I$29,IF(Y15&lt;Bewertung_Stammdaten!J$30,Bewertung_Stammdaten!I$30,IF(Y15&lt;Bewertung_Stammdaten!J$31,Bewertung_Stammdaten!I$31,IF(Y15&lt;Bewertung_Stammdaten!J$32,Bewertung_Stammdaten!I$32,IF(Y15&lt;Bewertung_Stammdaten!J$33,Bewertung_Stammdaten!I$33,Bewertung_Stammdaten!I$34)))))))))</f>
        <v>4</v>
      </c>
      <c r="AC15" s="43"/>
      <c r="AD15" s="14">
        <f ca="1">VLOOKUP(A15,Ergebnis_je_Aktie_verwässert!A$3:AK$103,23,FALSE)</f>
        <v>5.4734444444444446</v>
      </c>
      <c r="AE15" s="14">
        <f>VLOOKUP(A15,Ergebnis_je_Aktie_verwässert!A$3:AK$103,19,FALSE)</f>
        <v>3.55</v>
      </c>
      <c r="AF15" s="12">
        <f ca="1">VLOOKUP(A15,Ergebnis_je_Aktie_verwässert!A$3:AK$103,24,FALSE)</f>
        <v>0.54181533646322388</v>
      </c>
      <c r="AG15" s="40">
        <f>VLOOKUP(A15,Ergebnis_je_Aktie_verwässert!A$3:AK$103,37,FALSE)</f>
        <v>-0.41578947368421049</v>
      </c>
      <c r="AH15" s="16">
        <f t="shared" ca="1" si="5"/>
        <v>3.1976438596491232</v>
      </c>
      <c r="AI15" s="12">
        <f t="shared" ca="1" si="6"/>
        <v>-9.9255250803063855E-2</v>
      </c>
      <c r="AJ15" s="32">
        <f ca="1">IF(AF15&lt;Bewertung_Stammdaten!B$38,Bewertung_Stammdaten!A$38,IF(AF15&lt;Bewertung_Stammdaten!B$39,Bewertung_Stammdaten!A$39,IF(AF15&lt;Bewertung_Stammdaten!B$40,Bewertung_Stammdaten!A$40,IF(AF15&lt;Bewertung_Stammdaten!B$41,Bewertung_Stammdaten!A$41,IF(AF15&lt;Bewertung_Stammdaten!B$42,Bewertung_Stammdaten!A$42,IF(AF15&lt;Bewertung_Stammdaten!B$43,Bewertung_Stammdaten!A$43,IF(AF15&lt;Bewertung_Stammdaten!B$44,Bewertung_Stammdaten!A$44,IF(AF15&lt;Bewertung_Stammdaten!B$45,Bewertung_Stammdaten!A$45,IF(AF15&lt;Bewertung_Stammdaten!B$46,Bewertung_Stammdaten!A$46,Bewertung_Stammdaten!A$47)))))))))</f>
        <v>18</v>
      </c>
      <c r="AK15" s="32">
        <f>IF(AG15&lt;Bewertung_Stammdaten!F$38,Bewertung_Stammdaten!E$38,IF(AG15&lt;Bewertung_Stammdaten!F$39,Bewertung_Stammdaten!E$39,IF(AG15&lt;Bewertung_Stammdaten!F$40,Bewertung_Stammdaten!E$40,IF(AG15&lt;Bewertung_Stammdaten!F$41,Bewertung_Stammdaten!E$41,IF(AG15&lt;Bewertung_Stammdaten!F$42,Bewertung_Stammdaten!E$42,IF(AG15&lt;Bewertung_Stammdaten!F$43,Bewertung_Stammdaten!E$43,IF(AG15&lt;Bewertung_Stammdaten!F$44,Bewertung_Stammdaten!E$44,IF(AG15&lt;Bewertung_Stammdaten!F$45,Bewertung_Stammdaten!E$45,IF(AG15&lt;Bewertung_Stammdaten!F$46,Bewertung_Stammdaten!E$46,Bewertung_Stammdaten!E$47)))))))))</f>
        <v>4.5</v>
      </c>
      <c r="AL15" s="32">
        <f ca="1">IF(AI15&lt;Bewertung_Stammdaten!J$38,Bewertung_Stammdaten!I$38,IF(AI15&lt;Bewertung_Stammdaten!J$39,Bewertung_Stammdaten!I$39,IF(AI15&lt;Bewertung_Stammdaten!J$40,Bewertung_Stammdaten!I$40,IF(AI15&lt;Bewertung_Stammdaten!J$41,Bewertung_Stammdaten!I$41,IF(AI15&lt;Bewertung_Stammdaten!J$42,Bewertung_Stammdaten!I$42,IF(AI15&lt;Bewertung_Stammdaten!J$43,Bewertung_Stammdaten!I$43,IF(AI15&lt;Bewertung_Stammdaten!J$44,Bewertung_Stammdaten!I$44,IF(AI15&lt;Bewertung_Stammdaten!J$45,Bewertung_Stammdaten!I$45,IF(AI15&lt;Bewertung_Stammdaten!J$46,Bewertung_Stammdaten!I$46,Bewertung_Stammdaten!I$47)))))))))</f>
        <v>3</v>
      </c>
      <c r="AM15" s="43"/>
      <c r="AN15" s="14">
        <f ca="1">VLOOKUP(A15,Dividende_je_Aktie!A$3:AM$103,24,FALSE)</f>
        <v>2.5982777777777777</v>
      </c>
      <c r="AO15" s="14">
        <f>VLOOKUP(A15,Dividende_je_Aktie!A$3:AM$103,20,FALSE)</f>
        <v>1.742142857142857</v>
      </c>
      <c r="AP15" s="12">
        <f ca="1">VLOOKUP(A15,Dividende_je_Aktie!A$3:AM$103,25,FALSE)</f>
        <v>0.49142635870803164</v>
      </c>
      <c r="AQ15" s="40">
        <f>VLOOKUP(A15,Dividende_je_Aktie!A$3:AM$103,39,FALSE)</f>
        <v>0</v>
      </c>
      <c r="AR15" s="16">
        <f t="shared" ca="1" si="7"/>
        <v>2.5982777777777777</v>
      </c>
      <c r="AS15" s="12">
        <f t="shared" ca="1" si="8"/>
        <v>0.49142635870803164</v>
      </c>
      <c r="AT15" s="32">
        <f ca="1">IF(AP15&lt;Bewertung_Stammdaten!B$51,Bewertung_Stammdaten!A$51,IF(AP15&lt;Bewertung_Stammdaten!B$52,Bewertung_Stammdaten!A$52,IF(AP15&lt;Bewertung_Stammdaten!B$53,Bewertung_Stammdaten!A$53,IF(AP15&lt;Bewertung_Stammdaten!B$54,Bewertung_Stammdaten!A$54,IF(AP15&lt;Bewertung_Stammdaten!B$55,Bewertung_Stammdaten!A$55,IF(AP15&lt;Bewertung_Stammdaten!B$56,Bewertung_Stammdaten!A$56,IF(AP15&lt;Bewertung_Stammdaten!B$57,Bewertung_Stammdaten!A$57,IF(AP15&lt;Bewertung_Stammdaten!B$58,Bewertung_Stammdaten!A$58,IF(AP15&lt;Bewertung_Stammdaten!B$59,Bewertung_Stammdaten!A$59,Bewertung_Stammdaten!A$60)))))))))</f>
        <v>14</v>
      </c>
      <c r="AU15" s="32">
        <f>IF(AQ15&lt;Bewertung_Stammdaten!F$51,Bewertung_Stammdaten!E$51,IF(AQ15&lt;Bewertung_Stammdaten!F$52,Bewertung_Stammdaten!E$52,IF(AQ15&lt;Bewertung_Stammdaten!F$53,Bewertung_Stammdaten!E$53,IF(AQ15&lt;Bewertung_Stammdaten!F$54,Bewertung_Stammdaten!E$54,IF(AQ15&lt;Bewertung_Stammdaten!F$55,Bewertung_Stammdaten!E$55,IF(AQ15&lt;Bewertung_Stammdaten!F$56,Bewertung_Stammdaten!E$56,IF(AQ15&lt;Bewertung_Stammdaten!F$57,Bewertung_Stammdaten!E$57,IF(AQ15&lt;Bewertung_Stammdaten!F$58,Bewertung_Stammdaten!E$58,IF(AQ15&lt;Bewertung_Stammdaten!F$59,Bewertung_Stammdaten!E$59,Bewertung_Stammdaten!E$60)))))))))</f>
        <v>12</v>
      </c>
      <c r="AV15" s="32">
        <f ca="1">IF(AS15&lt;Bewertung_Stammdaten!J$51,Bewertung_Stammdaten!I$51,IF(AS15&lt;Bewertung_Stammdaten!J$52,Bewertung_Stammdaten!I$52,IF(AS15&lt;Bewertung_Stammdaten!J$53,Bewertung_Stammdaten!I$53,IF(AS15&lt;Bewertung_Stammdaten!J$54,Bewertung_Stammdaten!I$54,IF(AS15&lt;Bewertung_Stammdaten!J$55,Bewertung_Stammdaten!I$55,IF(AS15&lt;Bewertung_Stammdaten!J$56,Bewertung_Stammdaten!I$56,IF(AS15&lt;Bewertung_Stammdaten!J$57,Bewertung_Stammdaten!I$57,IF(AS15&lt;Bewertung_Stammdaten!J$58,Bewertung_Stammdaten!I$58,IF(AS15&lt;Bewertung_Stammdaten!J$59,Bewertung_Stammdaten!I$59,Bewertung_Stammdaten!I$60)))))))))</f>
        <v>9</v>
      </c>
      <c r="AW15" s="43"/>
      <c r="AX15" s="12">
        <f ca="1">VLOOKUP(A15,Dividendenrendite!A$3:R$103,17,FALSE)</f>
        <v>2.0141688199827736E-2</v>
      </c>
      <c r="AY15" s="12">
        <f>VLOOKUP(A15,Dividendenrendite!A$3:R$103,16,FALSE)</f>
        <v>2.4795478510893285E-2</v>
      </c>
      <c r="AZ15" s="12">
        <f ca="1">VLOOKUP(A15,Dividendenrendite!A$3:R$103,18,FALSE)</f>
        <v>-0.18768705387238327</v>
      </c>
      <c r="BA15" s="32">
        <f ca="1">IF(AX15&lt;Bewertung_Stammdaten!B$64,Bewertung_Stammdaten!A$64,IF(AX15&lt;Bewertung_Stammdaten!B$65,Bewertung_Stammdaten!A$65,IF(AX15&lt;Bewertung_Stammdaten!B$66,Bewertung_Stammdaten!A$66,IF(AX15&lt;Bewertung_Stammdaten!B$67,Bewertung_Stammdaten!A$67,IF(AX15&lt;Bewertung_Stammdaten!B$68,Bewertung_Stammdaten!A$68,IF(AX15&lt;Bewertung_Stammdaten!B$69,Bewertung_Stammdaten!A$69,IF(AX15&lt;Bewertung_Stammdaten!B$70,Bewertung_Stammdaten!A$70,IF(AX15&lt;Bewertung_Stammdaten!B$71,Bewertung_Stammdaten!A$71,IF(AX15&lt;Bewertung_Stammdaten!B$72,Bewertung_Stammdaten!A$72,Bewertung_Stammdaten!A$73)))))))))</f>
        <v>7.5</v>
      </c>
      <c r="BB15" s="32">
        <f>IF(AY15&lt;Bewertung_Stammdaten!F$64,Bewertung_Stammdaten!E$64,IF(AY15&lt;Bewertung_Stammdaten!F$65,Bewertung_Stammdaten!E$65,IF(AY15&lt;Bewertung_Stammdaten!F$66,Bewertung_Stammdaten!E$66,IF(AY15&lt;Bewertung_Stammdaten!F$67,Bewertung_Stammdaten!E$67,IF(AY15&lt;Bewertung_Stammdaten!F$68,Bewertung_Stammdaten!E$68,IF(AY15&lt;Bewertung_Stammdaten!F$69,Bewertung_Stammdaten!E$69,IF(AY15&lt;Bewertung_Stammdaten!F$70,Bewertung_Stammdaten!E$70,IF(AY15&lt;Bewertung_Stammdaten!F$71,Bewertung_Stammdaten!E$71,IF(AY15&lt;Bewertung_Stammdaten!F$72,Bewertung_Stammdaten!E$72,Bewertung_Stammdaten!E$73)))))))))</f>
        <v>5</v>
      </c>
      <c r="BC15" s="32">
        <f ca="1">IF(AZ15&lt;Bewertung_Stammdaten!J$64,Bewertung_Stammdaten!I$64,IF(AZ15&lt;Bewertung_Stammdaten!J$65,Bewertung_Stammdaten!I$65,IF(AZ15&lt;Bewertung_Stammdaten!J$66,Bewertung_Stammdaten!I$66,IF(AZ15&lt;Bewertung_Stammdaten!J$67,Bewertung_Stammdaten!I$67,IF(AZ15&lt;Bewertung_Stammdaten!J$68,Bewertung_Stammdaten!I$68,IF(AZ15&lt;Bewertung_Stammdaten!J$69,Bewertung_Stammdaten!I$69,IF(AZ15&lt;Bewertung_Stammdaten!J$70,Bewertung_Stammdaten!I$70,IF(AZ15&lt;Bewertung_Stammdaten!J$71,Bewertung_Stammdaten!I$71,IF(AZ15&lt;Bewertung_Stammdaten!J$72,Bewertung_Stammdaten!I$72,Bewertung_Stammdaten!I$73)))))))))</f>
        <v>1</v>
      </c>
      <c r="BD15" s="43"/>
      <c r="BE15" s="12">
        <f>VLOOKUP(A15,Aktien_im_Umlauf_splitbereinigt!A$3:Z$103,26,FALSE)</f>
        <v>0</v>
      </c>
      <c r="BF15" s="12">
        <f>VLOOKUP(A15,Aktien_im_Umlauf_splitbereinigt!A$3:Y$103,24,FALSE)</f>
        <v>1.4280187522424029E-2</v>
      </c>
      <c r="BG15" s="12">
        <f>VLOOKUP(A15,Aktien_im_Umlauf_splitbereinigt!A$3:Y$103,25,FALSE)</f>
        <v>-99.999989999999997</v>
      </c>
      <c r="BH15" s="41">
        <f>IF(BE15&lt;Bewertung_Stammdaten!B$77,Bewertung_Stammdaten!A$77,IF(BE15&lt;Bewertung_Stammdaten!B$78,Bewertung_Stammdaten!A$78,IF(BE15&lt;Bewertung_Stammdaten!B$79,Bewertung_Stammdaten!A$79,IF(BE15&lt;Bewertung_Stammdaten!B$80,Bewertung_Stammdaten!A$80,IF(BE15&lt;Bewertung_Stammdaten!B$81,Bewertung_Stammdaten!A$81,IF(BE15&lt;Bewertung_Stammdaten!B$82,Bewertung_Stammdaten!A$82,IF(BE15&lt;Bewertung_Stammdaten!B$83,Bewertung_Stammdaten!A$83,IF(BE15&lt;Bewertung_Stammdaten!B$84,Bewertung_Stammdaten!A$84,IF(BE15&lt;Bewertung_Stammdaten!B$85,Bewertung_Stammdaten!A$85,Bewertung_Stammdaten!A$86)))))))))</f>
        <v>2</v>
      </c>
      <c r="BI15" s="41">
        <f>IF(BF15&lt;Bewertung_Stammdaten!F$77,Bewertung_Stammdaten!E$77,IF(BF15&lt;Bewertung_Stammdaten!F$78,Bewertung_Stammdaten!E$78,IF(BF15&lt;Bewertung_Stammdaten!F$79,Bewertung_Stammdaten!E$79,IF(BF15&lt;Bewertung_Stammdaten!F$80,Bewertung_Stammdaten!E$80,IF(BF15&lt;Bewertung_Stammdaten!F$81,Bewertung_Stammdaten!E$81,IF(BF15&lt;Bewertung_Stammdaten!F$82,Bewertung_Stammdaten!E$82,IF(BF15&lt;Bewertung_Stammdaten!F$83,Bewertung_Stammdaten!E$83,IF(BF15&lt;Bewertung_Stammdaten!F$84,Bewertung_Stammdaten!E$84,IF(BF15&lt;Bewertung_Stammdaten!F$85,Bewertung_Stammdaten!E$85,Bewertung_Stammdaten!E$86)))))))))</f>
        <v>1</v>
      </c>
      <c r="BJ15" s="41">
        <f>IF(BG15&lt;Bewertung_Stammdaten!J$77,Bewertung_Stammdaten!I$77,IF(BG15&lt;Bewertung_Stammdaten!J$78,Bewertung_Stammdaten!I$78,IF(BG15&lt;Bewertung_Stammdaten!J$79,Bewertung_Stammdaten!I$79,IF(BG15&lt;Bewertung_Stammdaten!J$80,Bewertung_Stammdaten!I$80,IF(BG15&lt;Bewertung_Stammdaten!J$81,Bewertung_Stammdaten!I$81,IF(BG15&lt;Bewertung_Stammdaten!J$82,Bewertung_Stammdaten!I$82,IF(BG15&lt;Bewertung_Stammdaten!J$83,Bewertung_Stammdaten!I$83,IF(BG15&lt;Bewertung_Stammdaten!J$84,Bewertung_Stammdaten!I$84,IF(BG15&lt;Bewertung_Stammdaten!J$85,Bewertung_Stammdaten!I$85,Bewertung_Stammdaten!I$86)))))))))</f>
        <v>0.5</v>
      </c>
      <c r="BK15" s="43"/>
      <c r="BL15" s="12">
        <f ca="1">VLOOKUP(A15,Ausschüttungsquote!A$3:X$103,23,FALSE)</f>
        <v>0.47719324930277573</v>
      </c>
      <c r="BM15" s="12">
        <f>VLOOKUP(A15,Ausschüttungsquote!A$3:X$103,19,FALSE)</f>
        <v>0.56112653861836848</v>
      </c>
      <c r="BN15" s="12">
        <f ca="1">VLOOKUP(A15,Ausschüttungsquote!A$3:X$103,24,FALSE)</f>
        <v>-0.14957996733189116</v>
      </c>
      <c r="BO15" s="32">
        <f ca="1">IF(BL15&lt;Bewertung_Stammdaten!B$90,Bewertung_Stammdaten!A$90,IF(BL15&lt;Bewertung_Stammdaten!B$91,Bewertung_Stammdaten!A$91,IF(BL15&lt;Bewertung_Stammdaten!B$92,Bewertung_Stammdaten!A$92,IF(BL15&lt;Bewertung_Stammdaten!B$93,Bewertung_Stammdaten!A$93,IF(BL15&lt;Bewertung_Stammdaten!B$94,Bewertung_Stammdaten!A$94,IF(BL15&lt;Bewertung_Stammdaten!B$95,Bewertung_Stammdaten!A$95,IF(BL15&lt;Bewertung_Stammdaten!B$96,Bewertung_Stammdaten!A$96,IF(BL15&lt;Bewertung_Stammdaten!B$97,Bewertung_Stammdaten!A$97,IF(BL15&lt;Bewertung_Stammdaten!B$98,Bewertung_Stammdaten!A$98,Bewertung_Stammdaten!A$99)))))))))</f>
        <v>8</v>
      </c>
      <c r="BP15" s="41">
        <f>IF(BM15&lt;Bewertung_Stammdaten!F$90,Bewertung_Stammdaten!E$90,IF(BM15&lt;Bewertung_Stammdaten!F$91,Bewertung_Stammdaten!E$91,IF(BM15&lt;Bewertung_Stammdaten!F$92,Bewertung_Stammdaten!E$92,IF(BM15&lt;Bewertung_Stammdaten!F$93,Bewertung_Stammdaten!E$93,IF(BM15&lt;Bewertung_Stammdaten!F$94,Bewertung_Stammdaten!E$94,IF(BM15&lt;Bewertung_Stammdaten!F$95,Bewertung_Stammdaten!E$95,IF(BM15&lt;Bewertung_Stammdaten!F$96,Bewertung_Stammdaten!E$96,IF(BM15&lt;Bewertung_Stammdaten!F$97,Bewertung_Stammdaten!E$97,IF(BM15&lt;Bewertung_Stammdaten!F$98,Bewertung_Stammdaten!E$98,Bewertung_Stammdaten!E$99)))))))))</f>
        <v>6</v>
      </c>
      <c r="BQ15" s="32">
        <f ca="1">IF(BN15&lt;Bewertung_Stammdaten!J$90,Bewertung_Stammdaten!I$90,IF(BN15&lt;Bewertung_Stammdaten!J$91,Bewertung_Stammdaten!I$91,IF(BN15&lt;Bewertung_Stammdaten!J$92,Bewertung_Stammdaten!I$92,IF(BN15&lt;Bewertung_Stammdaten!J$93,Bewertung_Stammdaten!I$93,IF(BN15&lt;Bewertung_Stammdaten!J$94,Bewertung_Stammdaten!I$94,IF(BN15&lt;Bewertung_Stammdaten!J$95,Bewertung_Stammdaten!I$95,IF(BN15&lt;Bewertung_Stammdaten!J$96,Bewertung_Stammdaten!I$96,IF(BN15&lt;Bewertung_Stammdaten!J$97,Bewertung_Stammdaten!I$97,IF(BN15&lt;Bewertung_Stammdaten!J$98,Bewertung_Stammdaten!I$98,Bewertung_Stammdaten!I$99)))))))))</f>
        <v>8</v>
      </c>
    </row>
    <row r="16" spans="1:69" x14ac:dyDescent="0.25">
      <c r="A16" s="38" t="s">
        <v>26</v>
      </c>
      <c r="B16" s="38" t="s">
        <v>27</v>
      </c>
      <c r="C16" s="38" t="s">
        <v>296</v>
      </c>
      <c r="D16" s="32">
        <f t="shared" ca="1" si="0"/>
        <v>85</v>
      </c>
      <c r="E16" s="43"/>
      <c r="F16" s="66">
        <v>1</v>
      </c>
      <c r="G16" s="11">
        <f ca="1">VLOOKUP(A16,KGV!A$3:R$103,17,FALSE)</f>
        <v>16.43504330446369</v>
      </c>
      <c r="H16" s="11">
        <f>VLOOKUP(A16,KGV!A$3:R$103,16,FALSE)</f>
        <v>13.631901840490798</v>
      </c>
      <c r="I16" s="12">
        <f ca="1">VLOOKUP(A16,KGV!A$3:R$103,18,FALSE)</f>
        <v>0.20563098948135972</v>
      </c>
      <c r="J16" s="16">
        <f t="shared" ca="1" si="1"/>
        <v>30.815706195869421</v>
      </c>
      <c r="K16" s="12">
        <f t="shared" ca="1" si="2"/>
        <v>1.2605581052775499</v>
      </c>
      <c r="L16" s="11">
        <f ca="1">VLOOKUP(A16,KBV!A$3:R$103,17,FALSE)</f>
        <v>2.5772043460091933</v>
      </c>
      <c r="M16" s="11">
        <f>VLOOKUP(A16,KBV!A$3:R$103,16,FALSE)</f>
        <v>3.3228511530398324</v>
      </c>
      <c r="N16" s="12">
        <f ca="1">VLOOKUP(A16,KBV!A$3:R$103,18,FALSE)</f>
        <v>-0.22439970154802191</v>
      </c>
      <c r="O16" s="16">
        <f t="shared" ca="1" si="9"/>
        <v>2.9715306940324577</v>
      </c>
      <c r="P16" s="12">
        <f t="shared" ca="1" si="10"/>
        <v>-0.10572861763187236</v>
      </c>
      <c r="Q16" s="32">
        <f ca="1">IF(F16=1,IF(I16&lt;Bewertung_Stammdaten!B$12,Bewertung_Stammdaten!A$12,IF(I16&lt;Bewertung_Stammdaten!B$13,Bewertung_Stammdaten!A$13,IF(I16&lt;Bewertung_Stammdaten!B$14,Bewertung_Stammdaten!A$14,IF(I16&lt;Bewertung_Stammdaten!B$15,Bewertung_Stammdaten!A$15,IF(I16&lt;Bewertung_Stammdaten!B$16,Bewertung_Stammdaten!A$16,IF(I16&lt;Bewertung_Stammdaten!B$17,Bewertung_Stammdaten!A$17,IF(I16&lt;Bewertung_Stammdaten!B$18,Bewertung_Stammdaten!A$18,IF(I16&lt;Bewertung_Stammdaten!B$19,Bewertung_Stammdaten!A$19,IF(I16&lt;Bewertung_Stammdaten!B$20,Bewertung_Stammdaten!A$20,Bewertung_Stammdaten!A$21))))))))),IF(N16&lt;Bewertung_Stammdaten!C$12,Bewertung_Stammdaten!A$12,IF(N16&lt;Bewertung_Stammdaten!C$13,Bewertung_Stammdaten!A$13,IF(N16&lt;Bewertung_Stammdaten!C$14,Bewertung_Stammdaten!A$14,IF(N16&lt;Bewertung_Stammdaten!C$15,Bewertung_Stammdaten!A$15,IF(N16&lt;Bewertung_Stammdaten!C$16,Bewertung_Stammdaten!A$16,IF(N16&lt;Bewertung_Stammdaten!C$17,Bewertung_Stammdaten!A$17,IF(N16&lt;Bewertung_Stammdaten!C$18,Bewertung_Stammdaten!A$18,IF(N16&lt;Bewertung_Stammdaten!C$19,Bewertung_Stammdaten!A$19,IF(N16&lt;Bewertung_Stammdaten!C$20,Bewertung_Stammdaten!A$20,Bewertung_Stammdaten!A$21))))))))))</f>
        <v>12</v>
      </c>
      <c r="R16" s="32">
        <f ca="1">IF(F16=1,IF(K16&lt;Bewertung_Stammdaten!F$12,Bewertung_Stammdaten!E$12,IF(K16&lt;Bewertung_Stammdaten!F$13,Bewertung_Stammdaten!E$13,IF(K16&lt;Bewertung_Stammdaten!F$14,Bewertung_Stammdaten!E$14,IF(K16&lt;Bewertung_Stammdaten!F$15,Bewertung_Stammdaten!E$15,IF(K16&lt;Bewertung_Stammdaten!F$16,Bewertung_Stammdaten!E$16,IF(K16&lt;Bewertung_Stammdaten!F$17,Bewertung_Stammdaten!E$17,IF(K16&lt;Bewertung_Stammdaten!F$18,Bewertung_Stammdaten!E$18,IF(K16&lt;Bewertung_Stammdaten!F$19,Bewertung_Stammdaten!E$19,IF(K16&lt;Bewertung_Stammdaten!F$20,Bewertung_Stammdaten!E$20,Bewertung_Stammdaten!E$21))))))))),IF(P16&lt;Bewertung_Stammdaten!G$12,Bewertung_Stammdaten!E$12,IF(P16&lt;Bewertung_Stammdaten!G$13,Bewertung_Stammdaten!E$13,IF(P16&lt;Bewertung_Stammdaten!G$14,Bewertung_Stammdaten!E$14,IF(P16&lt;Bewertung_Stammdaten!G$15,Bewertung_Stammdaten!E$15,IF(P16&lt;Bewertung_Stammdaten!G$16,Bewertung_Stammdaten!E$16,IF(P16&lt;Bewertung_Stammdaten!G$17,Bewertung_Stammdaten!E$17,IF(P16&lt;Bewertung_Stammdaten!G$18,Bewertung_Stammdaten!E$18,IF(P16&lt;Bewertung_Stammdaten!G$19,Bewertung_Stammdaten!E$19,IF(P16&lt;Bewertung_Stammdaten!G$20,Bewertung_Stammdaten!E$20,Bewertung_Stammdaten!E$21))))))))))</f>
        <v>2.5</v>
      </c>
      <c r="S16" s="43"/>
      <c r="T16" s="11">
        <f ca="1">VLOOKUP(A16,Buchwert_je_Aktie!A$3:AK$103,23,FALSE)</f>
        <v>5.3177777777777777</v>
      </c>
      <c r="U16" s="11">
        <f>VLOOKUP(A16,Buchwert_je_Aktie!A$3:AK$103,19,FALSE)</f>
        <v>4.5515384615384606</v>
      </c>
      <c r="V16" s="12">
        <f ca="1">VLOOKUP(A16,Buchwert_je_Aktie!A$3:AK$103,24,FALSE)</f>
        <v>0.16834732315550327</v>
      </c>
      <c r="W16" s="12">
        <f>VLOOKUP(A16,Buchwert_je_Aktie!A$3:AK$103,37,FALSE)</f>
        <v>-0.13270142180094779</v>
      </c>
      <c r="X16" s="16">
        <f t="shared" ca="1" si="3"/>
        <v>4.6121011058451824</v>
      </c>
      <c r="Y16" s="12">
        <f t="shared" ca="1" si="4"/>
        <v>1.3305972215436501E-2</v>
      </c>
      <c r="Z16" s="51">
        <f ca="1">IF(V16&lt;Bewertung_Stammdaten!B$25,Bewertung_Stammdaten!A$25,IF(V16&lt;Bewertung_Stammdaten!B$26,Bewertung_Stammdaten!A$26,IF(V16&lt;Bewertung_Stammdaten!B$27,Bewertung_Stammdaten!A$27,IF(V16&lt;Bewertung_Stammdaten!B$28,Bewertung_Stammdaten!A$28,IF(V16&lt;Bewertung_Stammdaten!B$29,Bewertung_Stammdaten!A$29,IF(V16&lt;Bewertung_Stammdaten!B$30,Bewertung_Stammdaten!A$30,IF(V16&lt;Bewertung_Stammdaten!B$31,Bewertung_Stammdaten!A$31,IF(V16&lt;Bewertung_Stammdaten!B$32,Bewertung_Stammdaten!A$32,IF(V16&lt;Bewertung_Stammdaten!B$33,Bewertung_Stammdaten!A$33,Bewertung_Stammdaten!A$34)))))))))</f>
        <v>6</v>
      </c>
      <c r="AA16" s="51">
        <f>IF(W16&lt;Bewertung_Stammdaten!F$25,Bewertung_Stammdaten!E$25,IF(W16&lt;Bewertung_Stammdaten!F$26,Bewertung_Stammdaten!E$26,IF(W16&lt;Bewertung_Stammdaten!F$27,Bewertung_Stammdaten!E$27,IF(W16&lt;Bewertung_Stammdaten!F$28,Bewertung_Stammdaten!E$28,IF(W16&lt;Bewertung_Stammdaten!F$29,Bewertung_Stammdaten!E$29,IF(W16&lt;Bewertung_Stammdaten!F$30,Bewertung_Stammdaten!E$30,IF(W16&lt;Bewertung_Stammdaten!F$31,Bewertung_Stammdaten!E$31,IF(W16&lt;Bewertung_Stammdaten!F$32,Bewertung_Stammdaten!E$32,IF(W16&lt;Bewertung_Stammdaten!F$33,Bewertung_Stammdaten!E$33,Bewertung_Stammdaten!E$34)))))))))</f>
        <v>7.5</v>
      </c>
      <c r="AB16" s="51">
        <f ca="1">IF(Y16&lt;Bewertung_Stammdaten!J$25,Bewertung_Stammdaten!I$25,IF(Y16&lt;Bewertung_Stammdaten!J$26,Bewertung_Stammdaten!I$26,IF(Y16&lt;Bewertung_Stammdaten!J$27,Bewertung_Stammdaten!I$27,IF(Y16&lt;Bewertung_Stammdaten!J$28,Bewertung_Stammdaten!I$28,IF(Y16&lt;Bewertung_Stammdaten!J$29,Bewertung_Stammdaten!I$29,IF(Y16&lt;Bewertung_Stammdaten!J$30,Bewertung_Stammdaten!I$30,IF(Y16&lt;Bewertung_Stammdaten!J$31,Bewertung_Stammdaten!I$31,IF(Y16&lt;Bewertung_Stammdaten!J$32,Bewertung_Stammdaten!I$32,IF(Y16&lt;Bewertung_Stammdaten!J$33,Bewertung_Stammdaten!I$33,Bewertung_Stammdaten!I$34)))))))))</f>
        <v>3</v>
      </c>
      <c r="AC16" s="43"/>
      <c r="AD16" s="14">
        <f ca="1">VLOOKUP(A16,Ergebnis_je_Aktie_verwässert!A$3:AK$103,23,FALSE)</f>
        <v>0.8338888888888889</v>
      </c>
      <c r="AE16" s="14">
        <f>VLOOKUP(A16,Ergebnis_je_Aktie_verwässert!A$3:AK$103,19,FALSE)</f>
        <v>1.2384615384615385</v>
      </c>
      <c r="AF16" s="12">
        <f ca="1">VLOOKUP(A16,Ergebnis_je_Aktie_verwässert!A$3:AK$103,24,FALSE)</f>
        <v>-0.3266735679779158</v>
      </c>
      <c r="AG16" s="40">
        <f>VLOOKUP(A16,Ergebnis_je_Aktie_verwässert!A$3:AK$103,37,FALSE)</f>
        <v>-0.46666666666666667</v>
      </c>
      <c r="AH16" s="16">
        <f t="shared" ca="1" si="5"/>
        <v>0.44474074074074071</v>
      </c>
      <c r="AI16" s="12">
        <f t="shared" ca="1" si="6"/>
        <v>-0.64089256958822172</v>
      </c>
      <c r="AJ16" s="32">
        <f ca="1">IF(AF16&lt;Bewertung_Stammdaten!B$38,Bewertung_Stammdaten!A$38,IF(AF16&lt;Bewertung_Stammdaten!B$39,Bewertung_Stammdaten!A$39,IF(AF16&lt;Bewertung_Stammdaten!B$40,Bewertung_Stammdaten!A$40,IF(AF16&lt;Bewertung_Stammdaten!B$41,Bewertung_Stammdaten!A$41,IF(AF16&lt;Bewertung_Stammdaten!B$42,Bewertung_Stammdaten!A$42,IF(AF16&lt;Bewertung_Stammdaten!B$43,Bewertung_Stammdaten!A$43,IF(AF16&lt;Bewertung_Stammdaten!B$44,Bewertung_Stammdaten!A$44,IF(AF16&lt;Bewertung_Stammdaten!B$45,Bewertung_Stammdaten!A$45,IF(AF16&lt;Bewertung_Stammdaten!B$46,Bewertung_Stammdaten!A$46,Bewertung_Stammdaten!A$47)))))))))</f>
        <v>2</v>
      </c>
      <c r="AK16" s="32">
        <f>IF(AG16&lt;Bewertung_Stammdaten!F$38,Bewertung_Stammdaten!E$38,IF(AG16&lt;Bewertung_Stammdaten!F$39,Bewertung_Stammdaten!E$39,IF(AG16&lt;Bewertung_Stammdaten!F$40,Bewertung_Stammdaten!E$40,IF(AG16&lt;Bewertung_Stammdaten!F$41,Bewertung_Stammdaten!E$41,IF(AG16&lt;Bewertung_Stammdaten!F$42,Bewertung_Stammdaten!E$42,IF(AG16&lt;Bewertung_Stammdaten!F$43,Bewertung_Stammdaten!E$43,IF(AG16&lt;Bewertung_Stammdaten!F$44,Bewertung_Stammdaten!E$44,IF(AG16&lt;Bewertung_Stammdaten!F$45,Bewertung_Stammdaten!E$45,IF(AG16&lt;Bewertung_Stammdaten!F$46,Bewertung_Stammdaten!E$46,Bewertung_Stammdaten!E$47)))))))))</f>
        <v>4.5</v>
      </c>
      <c r="AL16" s="32">
        <f ca="1">IF(AI16&lt;Bewertung_Stammdaten!J$38,Bewertung_Stammdaten!I$38,IF(AI16&lt;Bewertung_Stammdaten!J$39,Bewertung_Stammdaten!I$39,IF(AI16&lt;Bewertung_Stammdaten!J$40,Bewertung_Stammdaten!I$40,IF(AI16&lt;Bewertung_Stammdaten!J$41,Bewertung_Stammdaten!I$41,IF(AI16&lt;Bewertung_Stammdaten!J$42,Bewertung_Stammdaten!I$42,IF(AI16&lt;Bewertung_Stammdaten!J$43,Bewertung_Stammdaten!I$43,IF(AI16&lt;Bewertung_Stammdaten!J$44,Bewertung_Stammdaten!I$44,IF(AI16&lt;Bewertung_Stammdaten!J$45,Bewertung_Stammdaten!I$45,IF(AI16&lt;Bewertung_Stammdaten!J$46,Bewertung_Stammdaten!I$46,Bewertung_Stammdaten!I$47)))))))))</f>
        <v>1</v>
      </c>
      <c r="AM16" s="43"/>
      <c r="AN16" s="14">
        <f ca="1">VLOOKUP(A16,Dividende_je_Aktie!A$3:AM$103,24,FALSE)</f>
        <v>0.7</v>
      </c>
      <c r="AO16" s="14">
        <f>VLOOKUP(A16,Dividende_je_Aktie!A$3:AM$103,20,FALSE)</f>
        <v>0.77928571428571425</v>
      </c>
      <c r="AP16" s="12">
        <f ca="1">VLOOKUP(A16,Dividende_je_Aktie!A$3:AM$103,25,FALSE)</f>
        <v>-0.1017415215398717</v>
      </c>
      <c r="AQ16" s="40">
        <f>VLOOKUP(A16,Dividende_je_Aktie!A$3:AM$103,39,FALSE)</f>
        <v>-0.46666666666666667</v>
      </c>
      <c r="AR16" s="16">
        <f t="shared" ca="1" si="7"/>
        <v>0.37333333333333329</v>
      </c>
      <c r="AS16" s="12">
        <f t="shared" ca="1" si="8"/>
        <v>-0.52092881148793158</v>
      </c>
      <c r="AT16" s="32">
        <f ca="1">IF(AP16&lt;Bewertung_Stammdaten!B$51,Bewertung_Stammdaten!A$51,IF(AP16&lt;Bewertung_Stammdaten!B$52,Bewertung_Stammdaten!A$52,IF(AP16&lt;Bewertung_Stammdaten!B$53,Bewertung_Stammdaten!A$53,IF(AP16&lt;Bewertung_Stammdaten!B$54,Bewertung_Stammdaten!A$54,IF(AP16&lt;Bewertung_Stammdaten!B$55,Bewertung_Stammdaten!A$55,IF(AP16&lt;Bewertung_Stammdaten!B$56,Bewertung_Stammdaten!A$56,IF(AP16&lt;Bewertung_Stammdaten!B$57,Bewertung_Stammdaten!A$57,IF(AP16&lt;Bewertung_Stammdaten!B$58,Bewertung_Stammdaten!A$58,IF(AP16&lt;Bewertung_Stammdaten!B$59,Bewertung_Stammdaten!A$59,Bewertung_Stammdaten!A$60)))))))))</f>
        <v>2</v>
      </c>
      <c r="AU16" s="32">
        <f>IF(AQ16&lt;Bewertung_Stammdaten!F$51,Bewertung_Stammdaten!E$51,IF(AQ16&lt;Bewertung_Stammdaten!F$52,Bewertung_Stammdaten!E$52,IF(AQ16&lt;Bewertung_Stammdaten!F$53,Bewertung_Stammdaten!E$53,IF(AQ16&lt;Bewertung_Stammdaten!F$54,Bewertung_Stammdaten!E$54,IF(AQ16&lt;Bewertung_Stammdaten!F$55,Bewertung_Stammdaten!E$55,IF(AQ16&lt;Bewertung_Stammdaten!F$56,Bewertung_Stammdaten!E$56,IF(AQ16&lt;Bewertung_Stammdaten!F$57,Bewertung_Stammdaten!E$57,IF(AQ16&lt;Bewertung_Stammdaten!F$58,Bewertung_Stammdaten!E$58,IF(AQ16&lt;Bewertung_Stammdaten!F$59,Bewertung_Stammdaten!E$59,Bewertung_Stammdaten!E$60)))))))))</f>
        <v>4.5</v>
      </c>
      <c r="AV16" s="32">
        <f ca="1">IF(AS16&lt;Bewertung_Stammdaten!J$51,Bewertung_Stammdaten!I$51,IF(AS16&lt;Bewertung_Stammdaten!J$52,Bewertung_Stammdaten!I$52,IF(AS16&lt;Bewertung_Stammdaten!J$53,Bewertung_Stammdaten!I$53,IF(AS16&lt;Bewertung_Stammdaten!J$54,Bewertung_Stammdaten!I$54,IF(AS16&lt;Bewertung_Stammdaten!J$55,Bewertung_Stammdaten!I$55,IF(AS16&lt;Bewertung_Stammdaten!J$56,Bewertung_Stammdaten!I$56,IF(AS16&lt;Bewertung_Stammdaten!J$57,Bewertung_Stammdaten!I$57,IF(AS16&lt;Bewertung_Stammdaten!J$58,Bewertung_Stammdaten!I$58,IF(AS16&lt;Bewertung_Stammdaten!J$59,Bewertung_Stammdaten!I$59,Bewertung_Stammdaten!I$60)))))))))</f>
        <v>1</v>
      </c>
      <c r="AW16" s="43"/>
      <c r="AX16" s="12">
        <f ca="1">VLOOKUP(A16,Dividendenrendite!A$3:R$103,17,FALSE)</f>
        <v>5.1076249543962053E-2</v>
      </c>
      <c r="AY16" s="12">
        <f>VLOOKUP(A16,Dividendenrendite!A$3:R$103,16,FALSE)</f>
        <v>5.456332818694936E-2</v>
      </c>
      <c r="AZ16" s="12">
        <f ca="1">VLOOKUP(A16,Dividendenrendite!A$3:R$103,18,FALSE)</f>
        <v>-6.3908833255911235E-2</v>
      </c>
      <c r="BA16" s="32">
        <f ca="1">IF(AX16&lt;Bewertung_Stammdaten!B$64,Bewertung_Stammdaten!A$64,IF(AX16&lt;Bewertung_Stammdaten!B$65,Bewertung_Stammdaten!A$65,IF(AX16&lt;Bewertung_Stammdaten!B$66,Bewertung_Stammdaten!A$66,IF(AX16&lt;Bewertung_Stammdaten!B$67,Bewertung_Stammdaten!A$67,IF(AX16&lt;Bewertung_Stammdaten!B$68,Bewertung_Stammdaten!A$68,IF(AX16&lt;Bewertung_Stammdaten!B$69,Bewertung_Stammdaten!A$69,IF(AX16&lt;Bewertung_Stammdaten!B$70,Bewertung_Stammdaten!A$70,IF(AX16&lt;Bewertung_Stammdaten!B$71,Bewertung_Stammdaten!A$71,IF(AX16&lt;Bewertung_Stammdaten!B$72,Bewertung_Stammdaten!A$72,Bewertung_Stammdaten!A$73)))))))))</f>
        <v>15</v>
      </c>
      <c r="BB16" s="32">
        <f>IF(AY16&lt;Bewertung_Stammdaten!F$64,Bewertung_Stammdaten!E$64,IF(AY16&lt;Bewertung_Stammdaten!F$65,Bewertung_Stammdaten!E$65,IF(AY16&lt;Bewertung_Stammdaten!F$66,Bewertung_Stammdaten!E$66,IF(AY16&lt;Bewertung_Stammdaten!F$67,Bewertung_Stammdaten!E$67,IF(AY16&lt;Bewertung_Stammdaten!F$68,Bewertung_Stammdaten!E$68,IF(AY16&lt;Bewertung_Stammdaten!F$69,Bewertung_Stammdaten!E$69,IF(AY16&lt;Bewertung_Stammdaten!F$70,Bewertung_Stammdaten!E$70,IF(AY16&lt;Bewertung_Stammdaten!F$71,Bewertung_Stammdaten!E$71,IF(AY16&lt;Bewertung_Stammdaten!F$72,Bewertung_Stammdaten!E$72,Bewertung_Stammdaten!E$73)))))))))</f>
        <v>10</v>
      </c>
      <c r="BC16" s="32">
        <f ca="1">IF(AZ16&lt;Bewertung_Stammdaten!J$64,Bewertung_Stammdaten!I$64,IF(AZ16&lt;Bewertung_Stammdaten!J$65,Bewertung_Stammdaten!I$65,IF(AZ16&lt;Bewertung_Stammdaten!J$66,Bewertung_Stammdaten!I$66,IF(AZ16&lt;Bewertung_Stammdaten!J$67,Bewertung_Stammdaten!I$67,IF(AZ16&lt;Bewertung_Stammdaten!J$68,Bewertung_Stammdaten!I$68,IF(AZ16&lt;Bewertung_Stammdaten!J$69,Bewertung_Stammdaten!I$69,IF(AZ16&lt;Bewertung_Stammdaten!J$70,Bewertung_Stammdaten!I$70,IF(AZ16&lt;Bewertung_Stammdaten!J$71,Bewertung_Stammdaten!I$71,IF(AZ16&lt;Bewertung_Stammdaten!J$72,Bewertung_Stammdaten!I$72,Bewertung_Stammdaten!I$73)))))))))</f>
        <v>2</v>
      </c>
      <c r="BD16" s="43"/>
      <c r="BE16" s="12">
        <f>VLOOKUP(A16,Aktien_im_Umlauf_splitbereinigt!A$3:Z$103,26,FALSE)</f>
        <v>2.3291584267194132E-2</v>
      </c>
      <c r="BF16" s="12">
        <f>VLOOKUP(A16,Aktien_im_Umlauf_splitbereinigt!A$3:Y$103,24,FALSE)</f>
        <v>-5.9681972286488184E-3</v>
      </c>
      <c r="BG16" s="12">
        <f>VLOOKUP(A16,Aktien_im_Umlauf_splitbereinigt!A$3:Y$103,25,FALSE)</f>
        <v>-4.9026163806029706</v>
      </c>
      <c r="BH16" s="41">
        <f>IF(BE16&lt;Bewertung_Stammdaten!B$77,Bewertung_Stammdaten!A$77,IF(BE16&lt;Bewertung_Stammdaten!B$78,Bewertung_Stammdaten!A$78,IF(BE16&lt;Bewertung_Stammdaten!B$79,Bewertung_Stammdaten!A$79,IF(BE16&lt;Bewertung_Stammdaten!B$80,Bewertung_Stammdaten!A$80,IF(BE16&lt;Bewertung_Stammdaten!B$81,Bewertung_Stammdaten!A$81,IF(BE16&lt;Bewertung_Stammdaten!B$82,Bewertung_Stammdaten!A$82,IF(BE16&lt;Bewertung_Stammdaten!B$83,Bewertung_Stammdaten!A$83,IF(BE16&lt;Bewertung_Stammdaten!B$84,Bewertung_Stammdaten!A$84,IF(BE16&lt;Bewertung_Stammdaten!B$85,Bewertung_Stammdaten!A$85,Bewertung_Stammdaten!A$86)))))))))</f>
        <v>1</v>
      </c>
      <c r="BI16" s="41">
        <f>IF(BF16&lt;Bewertung_Stammdaten!F$77,Bewertung_Stammdaten!E$77,IF(BF16&lt;Bewertung_Stammdaten!F$78,Bewertung_Stammdaten!E$78,IF(BF16&lt;Bewertung_Stammdaten!F$79,Bewertung_Stammdaten!E$79,IF(BF16&lt;Bewertung_Stammdaten!F$80,Bewertung_Stammdaten!E$80,IF(BF16&lt;Bewertung_Stammdaten!F$81,Bewertung_Stammdaten!E$81,IF(BF16&lt;Bewertung_Stammdaten!F$82,Bewertung_Stammdaten!E$82,IF(BF16&lt;Bewertung_Stammdaten!F$83,Bewertung_Stammdaten!E$83,IF(BF16&lt;Bewertung_Stammdaten!F$84,Bewertung_Stammdaten!E$84,IF(BF16&lt;Bewertung_Stammdaten!F$85,Bewertung_Stammdaten!E$85,Bewertung_Stammdaten!E$86)))))))))</f>
        <v>4</v>
      </c>
      <c r="BJ16" s="41">
        <f>IF(BG16&lt;Bewertung_Stammdaten!J$77,Bewertung_Stammdaten!I$77,IF(BG16&lt;Bewertung_Stammdaten!J$78,Bewertung_Stammdaten!I$78,IF(BG16&lt;Bewertung_Stammdaten!J$79,Bewertung_Stammdaten!I$79,IF(BG16&lt;Bewertung_Stammdaten!J$80,Bewertung_Stammdaten!I$80,IF(BG16&lt;Bewertung_Stammdaten!J$81,Bewertung_Stammdaten!I$81,IF(BG16&lt;Bewertung_Stammdaten!J$82,Bewertung_Stammdaten!I$82,IF(BG16&lt;Bewertung_Stammdaten!J$83,Bewertung_Stammdaten!I$83,IF(BG16&lt;Bewertung_Stammdaten!J$84,Bewertung_Stammdaten!I$84,IF(BG16&lt;Bewertung_Stammdaten!J$85,Bewertung_Stammdaten!I$85,Bewertung_Stammdaten!I$86)))))))))</f>
        <v>1</v>
      </c>
      <c r="BK16" s="43"/>
      <c r="BL16" s="12">
        <f ca="1">VLOOKUP(A16,Ausschüttungsquote!A$3:X$103,23,FALSE)</f>
        <v>0.84205246913580245</v>
      </c>
      <c r="BM16" s="12">
        <f>VLOOKUP(A16,Ausschüttungsquote!A$3:X$103,19,FALSE)</f>
        <v>0.69134109452479053</v>
      </c>
      <c r="BN16" s="12">
        <f ca="1">VLOOKUP(A16,Ausschüttungsquote!A$3:X$103,24,FALSE)</f>
        <v>0.21799857668609568</v>
      </c>
      <c r="BO16" s="32">
        <f ca="1">IF(BL16&lt;Bewertung_Stammdaten!B$90,Bewertung_Stammdaten!A$90,IF(BL16&lt;Bewertung_Stammdaten!B$91,Bewertung_Stammdaten!A$91,IF(BL16&lt;Bewertung_Stammdaten!B$92,Bewertung_Stammdaten!A$92,IF(BL16&lt;Bewertung_Stammdaten!B$93,Bewertung_Stammdaten!A$93,IF(BL16&lt;Bewertung_Stammdaten!B$94,Bewertung_Stammdaten!A$94,IF(BL16&lt;Bewertung_Stammdaten!B$95,Bewertung_Stammdaten!A$95,IF(BL16&lt;Bewertung_Stammdaten!B$96,Bewertung_Stammdaten!A$96,IF(BL16&lt;Bewertung_Stammdaten!B$97,Bewertung_Stammdaten!A$97,IF(BL16&lt;Bewertung_Stammdaten!B$98,Bewertung_Stammdaten!A$98,Bewertung_Stammdaten!A$99)))))))))</f>
        <v>1</v>
      </c>
      <c r="BP16" s="41">
        <f>IF(BM16&lt;Bewertung_Stammdaten!F$90,Bewertung_Stammdaten!E$90,IF(BM16&lt;Bewertung_Stammdaten!F$91,Bewertung_Stammdaten!E$91,IF(BM16&lt;Bewertung_Stammdaten!F$92,Bewertung_Stammdaten!E$92,IF(BM16&lt;Bewertung_Stammdaten!F$93,Bewertung_Stammdaten!E$93,IF(BM16&lt;Bewertung_Stammdaten!F$94,Bewertung_Stammdaten!E$94,IF(BM16&lt;Bewertung_Stammdaten!F$95,Bewertung_Stammdaten!E$95,IF(BM16&lt;Bewertung_Stammdaten!F$96,Bewertung_Stammdaten!E$96,IF(BM16&lt;Bewertung_Stammdaten!F$97,Bewertung_Stammdaten!E$97,IF(BM16&lt;Bewertung_Stammdaten!F$98,Bewertung_Stammdaten!E$98,Bewertung_Stammdaten!E$99)))))))))</f>
        <v>4</v>
      </c>
      <c r="BQ16" s="32">
        <f ca="1">IF(BN16&lt;Bewertung_Stammdaten!J$90,Bewertung_Stammdaten!I$90,IF(BN16&lt;Bewertung_Stammdaten!J$91,Bewertung_Stammdaten!I$91,IF(BN16&lt;Bewertung_Stammdaten!J$92,Bewertung_Stammdaten!I$92,IF(BN16&lt;Bewertung_Stammdaten!J$93,Bewertung_Stammdaten!I$93,IF(BN16&lt;Bewertung_Stammdaten!J$94,Bewertung_Stammdaten!I$94,IF(BN16&lt;Bewertung_Stammdaten!J$95,Bewertung_Stammdaten!I$95,IF(BN16&lt;Bewertung_Stammdaten!J$96,Bewertung_Stammdaten!I$96,IF(BN16&lt;Bewertung_Stammdaten!J$97,Bewertung_Stammdaten!I$97,IF(BN16&lt;Bewertung_Stammdaten!J$98,Bewertung_Stammdaten!I$98,Bewertung_Stammdaten!I$99)))))))))</f>
        <v>1</v>
      </c>
    </row>
    <row r="17" spans="1:69" x14ac:dyDescent="0.25">
      <c r="A17" s="38" t="s">
        <v>28</v>
      </c>
      <c r="B17" s="38" t="s">
        <v>29</v>
      </c>
      <c r="C17" s="38" t="s">
        <v>296</v>
      </c>
      <c r="D17" s="32">
        <f t="shared" ca="1" si="0"/>
        <v>121</v>
      </c>
      <c r="E17" s="43"/>
      <c r="F17" s="66">
        <v>1</v>
      </c>
      <c r="G17" s="11">
        <f ca="1">VLOOKUP(A17,KGV!A$3:R$103,17,FALSE)</f>
        <v>21.664610207515423</v>
      </c>
      <c r="H17" s="11">
        <f>VLOOKUP(A17,KGV!A$3:R$103,16,FALSE)</f>
        <v>18.879765395894427</v>
      </c>
      <c r="I17" s="12">
        <f ca="1">VLOOKUP(A17,KGV!A$3:R$103,18,FALSE)</f>
        <v>0.14750420639371842</v>
      </c>
      <c r="J17" s="16">
        <f t="shared" ca="1" si="1"/>
        <v>32.792879931594378</v>
      </c>
      <c r="K17" s="12">
        <f t="shared" ca="1" si="2"/>
        <v>0.73693259656316923</v>
      </c>
      <c r="L17" s="11">
        <f ca="1">VLOOKUP(A17,KBV!A$3:R$103,17,FALSE)</f>
        <v>2.978946556643788</v>
      </c>
      <c r="M17" s="11">
        <f>VLOOKUP(A17,KBV!A$3:R$103,16,FALSE)</f>
        <v>2.6844535659312472</v>
      </c>
      <c r="N17" s="12">
        <f ca="1">VLOOKUP(A17,KBV!A$3:R$103,18,FALSE)</f>
        <v>0.1097031419913499</v>
      </c>
      <c r="O17" s="16">
        <f t="shared" ca="1" si="9"/>
        <v>3.3562144593766363</v>
      </c>
      <c r="P17" s="12">
        <f t="shared" ca="1" si="10"/>
        <v>0.25024120438170172</v>
      </c>
      <c r="Q17" s="32">
        <f ca="1">IF(F17=1,IF(I17&lt;Bewertung_Stammdaten!B$12,Bewertung_Stammdaten!A$12,IF(I17&lt;Bewertung_Stammdaten!B$13,Bewertung_Stammdaten!A$13,IF(I17&lt;Bewertung_Stammdaten!B$14,Bewertung_Stammdaten!A$14,IF(I17&lt;Bewertung_Stammdaten!B$15,Bewertung_Stammdaten!A$15,IF(I17&lt;Bewertung_Stammdaten!B$16,Bewertung_Stammdaten!A$16,IF(I17&lt;Bewertung_Stammdaten!B$17,Bewertung_Stammdaten!A$17,IF(I17&lt;Bewertung_Stammdaten!B$18,Bewertung_Stammdaten!A$18,IF(I17&lt;Bewertung_Stammdaten!B$19,Bewertung_Stammdaten!A$19,IF(I17&lt;Bewertung_Stammdaten!B$20,Bewertung_Stammdaten!A$20,Bewertung_Stammdaten!A$21))))))))),IF(N17&lt;Bewertung_Stammdaten!C$12,Bewertung_Stammdaten!A$12,IF(N17&lt;Bewertung_Stammdaten!C$13,Bewertung_Stammdaten!A$13,IF(N17&lt;Bewertung_Stammdaten!C$14,Bewertung_Stammdaten!A$14,IF(N17&lt;Bewertung_Stammdaten!C$15,Bewertung_Stammdaten!A$15,IF(N17&lt;Bewertung_Stammdaten!C$16,Bewertung_Stammdaten!A$16,IF(N17&lt;Bewertung_Stammdaten!C$17,Bewertung_Stammdaten!A$17,IF(N17&lt;Bewertung_Stammdaten!C$18,Bewertung_Stammdaten!A$18,IF(N17&lt;Bewertung_Stammdaten!C$19,Bewertung_Stammdaten!A$19,IF(N17&lt;Bewertung_Stammdaten!C$20,Bewertung_Stammdaten!A$20,Bewertung_Stammdaten!A$21))))))))))</f>
        <v>24</v>
      </c>
      <c r="R17" s="32">
        <f ca="1">IF(F17=1,IF(K17&lt;Bewertung_Stammdaten!F$12,Bewertung_Stammdaten!E$12,IF(K17&lt;Bewertung_Stammdaten!F$13,Bewertung_Stammdaten!E$13,IF(K17&lt;Bewertung_Stammdaten!F$14,Bewertung_Stammdaten!E$14,IF(K17&lt;Bewertung_Stammdaten!F$15,Bewertung_Stammdaten!E$15,IF(K17&lt;Bewertung_Stammdaten!F$16,Bewertung_Stammdaten!E$16,IF(K17&lt;Bewertung_Stammdaten!F$17,Bewertung_Stammdaten!E$17,IF(K17&lt;Bewertung_Stammdaten!F$18,Bewertung_Stammdaten!E$18,IF(K17&lt;Bewertung_Stammdaten!F$19,Bewertung_Stammdaten!E$19,IF(K17&lt;Bewertung_Stammdaten!F$20,Bewertung_Stammdaten!E$20,Bewertung_Stammdaten!E$21))))))))),IF(P17&lt;Bewertung_Stammdaten!G$12,Bewertung_Stammdaten!E$12,IF(P17&lt;Bewertung_Stammdaten!G$13,Bewertung_Stammdaten!E$13,IF(P17&lt;Bewertung_Stammdaten!G$14,Bewertung_Stammdaten!E$14,IF(P17&lt;Bewertung_Stammdaten!G$15,Bewertung_Stammdaten!E$15,IF(P17&lt;Bewertung_Stammdaten!G$16,Bewertung_Stammdaten!E$16,IF(P17&lt;Bewertung_Stammdaten!G$17,Bewertung_Stammdaten!E$17,IF(P17&lt;Bewertung_Stammdaten!G$18,Bewertung_Stammdaten!E$18,IF(P17&lt;Bewertung_Stammdaten!G$19,Bewertung_Stammdaten!E$19,IF(P17&lt;Bewertung_Stammdaten!G$20,Bewertung_Stammdaten!E$20,Bewertung_Stammdaten!E$21))))))))))</f>
        <v>2.5</v>
      </c>
      <c r="S17" s="43"/>
      <c r="T17" s="11">
        <f ca="1">VLOOKUP(A17,Buchwert_je_Aktie!A$3:AK$103,23,FALSE)</f>
        <v>21.611666666666665</v>
      </c>
      <c r="U17" s="11">
        <f>VLOOKUP(A17,Buchwert_je_Aktie!A$3:AK$103,19,FALSE)</f>
        <v>20.13</v>
      </c>
      <c r="V17" s="12">
        <f ca="1">VLOOKUP(A17,Buchwert_je_Aktie!A$3:AK$103,24,FALSE)</f>
        <v>7.360490147375387E-2</v>
      </c>
      <c r="W17" s="12">
        <f>VLOOKUP(A17,Buchwert_je_Aktie!A$3:AK$103,37,FALSE)</f>
        <v>-0.11240875912408765</v>
      </c>
      <c r="X17" s="16">
        <f t="shared" ca="1" si="3"/>
        <v>19.182326034063259</v>
      </c>
      <c r="Y17" s="12">
        <f t="shared" ca="1" si="4"/>
        <v>-4.7077693290449085E-2</v>
      </c>
      <c r="Z17" s="51">
        <f ca="1">IF(V17&lt;Bewertung_Stammdaten!B$25,Bewertung_Stammdaten!A$25,IF(V17&lt;Bewertung_Stammdaten!B$26,Bewertung_Stammdaten!A$26,IF(V17&lt;Bewertung_Stammdaten!B$27,Bewertung_Stammdaten!A$27,IF(V17&lt;Bewertung_Stammdaten!B$28,Bewertung_Stammdaten!A$28,IF(V17&lt;Bewertung_Stammdaten!B$29,Bewertung_Stammdaten!A$29,IF(V17&lt;Bewertung_Stammdaten!B$30,Bewertung_Stammdaten!A$30,IF(V17&lt;Bewertung_Stammdaten!B$31,Bewertung_Stammdaten!A$31,IF(V17&lt;Bewertung_Stammdaten!B$32,Bewertung_Stammdaten!A$32,IF(V17&lt;Bewertung_Stammdaten!B$33,Bewertung_Stammdaten!A$33,Bewertung_Stammdaten!A$34)))))))))</f>
        <v>4.5</v>
      </c>
      <c r="AA17" s="51">
        <f>IF(W17&lt;Bewertung_Stammdaten!F$25,Bewertung_Stammdaten!E$25,IF(W17&lt;Bewertung_Stammdaten!F$26,Bewertung_Stammdaten!E$26,IF(W17&lt;Bewertung_Stammdaten!F$27,Bewertung_Stammdaten!E$27,IF(W17&lt;Bewertung_Stammdaten!F$28,Bewertung_Stammdaten!E$28,IF(W17&lt;Bewertung_Stammdaten!F$29,Bewertung_Stammdaten!E$29,IF(W17&lt;Bewertung_Stammdaten!F$30,Bewertung_Stammdaten!E$30,IF(W17&lt;Bewertung_Stammdaten!F$31,Bewertung_Stammdaten!E$31,IF(W17&lt;Bewertung_Stammdaten!F$32,Bewertung_Stammdaten!E$32,IF(W17&lt;Bewertung_Stammdaten!F$33,Bewertung_Stammdaten!E$33,Bewertung_Stammdaten!E$34)))))))))</f>
        <v>7.5</v>
      </c>
      <c r="AB17" s="51">
        <f ca="1">IF(Y17&lt;Bewertung_Stammdaten!J$25,Bewertung_Stammdaten!I$25,IF(Y17&lt;Bewertung_Stammdaten!J$26,Bewertung_Stammdaten!I$26,IF(Y17&lt;Bewertung_Stammdaten!J$27,Bewertung_Stammdaten!I$27,IF(Y17&lt;Bewertung_Stammdaten!J$28,Bewertung_Stammdaten!I$28,IF(Y17&lt;Bewertung_Stammdaten!J$29,Bewertung_Stammdaten!I$29,IF(Y17&lt;Bewertung_Stammdaten!J$30,Bewertung_Stammdaten!I$30,IF(Y17&lt;Bewertung_Stammdaten!J$31,Bewertung_Stammdaten!I$31,IF(Y17&lt;Bewertung_Stammdaten!J$32,Bewertung_Stammdaten!I$32,IF(Y17&lt;Bewertung_Stammdaten!J$33,Bewertung_Stammdaten!I$33,Bewertung_Stammdaten!I$34)))))))))</f>
        <v>2</v>
      </c>
      <c r="AC17" s="43"/>
      <c r="AD17" s="14">
        <f ca="1">VLOOKUP(A17,Ergebnis_je_Aktie_verwässert!A$3:AK$103,23,FALSE)</f>
        <v>2.9716666666666667</v>
      </c>
      <c r="AE17" s="14">
        <f>VLOOKUP(A17,Ergebnis_je_Aktie_verwässert!A$3:AK$103,19,FALSE)</f>
        <v>2.7061538461538461</v>
      </c>
      <c r="AF17" s="12">
        <f ca="1">VLOOKUP(A17,Ergebnis_je_Aktie_verwässert!A$3:AK$103,24,FALSE)</f>
        <v>9.8114458972901275E-2</v>
      </c>
      <c r="AG17" s="40">
        <f>VLOOKUP(A17,Ergebnis_je_Aktie_verwässert!A$3:AK$103,37,FALSE)</f>
        <v>-0.3393501805054151</v>
      </c>
      <c r="AH17" s="16">
        <f t="shared" ca="1" si="5"/>
        <v>1.963231046931408</v>
      </c>
      <c r="AI17" s="12">
        <f t="shared" ca="1" si="6"/>
        <v>-0.27453088089515909</v>
      </c>
      <c r="AJ17" s="32">
        <f ca="1">IF(AF17&lt;Bewertung_Stammdaten!B$38,Bewertung_Stammdaten!A$38,IF(AF17&lt;Bewertung_Stammdaten!B$39,Bewertung_Stammdaten!A$39,IF(AF17&lt;Bewertung_Stammdaten!B$40,Bewertung_Stammdaten!A$40,IF(AF17&lt;Bewertung_Stammdaten!B$41,Bewertung_Stammdaten!A$41,IF(AF17&lt;Bewertung_Stammdaten!B$42,Bewertung_Stammdaten!A$42,IF(AF17&lt;Bewertung_Stammdaten!B$43,Bewertung_Stammdaten!A$43,IF(AF17&lt;Bewertung_Stammdaten!B$44,Bewertung_Stammdaten!A$44,IF(AF17&lt;Bewertung_Stammdaten!B$45,Bewertung_Stammdaten!A$45,IF(AF17&lt;Bewertung_Stammdaten!B$46,Bewertung_Stammdaten!A$46,Bewertung_Stammdaten!A$47)))))))))</f>
        <v>8</v>
      </c>
      <c r="AK17" s="32">
        <f>IF(AG17&lt;Bewertung_Stammdaten!F$38,Bewertung_Stammdaten!E$38,IF(AG17&lt;Bewertung_Stammdaten!F$39,Bewertung_Stammdaten!E$39,IF(AG17&lt;Bewertung_Stammdaten!F$40,Bewertung_Stammdaten!E$40,IF(AG17&lt;Bewertung_Stammdaten!F$41,Bewertung_Stammdaten!E$41,IF(AG17&lt;Bewertung_Stammdaten!F$42,Bewertung_Stammdaten!E$42,IF(AG17&lt;Bewertung_Stammdaten!F$43,Bewertung_Stammdaten!E$43,IF(AG17&lt;Bewertung_Stammdaten!F$44,Bewertung_Stammdaten!E$44,IF(AG17&lt;Bewertung_Stammdaten!F$45,Bewertung_Stammdaten!E$45,IF(AG17&lt;Bewertung_Stammdaten!F$46,Bewertung_Stammdaten!E$46,Bewertung_Stammdaten!E$47)))))))))</f>
        <v>6</v>
      </c>
      <c r="AL17" s="32">
        <f ca="1">IF(AI17&lt;Bewertung_Stammdaten!J$38,Bewertung_Stammdaten!I$38,IF(AI17&lt;Bewertung_Stammdaten!J$39,Bewertung_Stammdaten!I$39,IF(AI17&lt;Bewertung_Stammdaten!J$40,Bewertung_Stammdaten!I$40,IF(AI17&lt;Bewertung_Stammdaten!J$41,Bewertung_Stammdaten!I$41,IF(AI17&lt;Bewertung_Stammdaten!J$42,Bewertung_Stammdaten!I$42,IF(AI17&lt;Bewertung_Stammdaten!J$43,Bewertung_Stammdaten!I$43,IF(AI17&lt;Bewertung_Stammdaten!J$44,Bewertung_Stammdaten!I$44,IF(AI17&lt;Bewertung_Stammdaten!J$45,Bewertung_Stammdaten!I$45,IF(AI17&lt;Bewertung_Stammdaten!J$46,Bewertung_Stammdaten!I$46,Bewertung_Stammdaten!I$47)))))))))</f>
        <v>1</v>
      </c>
      <c r="AM17" s="43"/>
      <c r="AN17" s="14">
        <f ca="1">VLOOKUP(A17,Dividende_je_Aktie!A$3:AM$103,24,FALSE)</f>
        <v>1.6206666666666667</v>
      </c>
      <c r="AO17" s="14">
        <f>VLOOKUP(A17,Dividende_je_Aktie!A$3:AM$103,20,FALSE)</f>
        <v>1.3035714285714286</v>
      </c>
      <c r="AP17" s="12">
        <f ca="1">VLOOKUP(A17,Dividende_je_Aktie!A$3:AM$103,25,FALSE)</f>
        <v>0.24325114155251137</v>
      </c>
      <c r="AQ17" s="40">
        <f>VLOOKUP(A17,Dividende_je_Aktie!A$3:AM$103,39,FALSE)</f>
        <v>0</v>
      </c>
      <c r="AR17" s="16">
        <f t="shared" ca="1" si="7"/>
        <v>1.6206666666666667</v>
      </c>
      <c r="AS17" s="12">
        <f t="shared" ca="1" si="8"/>
        <v>0.24325114155251137</v>
      </c>
      <c r="AT17" s="32">
        <f ca="1">IF(AP17&lt;Bewertung_Stammdaten!B$51,Bewertung_Stammdaten!A$51,IF(AP17&lt;Bewertung_Stammdaten!B$52,Bewertung_Stammdaten!A$52,IF(AP17&lt;Bewertung_Stammdaten!B$53,Bewertung_Stammdaten!A$53,IF(AP17&lt;Bewertung_Stammdaten!B$54,Bewertung_Stammdaten!A$54,IF(AP17&lt;Bewertung_Stammdaten!B$55,Bewertung_Stammdaten!A$55,IF(AP17&lt;Bewertung_Stammdaten!B$56,Bewertung_Stammdaten!A$56,IF(AP17&lt;Bewertung_Stammdaten!B$57,Bewertung_Stammdaten!A$57,IF(AP17&lt;Bewertung_Stammdaten!B$58,Bewertung_Stammdaten!A$58,IF(AP17&lt;Bewertung_Stammdaten!B$59,Bewertung_Stammdaten!A$59,Bewertung_Stammdaten!A$60)))))))))</f>
        <v>10</v>
      </c>
      <c r="AU17" s="32">
        <f>IF(AQ17&lt;Bewertung_Stammdaten!F$51,Bewertung_Stammdaten!E$51,IF(AQ17&lt;Bewertung_Stammdaten!F$52,Bewertung_Stammdaten!E$52,IF(AQ17&lt;Bewertung_Stammdaten!F$53,Bewertung_Stammdaten!E$53,IF(AQ17&lt;Bewertung_Stammdaten!F$54,Bewertung_Stammdaten!E$54,IF(AQ17&lt;Bewertung_Stammdaten!F$55,Bewertung_Stammdaten!E$55,IF(AQ17&lt;Bewertung_Stammdaten!F$56,Bewertung_Stammdaten!E$56,IF(AQ17&lt;Bewertung_Stammdaten!F$57,Bewertung_Stammdaten!E$57,IF(AQ17&lt;Bewertung_Stammdaten!F$58,Bewertung_Stammdaten!E$58,IF(AQ17&lt;Bewertung_Stammdaten!F$59,Bewertung_Stammdaten!E$59,Bewertung_Stammdaten!E$60)))))))))</f>
        <v>12</v>
      </c>
      <c r="AV17" s="32">
        <f ca="1">IF(AS17&lt;Bewertung_Stammdaten!J$51,Bewertung_Stammdaten!I$51,IF(AS17&lt;Bewertung_Stammdaten!J$52,Bewertung_Stammdaten!I$52,IF(AS17&lt;Bewertung_Stammdaten!J$53,Bewertung_Stammdaten!I$53,IF(AS17&lt;Bewertung_Stammdaten!J$54,Bewertung_Stammdaten!I$54,IF(AS17&lt;Bewertung_Stammdaten!J$55,Bewertung_Stammdaten!I$55,IF(AS17&lt;Bewertung_Stammdaten!J$56,Bewertung_Stammdaten!I$56,IF(AS17&lt;Bewertung_Stammdaten!J$57,Bewertung_Stammdaten!I$57,IF(AS17&lt;Bewertung_Stammdaten!J$58,Bewertung_Stammdaten!I$58,IF(AS17&lt;Bewertung_Stammdaten!J$59,Bewertung_Stammdaten!I$59,Bewertung_Stammdaten!I$60)))))))))</f>
        <v>6</v>
      </c>
      <c r="AW17" s="43"/>
      <c r="AX17" s="12">
        <f ca="1">VLOOKUP(A17,Dividendenrendite!A$3:R$103,17,FALSE)</f>
        <v>2.5173449311380349E-2</v>
      </c>
      <c r="AY17" s="12">
        <f>VLOOKUP(A17,Dividendenrendite!A$3:R$103,16,FALSE)</f>
        <v>2.4765750184243533E-2</v>
      </c>
      <c r="AZ17" s="12">
        <f ca="1">VLOOKUP(A17,Dividendenrendite!A$3:R$103,18,FALSE)</f>
        <v>1.6462215927389945E-2</v>
      </c>
      <c r="BA17" s="32">
        <f ca="1">IF(AX17&lt;Bewertung_Stammdaten!B$64,Bewertung_Stammdaten!A$64,IF(AX17&lt;Bewertung_Stammdaten!B$65,Bewertung_Stammdaten!A$65,IF(AX17&lt;Bewertung_Stammdaten!B$66,Bewertung_Stammdaten!A$66,IF(AX17&lt;Bewertung_Stammdaten!B$67,Bewertung_Stammdaten!A$67,IF(AX17&lt;Bewertung_Stammdaten!B$68,Bewertung_Stammdaten!A$68,IF(AX17&lt;Bewertung_Stammdaten!B$69,Bewertung_Stammdaten!A$69,IF(AX17&lt;Bewertung_Stammdaten!B$70,Bewertung_Stammdaten!A$70,IF(AX17&lt;Bewertung_Stammdaten!B$71,Bewertung_Stammdaten!A$71,IF(AX17&lt;Bewertung_Stammdaten!B$72,Bewertung_Stammdaten!A$72,Bewertung_Stammdaten!A$73)))))))))</f>
        <v>9</v>
      </c>
      <c r="BB17" s="32">
        <f>IF(AY17&lt;Bewertung_Stammdaten!F$64,Bewertung_Stammdaten!E$64,IF(AY17&lt;Bewertung_Stammdaten!F$65,Bewertung_Stammdaten!E$65,IF(AY17&lt;Bewertung_Stammdaten!F$66,Bewertung_Stammdaten!E$66,IF(AY17&lt;Bewertung_Stammdaten!F$67,Bewertung_Stammdaten!E$67,IF(AY17&lt;Bewertung_Stammdaten!F$68,Bewertung_Stammdaten!E$68,IF(AY17&lt;Bewertung_Stammdaten!F$69,Bewertung_Stammdaten!E$69,IF(AY17&lt;Bewertung_Stammdaten!F$70,Bewertung_Stammdaten!E$70,IF(AY17&lt;Bewertung_Stammdaten!F$71,Bewertung_Stammdaten!E$71,IF(AY17&lt;Bewertung_Stammdaten!F$72,Bewertung_Stammdaten!E$72,Bewertung_Stammdaten!E$73)))))))))</f>
        <v>5</v>
      </c>
      <c r="BC17" s="32">
        <f ca="1">IF(AZ17&lt;Bewertung_Stammdaten!J$64,Bewertung_Stammdaten!I$64,IF(AZ17&lt;Bewertung_Stammdaten!J$65,Bewertung_Stammdaten!I$65,IF(AZ17&lt;Bewertung_Stammdaten!J$66,Bewertung_Stammdaten!I$66,IF(AZ17&lt;Bewertung_Stammdaten!J$67,Bewertung_Stammdaten!I$67,IF(AZ17&lt;Bewertung_Stammdaten!J$68,Bewertung_Stammdaten!I$68,IF(AZ17&lt;Bewertung_Stammdaten!J$69,Bewertung_Stammdaten!I$69,IF(AZ17&lt;Bewertung_Stammdaten!J$70,Bewertung_Stammdaten!I$70,IF(AZ17&lt;Bewertung_Stammdaten!J$71,Bewertung_Stammdaten!I$71,IF(AZ17&lt;Bewertung_Stammdaten!J$72,Bewertung_Stammdaten!I$72,Bewertung_Stammdaten!I$73)))))))))</f>
        <v>3</v>
      </c>
      <c r="BD17" s="43"/>
      <c r="BE17" s="12">
        <f>VLOOKUP(A17,Aktien_im_Umlauf_splitbereinigt!A$3:Z$103,26,FALSE)</f>
        <v>2.3293884928890618E-2</v>
      </c>
      <c r="BF17" s="12">
        <f>VLOOKUP(A17,Aktien_im_Umlauf_splitbereinigt!A$3:Y$103,24,FALSE)</f>
        <v>1.609755900711422E-2</v>
      </c>
      <c r="BG17" s="12">
        <f>VLOOKUP(A17,Aktien_im_Umlauf_splitbereinigt!A$3:Y$103,25,FALSE)</f>
        <v>-99.999989999999997</v>
      </c>
      <c r="BH17" s="41">
        <f>IF(BE17&lt;Bewertung_Stammdaten!B$77,Bewertung_Stammdaten!A$77,IF(BE17&lt;Bewertung_Stammdaten!B$78,Bewertung_Stammdaten!A$78,IF(BE17&lt;Bewertung_Stammdaten!B$79,Bewertung_Stammdaten!A$79,IF(BE17&lt;Bewertung_Stammdaten!B$80,Bewertung_Stammdaten!A$80,IF(BE17&lt;Bewertung_Stammdaten!B$81,Bewertung_Stammdaten!A$81,IF(BE17&lt;Bewertung_Stammdaten!B$82,Bewertung_Stammdaten!A$82,IF(BE17&lt;Bewertung_Stammdaten!B$83,Bewertung_Stammdaten!A$83,IF(BE17&lt;Bewertung_Stammdaten!B$84,Bewertung_Stammdaten!A$84,IF(BE17&lt;Bewertung_Stammdaten!B$85,Bewertung_Stammdaten!A$85,Bewertung_Stammdaten!A$86)))))))))</f>
        <v>1</v>
      </c>
      <c r="BI17" s="41">
        <f>IF(BF17&lt;Bewertung_Stammdaten!F$77,Bewertung_Stammdaten!E$77,IF(BF17&lt;Bewertung_Stammdaten!F$78,Bewertung_Stammdaten!E$78,IF(BF17&lt;Bewertung_Stammdaten!F$79,Bewertung_Stammdaten!E$79,IF(BF17&lt;Bewertung_Stammdaten!F$80,Bewertung_Stammdaten!E$80,IF(BF17&lt;Bewertung_Stammdaten!F$81,Bewertung_Stammdaten!E$81,IF(BF17&lt;Bewertung_Stammdaten!F$82,Bewertung_Stammdaten!E$82,IF(BF17&lt;Bewertung_Stammdaten!F$83,Bewertung_Stammdaten!E$83,IF(BF17&lt;Bewertung_Stammdaten!F$84,Bewertung_Stammdaten!E$84,IF(BF17&lt;Bewertung_Stammdaten!F$85,Bewertung_Stammdaten!E$85,Bewertung_Stammdaten!E$86)))))))))</f>
        <v>1</v>
      </c>
      <c r="BJ17" s="41">
        <f>IF(BG17&lt;Bewertung_Stammdaten!J$77,Bewertung_Stammdaten!I$77,IF(BG17&lt;Bewertung_Stammdaten!J$78,Bewertung_Stammdaten!I$78,IF(BG17&lt;Bewertung_Stammdaten!J$79,Bewertung_Stammdaten!I$79,IF(BG17&lt;Bewertung_Stammdaten!J$80,Bewertung_Stammdaten!I$80,IF(BG17&lt;Bewertung_Stammdaten!J$81,Bewertung_Stammdaten!I$81,IF(BG17&lt;Bewertung_Stammdaten!J$82,Bewertung_Stammdaten!I$82,IF(BG17&lt;Bewertung_Stammdaten!J$83,Bewertung_Stammdaten!I$83,IF(BG17&lt;Bewertung_Stammdaten!J$84,Bewertung_Stammdaten!I$84,IF(BG17&lt;Bewertung_Stammdaten!J$85,Bewertung_Stammdaten!I$85,Bewertung_Stammdaten!I$86)))))))))</f>
        <v>0.5</v>
      </c>
      <c r="BK17" s="43"/>
      <c r="BL17" s="12">
        <f ca="1">VLOOKUP(A17,Ausschüttungsquote!A$3:X$103,23,FALSE)</f>
        <v>0.54569516042163579</v>
      </c>
      <c r="BM17" s="12">
        <f>VLOOKUP(A17,Ausschüttungsquote!A$3:X$103,19,FALSE)</f>
        <v>0.51041324024104473</v>
      </c>
      <c r="BN17" s="12">
        <f ca="1">VLOOKUP(A17,Ausschüttungsquote!A$3:X$103,24,FALSE)</f>
        <v>6.9124226017195367E-2</v>
      </c>
      <c r="BO17" s="32">
        <f ca="1">IF(BL17&lt;Bewertung_Stammdaten!B$90,Bewertung_Stammdaten!A$90,IF(BL17&lt;Bewertung_Stammdaten!B$91,Bewertung_Stammdaten!A$91,IF(BL17&lt;Bewertung_Stammdaten!B$92,Bewertung_Stammdaten!A$92,IF(BL17&lt;Bewertung_Stammdaten!B$93,Bewertung_Stammdaten!A$93,IF(BL17&lt;Bewertung_Stammdaten!B$94,Bewertung_Stammdaten!A$94,IF(BL17&lt;Bewertung_Stammdaten!B$95,Bewertung_Stammdaten!A$95,IF(BL17&lt;Bewertung_Stammdaten!B$96,Bewertung_Stammdaten!A$96,IF(BL17&lt;Bewertung_Stammdaten!B$97,Bewertung_Stammdaten!A$97,IF(BL17&lt;Bewertung_Stammdaten!B$98,Bewertung_Stammdaten!A$98,Bewertung_Stammdaten!A$99)))))))))</f>
        <v>7</v>
      </c>
      <c r="BP17" s="41">
        <f>IF(BM17&lt;Bewertung_Stammdaten!F$90,Bewertung_Stammdaten!E$90,IF(BM17&lt;Bewertung_Stammdaten!F$91,Bewertung_Stammdaten!E$91,IF(BM17&lt;Bewertung_Stammdaten!F$92,Bewertung_Stammdaten!E$92,IF(BM17&lt;Bewertung_Stammdaten!F$93,Bewertung_Stammdaten!E$93,IF(BM17&lt;Bewertung_Stammdaten!F$94,Bewertung_Stammdaten!E$94,IF(BM17&lt;Bewertung_Stammdaten!F$95,Bewertung_Stammdaten!E$95,IF(BM17&lt;Bewertung_Stammdaten!F$96,Bewertung_Stammdaten!E$96,IF(BM17&lt;Bewertung_Stammdaten!F$97,Bewertung_Stammdaten!E$97,IF(BM17&lt;Bewertung_Stammdaten!F$98,Bewertung_Stammdaten!E$98,Bewertung_Stammdaten!E$99)))))))))</f>
        <v>7</v>
      </c>
      <c r="BQ17" s="32">
        <f ca="1">IF(BN17&lt;Bewertung_Stammdaten!J$90,Bewertung_Stammdaten!I$90,IF(BN17&lt;Bewertung_Stammdaten!J$91,Bewertung_Stammdaten!I$91,IF(BN17&lt;Bewertung_Stammdaten!J$92,Bewertung_Stammdaten!I$92,IF(BN17&lt;Bewertung_Stammdaten!J$93,Bewertung_Stammdaten!I$93,IF(BN17&lt;Bewertung_Stammdaten!J$94,Bewertung_Stammdaten!I$94,IF(BN17&lt;Bewertung_Stammdaten!J$95,Bewertung_Stammdaten!I$95,IF(BN17&lt;Bewertung_Stammdaten!J$96,Bewertung_Stammdaten!I$96,IF(BN17&lt;Bewertung_Stammdaten!J$97,Bewertung_Stammdaten!I$97,IF(BN17&lt;Bewertung_Stammdaten!J$98,Bewertung_Stammdaten!I$98,Bewertung_Stammdaten!I$99)))))))))</f>
        <v>4</v>
      </c>
    </row>
    <row r="18" spans="1:69" x14ac:dyDescent="0.25">
      <c r="A18" s="38" t="s">
        <v>30</v>
      </c>
      <c r="B18" s="38" t="s">
        <v>31</v>
      </c>
      <c r="C18" s="38" t="s">
        <v>296</v>
      </c>
      <c r="D18" s="32">
        <f t="shared" ca="1" si="0"/>
        <v>134</v>
      </c>
      <c r="E18" s="43"/>
      <c r="F18" s="66">
        <v>1</v>
      </c>
      <c r="G18" s="11">
        <f ca="1">VLOOKUP(A18,KGV!A$3:R$103,17,FALSE)</f>
        <v>17.299070676772274</v>
      </c>
      <c r="H18" s="11">
        <f>VLOOKUP(A18,KGV!A$3:R$103,16,FALSE)</f>
        <v>15.51015228426396</v>
      </c>
      <c r="I18" s="12">
        <f ca="1">VLOOKUP(A18,KGV!A$3:R$103,18,FALSE)</f>
        <v>0.11533854469780325</v>
      </c>
      <c r="J18" s="16">
        <f t="shared" ca="1" si="1"/>
        <v>21.235386160109677</v>
      </c>
      <c r="K18" s="12">
        <f t="shared" ca="1" si="2"/>
        <v>0.36912815367095608</v>
      </c>
      <c r="L18" s="11">
        <f ca="1">VLOOKUP(A18,KBV!A$3:R$103,17,FALSE)</f>
        <v>9.1651176979723878</v>
      </c>
      <c r="M18" s="11">
        <f>VLOOKUP(A18,KBV!A$3:R$103,16,FALSE)</f>
        <v>8.2804878048780495</v>
      </c>
      <c r="N18" s="12">
        <f ca="1">VLOOKUP(A18,KBV!A$3:R$103,18,FALSE)</f>
        <v>0.10683306514541346</v>
      </c>
      <c r="O18" s="16">
        <f t="shared" ca="1" si="9"/>
        <v>11.01835840895945</v>
      </c>
      <c r="P18" s="12">
        <f t="shared" ca="1" si="10"/>
        <v>0.3306412217005521</v>
      </c>
      <c r="Q18" s="32">
        <f ca="1">IF(F18=1,IF(I18&lt;Bewertung_Stammdaten!B$12,Bewertung_Stammdaten!A$12,IF(I18&lt;Bewertung_Stammdaten!B$13,Bewertung_Stammdaten!A$13,IF(I18&lt;Bewertung_Stammdaten!B$14,Bewertung_Stammdaten!A$14,IF(I18&lt;Bewertung_Stammdaten!B$15,Bewertung_Stammdaten!A$15,IF(I18&lt;Bewertung_Stammdaten!B$16,Bewertung_Stammdaten!A$16,IF(I18&lt;Bewertung_Stammdaten!B$17,Bewertung_Stammdaten!A$17,IF(I18&lt;Bewertung_Stammdaten!B$18,Bewertung_Stammdaten!A$18,IF(I18&lt;Bewertung_Stammdaten!B$19,Bewertung_Stammdaten!A$19,IF(I18&lt;Bewertung_Stammdaten!B$20,Bewertung_Stammdaten!A$20,Bewertung_Stammdaten!A$21))))))))),IF(N18&lt;Bewertung_Stammdaten!C$12,Bewertung_Stammdaten!A$12,IF(N18&lt;Bewertung_Stammdaten!C$13,Bewertung_Stammdaten!A$13,IF(N18&lt;Bewertung_Stammdaten!C$14,Bewertung_Stammdaten!A$14,IF(N18&lt;Bewertung_Stammdaten!C$15,Bewertung_Stammdaten!A$15,IF(N18&lt;Bewertung_Stammdaten!C$16,Bewertung_Stammdaten!A$16,IF(N18&lt;Bewertung_Stammdaten!C$17,Bewertung_Stammdaten!A$17,IF(N18&lt;Bewertung_Stammdaten!C$18,Bewertung_Stammdaten!A$18,IF(N18&lt;Bewertung_Stammdaten!C$19,Bewertung_Stammdaten!A$19,IF(N18&lt;Bewertung_Stammdaten!C$20,Bewertung_Stammdaten!A$20,Bewertung_Stammdaten!A$21))))))))))</f>
        <v>24</v>
      </c>
      <c r="R18" s="32">
        <f ca="1">IF(F18=1,IF(K18&lt;Bewertung_Stammdaten!F$12,Bewertung_Stammdaten!E$12,IF(K18&lt;Bewertung_Stammdaten!F$13,Bewertung_Stammdaten!E$13,IF(K18&lt;Bewertung_Stammdaten!F$14,Bewertung_Stammdaten!E$14,IF(K18&lt;Bewertung_Stammdaten!F$15,Bewertung_Stammdaten!E$15,IF(K18&lt;Bewertung_Stammdaten!F$16,Bewertung_Stammdaten!E$16,IF(K18&lt;Bewertung_Stammdaten!F$17,Bewertung_Stammdaten!E$17,IF(K18&lt;Bewertung_Stammdaten!F$18,Bewertung_Stammdaten!E$18,IF(K18&lt;Bewertung_Stammdaten!F$19,Bewertung_Stammdaten!E$19,IF(K18&lt;Bewertung_Stammdaten!F$20,Bewertung_Stammdaten!E$20,Bewertung_Stammdaten!E$21))))))))),IF(P18&lt;Bewertung_Stammdaten!G$12,Bewertung_Stammdaten!E$12,IF(P18&lt;Bewertung_Stammdaten!G$13,Bewertung_Stammdaten!E$13,IF(P18&lt;Bewertung_Stammdaten!G$14,Bewertung_Stammdaten!E$14,IF(P18&lt;Bewertung_Stammdaten!G$15,Bewertung_Stammdaten!E$15,IF(P18&lt;Bewertung_Stammdaten!G$16,Bewertung_Stammdaten!E$16,IF(P18&lt;Bewertung_Stammdaten!G$17,Bewertung_Stammdaten!E$17,IF(P18&lt;Bewertung_Stammdaten!G$18,Bewertung_Stammdaten!E$18,IF(P18&lt;Bewertung_Stammdaten!G$19,Bewertung_Stammdaten!E$19,IF(P18&lt;Bewertung_Stammdaten!G$20,Bewertung_Stammdaten!E$20,Bewertung_Stammdaten!E$21))))))))))</f>
        <v>5</v>
      </c>
      <c r="S18" s="43"/>
      <c r="T18" s="11">
        <f ca="1">VLOOKUP(A18,Buchwert_je_Aktie!A$3:AK$103,23,FALSE)</f>
        <v>3.9153888888888888</v>
      </c>
      <c r="U18" s="11">
        <f>VLOOKUP(A18,Buchwert_je_Aktie!A$3:AK$103,19,FALSE)</f>
        <v>3.7363636363636363</v>
      </c>
      <c r="V18" s="12">
        <f ca="1">VLOOKUP(A18,Buchwert_je_Aktie!A$3:AK$103,24,FALSE)</f>
        <v>4.7914301162476303E-2</v>
      </c>
      <c r="W18" s="12">
        <f>VLOOKUP(A18,Buchwert_je_Aktie!A$3:AK$103,37,FALSE)</f>
        <v>-0.16819571865443417</v>
      </c>
      <c r="X18" s="16">
        <f t="shared" ca="1" si="3"/>
        <v>3.2568372409106359</v>
      </c>
      <c r="Y18" s="12">
        <f t="shared" ca="1" si="4"/>
        <v>-0.12834039780980544</v>
      </c>
      <c r="Z18" s="51">
        <f ca="1">IF(V18&lt;Bewertung_Stammdaten!B$25,Bewertung_Stammdaten!A$25,IF(V18&lt;Bewertung_Stammdaten!B$26,Bewertung_Stammdaten!A$26,IF(V18&lt;Bewertung_Stammdaten!B$27,Bewertung_Stammdaten!A$27,IF(V18&lt;Bewertung_Stammdaten!B$28,Bewertung_Stammdaten!A$28,IF(V18&lt;Bewertung_Stammdaten!B$29,Bewertung_Stammdaten!A$29,IF(V18&lt;Bewertung_Stammdaten!B$30,Bewertung_Stammdaten!A$30,IF(V18&lt;Bewertung_Stammdaten!B$31,Bewertung_Stammdaten!A$31,IF(V18&lt;Bewertung_Stammdaten!B$32,Bewertung_Stammdaten!A$32,IF(V18&lt;Bewertung_Stammdaten!B$33,Bewertung_Stammdaten!A$33,Bewertung_Stammdaten!A$34)))))))))</f>
        <v>4.5</v>
      </c>
      <c r="AA18" s="51">
        <f>IF(W18&lt;Bewertung_Stammdaten!F$25,Bewertung_Stammdaten!E$25,IF(W18&lt;Bewertung_Stammdaten!F$26,Bewertung_Stammdaten!E$26,IF(W18&lt;Bewertung_Stammdaten!F$27,Bewertung_Stammdaten!E$27,IF(W18&lt;Bewertung_Stammdaten!F$28,Bewertung_Stammdaten!E$28,IF(W18&lt;Bewertung_Stammdaten!F$29,Bewertung_Stammdaten!E$29,IF(W18&lt;Bewertung_Stammdaten!F$30,Bewertung_Stammdaten!E$30,IF(W18&lt;Bewertung_Stammdaten!F$31,Bewertung_Stammdaten!E$31,IF(W18&lt;Bewertung_Stammdaten!F$32,Bewertung_Stammdaten!E$32,IF(W18&lt;Bewertung_Stammdaten!F$33,Bewertung_Stammdaten!E$33,Bewertung_Stammdaten!E$34)))))))))</f>
        <v>6</v>
      </c>
      <c r="AB18" s="51">
        <f ca="1">IF(Y18&lt;Bewertung_Stammdaten!J$25,Bewertung_Stammdaten!I$25,IF(Y18&lt;Bewertung_Stammdaten!J$26,Bewertung_Stammdaten!I$26,IF(Y18&lt;Bewertung_Stammdaten!J$27,Bewertung_Stammdaten!I$27,IF(Y18&lt;Bewertung_Stammdaten!J$28,Bewertung_Stammdaten!I$28,IF(Y18&lt;Bewertung_Stammdaten!J$29,Bewertung_Stammdaten!I$29,IF(Y18&lt;Bewertung_Stammdaten!J$30,Bewertung_Stammdaten!I$30,IF(Y18&lt;Bewertung_Stammdaten!J$31,Bewertung_Stammdaten!I$31,IF(Y18&lt;Bewertung_Stammdaten!J$32,Bewertung_Stammdaten!I$32,IF(Y18&lt;Bewertung_Stammdaten!J$33,Bewertung_Stammdaten!I$33,Bewertung_Stammdaten!I$34)))))))))</f>
        <v>1</v>
      </c>
      <c r="AC18" s="43"/>
      <c r="AD18" s="14">
        <f ca="1">VLOOKUP(A18,Ergebnis_je_Aktie_verwässert!A$3:AK$103,23,FALSE)</f>
        <v>2.0743888888888891</v>
      </c>
      <c r="AE18" s="14">
        <f>VLOOKUP(A18,Ergebnis_je_Aktie_verwässert!A$3:AK$103,19,FALSE)</f>
        <v>1.719090909090909</v>
      </c>
      <c r="AF18" s="12">
        <f ca="1">VLOOKUP(A18,Ergebnis_je_Aktie_verwässert!A$3:AK$103,24,FALSE)</f>
        <v>0.2066778306598509</v>
      </c>
      <c r="AG18" s="40">
        <f>VLOOKUP(A18,Ergebnis_je_Aktie_verwässert!A$3:AK$103,37,FALSE)</f>
        <v>-0.18536585365853653</v>
      </c>
      <c r="AH18" s="16">
        <f t="shared" ca="1" si="5"/>
        <v>1.6898680216802171</v>
      </c>
      <c r="AI18" s="12">
        <f t="shared" ca="1" si="6"/>
        <v>-1.6999035511243266E-2</v>
      </c>
      <c r="AJ18" s="32">
        <f ca="1">IF(AF18&lt;Bewertung_Stammdaten!B$38,Bewertung_Stammdaten!A$38,IF(AF18&lt;Bewertung_Stammdaten!B$39,Bewertung_Stammdaten!A$39,IF(AF18&lt;Bewertung_Stammdaten!B$40,Bewertung_Stammdaten!A$40,IF(AF18&lt;Bewertung_Stammdaten!B$41,Bewertung_Stammdaten!A$41,IF(AF18&lt;Bewertung_Stammdaten!B$42,Bewertung_Stammdaten!A$42,IF(AF18&lt;Bewertung_Stammdaten!B$43,Bewertung_Stammdaten!A$43,IF(AF18&lt;Bewertung_Stammdaten!B$44,Bewertung_Stammdaten!A$44,IF(AF18&lt;Bewertung_Stammdaten!B$45,Bewertung_Stammdaten!A$45,IF(AF18&lt;Bewertung_Stammdaten!B$46,Bewertung_Stammdaten!A$46,Bewertung_Stammdaten!A$47)))))))))</f>
        <v>12</v>
      </c>
      <c r="AK18" s="32">
        <f>IF(AG18&lt;Bewertung_Stammdaten!F$38,Bewertung_Stammdaten!E$38,IF(AG18&lt;Bewertung_Stammdaten!F$39,Bewertung_Stammdaten!E$39,IF(AG18&lt;Bewertung_Stammdaten!F$40,Bewertung_Stammdaten!E$40,IF(AG18&lt;Bewertung_Stammdaten!F$41,Bewertung_Stammdaten!E$41,IF(AG18&lt;Bewertung_Stammdaten!F$42,Bewertung_Stammdaten!E$42,IF(AG18&lt;Bewertung_Stammdaten!F$43,Bewertung_Stammdaten!E$43,IF(AG18&lt;Bewertung_Stammdaten!F$44,Bewertung_Stammdaten!E$44,IF(AG18&lt;Bewertung_Stammdaten!F$45,Bewertung_Stammdaten!E$45,IF(AG18&lt;Bewertung_Stammdaten!F$46,Bewertung_Stammdaten!E$46,Bewertung_Stammdaten!E$47)))))))))</f>
        <v>9</v>
      </c>
      <c r="AL18" s="32">
        <f ca="1">IF(AI18&lt;Bewertung_Stammdaten!J$38,Bewertung_Stammdaten!I$38,IF(AI18&lt;Bewertung_Stammdaten!J$39,Bewertung_Stammdaten!I$39,IF(AI18&lt;Bewertung_Stammdaten!J$40,Bewertung_Stammdaten!I$40,IF(AI18&lt;Bewertung_Stammdaten!J$41,Bewertung_Stammdaten!I$41,IF(AI18&lt;Bewertung_Stammdaten!J$42,Bewertung_Stammdaten!I$42,IF(AI18&lt;Bewertung_Stammdaten!J$43,Bewertung_Stammdaten!I$43,IF(AI18&lt;Bewertung_Stammdaten!J$44,Bewertung_Stammdaten!I$44,IF(AI18&lt;Bewertung_Stammdaten!J$45,Bewertung_Stammdaten!I$45,IF(AI18&lt;Bewertung_Stammdaten!J$46,Bewertung_Stammdaten!I$46,Bewertung_Stammdaten!I$47)))))))))</f>
        <v>4</v>
      </c>
      <c r="AM18" s="43"/>
      <c r="AN18" s="14">
        <f ca="1">VLOOKUP(A18,Dividende_je_Aktie!A$3:AM$103,24,FALSE)</f>
        <v>1.5537222222222224</v>
      </c>
      <c r="AO18" s="14">
        <f>VLOOKUP(A18,Dividende_je_Aktie!A$3:AM$103,20,FALSE)</f>
        <v>1.2727272727272727</v>
      </c>
      <c r="AP18" s="12">
        <f ca="1">VLOOKUP(A18,Dividende_je_Aktie!A$3:AM$103,25,FALSE)</f>
        <v>0.22078174603174627</v>
      </c>
      <c r="AQ18" s="40">
        <f>VLOOKUP(A18,Dividende_je_Aktie!A$3:AM$103,39,FALSE)</f>
        <v>3.3783783783783772E-2</v>
      </c>
      <c r="AR18" s="16">
        <f t="shared" ca="1" si="7"/>
        <v>1.5537222222222224</v>
      </c>
      <c r="AS18" s="12">
        <f t="shared" ca="1" si="8"/>
        <v>0.22078174603174627</v>
      </c>
      <c r="AT18" s="32">
        <f ca="1">IF(AP18&lt;Bewertung_Stammdaten!B$51,Bewertung_Stammdaten!A$51,IF(AP18&lt;Bewertung_Stammdaten!B$52,Bewertung_Stammdaten!A$52,IF(AP18&lt;Bewertung_Stammdaten!B$53,Bewertung_Stammdaten!A$53,IF(AP18&lt;Bewertung_Stammdaten!B$54,Bewertung_Stammdaten!A$54,IF(AP18&lt;Bewertung_Stammdaten!B$55,Bewertung_Stammdaten!A$55,IF(AP18&lt;Bewertung_Stammdaten!B$56,Bewertung_Stammdaten!A$56,IF(AP18&lt;Bewertung_Stammdaten!B$57,Bewertung_Stammdaten!A$57,IF(AP18&lt;Bewertung_Stammdaten!B$58,Bewertung_Stammdaten!A$58,IF(AP18&lt;Bewertung_Stammdaten!B$59,Bewertung_Stammdaten!A$59,Bewertung_Stammdaten!A$60)))))))))</f>
        <v>10</v>
      </c>
      <c r="AU18" s="32">
        <f>IF(AQ18&lt;Bewertung_Stammdaten!F$51,Bewertung_Stammdaten!E$51,IF(AQ18&lt;Bewertung_Stammdaten!F$52,Bewertung_Stammdaten!E$52,IF(AQ18&lt;Bewertung_Stammdaten!F$53,Bewertung_Stammdaten!E$53,IF(AQ18&lt;Bewertung_Stammdaten!F$54,Bewertung_Stammdaten!E$54,IF(AQ18&lt;Bewertung_Stammdaten!F$55,Bewertung_Stammdaten!E$55,IF(AQ18&lt;Bewertung_Stammdaten!F$56,Bewertung_Stammdaten!E$56,IF(AQ18&lt;Bewertung_Stammdaten!F$57,Bewertung_Stammdaten!E$57,IF(AQ18&lt;Bewertung_Stammdaten!F$58,Bewertung_Stammdaten!E$58,IF(AQ18&lt;Bewertung_Stammdaten!F$59,Bewertung_Stammdaten!E$59,Bewertung_Stammdaten!E$60)))))))))</f>
        <v>12</v>
      </c>
      <c r="AV18" s="32">
        <f ca="1">IF(AS18&lt;Bewertung_Stammdaten!J$51,Bewertung_Stammdaten!I$51,IF(AS18&lt;Bewertung_Stammdaten!J$52,Bewertung_Stammdaten!I$52,IF(AS18&lt;Bewertung_Stammdaten!J$53,Bewertung_Stammdaten!I$53,IF(AS18&lt;Bewertung_Stammdaten!J$54,Bewertung_Stammdaten!I$54,IF(AS18&lt;Bewertung_Stammdaten!J$55,Bewertung_Stammdaten!I$55,IF(AS18&lt;Bewertung_Stammdaten!J$56,Bewertung_Stammdaten!I$56,IF(AS18&lt;Bewertung_Stammdaten!J$57,Bewertung_Stammdaten!I$57,IF(AS18&lt;Bewertung_Stammdaten!J$58,Bewertung_Stammdaten!I$58,IF(AS18&lt;Bewertung_Stammdaten!J$59,Bewertung_Stammdaten!I$59,Bewertung_Stammdaten!I$60)))))))))</f>
        <v>6</v>
      </c>
      <c r="AW18" s="43"/>
      <c r="AX18" s="12">
        <f ca="1">VLOOKUP(A18,Dividendenrendite!A$3:R$103,17,FALSE)</f>
        <v>4.3297261313145395E-2</v>
      </c>
      <c r="AY18" s="12">
        <f>VLOOKUP(A18,Dividendenrendite!A$3:R$103,16,FALSE)</f>
        <v>4.3430373026682803E-2</v>
      </c>
      <c r="AZ18" s="12">
        <f ca="1">VLOOKUP(A18,Dividendenrendite!A$3:R$103,18,FALSE)</f>
        <v>-3.0649452044915204E-3</v>
      </c>
      <c r="BA18" s="32">
        <f ca="1">IF(AX18&lt;Bewertung_Stammdaten!B$64,Bewertung_Stammdaten!A$64,IF(AX18&lt;Bewertung_Stammdaten!B$65,Bewertung_Stammdaten!A$65,IF(AX18&lt;Bewertung_Stammdaten!B$66,Bewertung_Stammdaten!A$66,IF(AX18&lt;Bewertung_Stammdaten!B$67,Bewertung_Stammdaten!A$67,IF(AX18&lt;Bewertung_Stammdaten!B$68,Bewertung_Stammdaten!A$68,IF(AX18&lt;Bewertung_Stammdaten!B$69,Bewertung_Stammdaten!A$69,IF(AX18&lt;Bewertung_Stammdaten!B$70,Bewertung_Stammdaten!A$70,IF(AX18&lt;Bewertung_Stammdaten!B$71,Bewertung_Stammdaten!A$71,IF(AX18&lt;Bewertung_Stammdaten!B$72,Bewertung_Stammdaten!A$72,Bewertung_Stammdaten!A$73)))))))))</f>
        <v>13.5</v>
      </c>
      <c r="BB18" s="32">
        <f>IF(AY18&lt;Bewertung_Stammdaten!F$64,Bewertung_Stammdaten!E$64,IF(AY18&lt;Bewertung_Stammdaten!F$65,Bewertung_Stammdaten!E$65,IF(AY18&lt;Bewertung_Stammdaten!F$66,Bewertung_Stammdaten!E$66,IF(AY18&lt;Bewertung_Stammdaten!F$67,Bewertung_Stammdaten!E$67,IF(AY18&lt;Bewertung_Stammdaten!F$68,Bewertung_Stammdaten!E$68,IF(AY18&lt;Bewertung_Stammdaten!F$69,Bewertung_Stammdaten!E$69,IF(AY18&lt;Bewertung_Stammdaten!F$70,Bewertung_Stammdaten!E$70,IF(AY18&lt;Bewertung_Stammdaten!F$71,Bewertung_Stammdaten!E$71,IF(AY18&lt;Bewertung_Stammdaten!F$72,Bewertung_Stammdaten!E$72,Bewertung_Stammdaten!E$73)))))))))</f>
        <v>9</v>
      </c>
      <c r="BC18" s="32">
        <f ca="1">IF(AZ18&lt;Bewertung_Stammdaten!J$64,Bewertung_Stammdaten!I$64,IF(AZ18&lt;Bewertung_Stammdaten!J$65,Bewertung_Stammdaten!I$65,IF(AZ18&lt;Bewertung_Stammdaten!J$66,Bewertung_Stammdaten!I$66,IF(AZ18&lt;Bewertung_Stammdaten!J$67,Bewertung_Stammdaten!I$67,IF(AZ18&lt;Bewertung_Stammdaten!J$68,Bewertung_Stammdaten!I$68,IF(AZ18&lt;Bewertung_Stammdaten!J$69,Bewertung_Stammdaten!I$69,IF(AZ18&lt;Bewertung_Stammdaten!J$70,Bewertung_Stammdaten!I$70,IF(AZ18&lt;Bewertung_Stammdaten!J$71,Bewertung_Stammdaten!I$71,IF(AZ18&lt;Bewertung_Stammdaten!J$72,Bewertung_Stammdaten!I$72,Bewertung_Stammdaten!I$73)))))))))</f>
        <v>2.5</v>
      </c>
      <c r="BD18" s="43"/>
      <c r="BE18" s="12">
        <f>VLOOKUP(A18,Aktien_im_Umlauf_splitbereinigt!A$3:Z$103,26,FALSE)</f>
        <v>4.9358341559724295E-4</v>
      </c>
      <c r="BF18" s="12">
        <f>VLOOKUP(A18,Aktien_im_Umlauf_splitbereinigt!A$3:Y$103,24,FALSE)</f>
        <v>1.4105865372728208E-4</v>
      </c>
      <c r="BG18" s="12">
        <f>VLOOKUP(A18,Aktien_im_Umlauf_splitbereinigt!A$3:Y$103,25,FALSE)</f>
        <v>-99.999989999999997</v>
      </c>
      <c r="BH18" s="41">
        <f>IF(BE18&lt;Bewertung_Stammdaten!B$77,Bewertung_Stammdaten!A$77,IF(BE18&lt;Bewertung_Stammdaten!B$78,Bewertung_Stammdaten!A$78,IF(BE18&lt;Bewertung_Stammdaten!B$79,Bewertung_Stammdaten!A$79,IF(BE18&lt;Bewertung_Stammdaten!B$80,Bewertung_Stammdaten!A$80,IF(BE18&lt;Bewertung_Stammdaten!B$81,Bewertung_Stammdaten!A$81,IF(BE18&lt;Bewertung_Stammdaten!B$82,Bewertung_Stammdaten!A$82,IF(BE18&lt;Bewertung_Stammdaten!B$83,Bewertung_Stammdaten!A$83,IF(BE18&lt;Bewertung_Stammdaten!B$84,Bewertung_Stammdaten!A$84,IF(BE18&lt;Bewertung_Stammdaten!B$85,Bewertung_Stammdaten!A$85,Bewertung_Stammdaten!A$86)))))))))</f>
        <v>2</v>
      </c>
      <c r="BI18" s="41">
        <f>IF(BF18&lt;Bewertung_Stammdaten!F$77,Bewertung_Stammdaten!E$77,IF(BF18&lt;Bewertung_Stammdaten!F$78,Bewertung_Stammdaten!E$78,IF(BF18&lt;Bewertung_Stammdaten!F$79,Bewertung_Stammdaten!E$79,IF(BF18&lt;Bewertung_Stammdaten!F$80,Bewertung_Stammdaten!E$80,IF(BF18&lt;Bewertung_Stammdaten!F$81,Bewertung_Stammdaten!E$81,IF(BF18&lt;Bewertung_Stammdaten!F$82,Bewertung_Stammdaten!E$82,IF(BF18&lt;Bewertung_Stammdaten!F$83,Bewertung_Stammdaten!E$83,IF(BF18&lt;Bewertung_Stammdaten!F$84,Bewertung_Stammdaten!E$84,IF(BF18&lt;Bewertung_Stammdaten!F$85,Bewertung_Stammdaten!E$85,Bewertung_Stammdaten!E$86)))))))))</f>
        <v>2</v>
      </c>
      <c r="BJ18" s="41">
        <f>IF(BG18&lt;Bewertung_Stammdaten!J$77,Bewertung_Stammdaten!I$77,IF(BG18&lt;Bewertung_Stammdaten!J$78,Bewertung_Stammdaten!I$78,IF(BG18&lt;Bewertung_Stammdaten!J$79,Bewertung_Stammdaten!I$79,IF(BG18&lt;Bewertung_Stammdaten!J$80,Bewertung_Stammdaten!I$80,IF(BG18&lt;Bewertung_Stammdaten!J$81,Bewertung_Stammdaten!I$81,IF(BG18&lt;Bewertung_Stammdaten!J$82,Bewertung_Stammdaten!I$82,IF(BG18&lt;Bewertung_Stammdaten!J$83,Bewertung_Stammdaten!I$83,IF(BG18&lt;Bewertung_Stammdaten!J$84,Bewertung_Stammdaten!I$84,IF(BG18&lt;Bewertung_Stammdaten!J$85,Bewertung_Stammdaten!I$85,Bewertung_Stammdaten!I$86)))))))))</f>
        <v>0.5</v>
      </c>
      <c r="BK18" s="43"/>
      <c r="BL18" s="12">
        <f ca="1">VLOOKUP(A18,Ausschüttungsquote!A$3:X$103,23,FALSE)</f>
        <v>0.74969847731041761</v>
      </c>
      <c r="BM18" s="12">
        <f>VLOOKUP(A18,Ausschüttungsquote!A$3:X$103,19,FALSE)</f>
        <v>0.73906812490346641</v>
      </c>
      <c r="BN18" s="12">
        <f ca="1">VLOOKUP(A18,Ausschüttungsquote!A$3:X$103,24,FALSE)</f>
        <v>1.4383454039963661E-2</v>
      </c>
      <c r="BO18" s="32">
        <f ca="1">IF(BL18&lt;Bewertung_Stammdaten!B$90,Bewertung_Stammdaten!A$90,IF(BL18&lt;Bewertung_Stammdaten!B$91,Bewertung_Stammdaten!A$91,IF(BL18&lt;Bewertung_Stammdaten!B$92,Bewertung_Stammdaten!A$92,IF(BL18&lt;Bewertung_Stammdaten!B$93,Bewertung_Stammdaten!A$93,IF(BL18&lt;Bewertung_Stammdaten!B$94,Bewertung_Stammdaten!A$94,IF(BL18&lt;Bewertung_Stammdaten!B$95,Bewertung_Stammdaten!A$95,IF(BL18&lt;Bewertung_Stammdaten!B$96,Bewertung_Stammdaten!A$96,IF(BL18&lt;Bewertung_Stammdaten!B$97,Bewertung_Stammdaten!A$97,IF(BL18&lt;Bewertung_Stammdaten!B$98,Bewertung_Stammdaten!A$98,Bewertung_Stammdaten!A$99)))))))))</f>
        <v>3</v>
      </c>
      <c r="BP18" s="41">
        <f>IF(BM18&lt;Bewertung_Stammdaten!F$90,Bewertung_Stammdaten!E$90,IF(BM18&lt;Bewertung_Stammdaten!F$91,Bewertung_Stammdaten!E$91,IF(BM18&lt;Bewertung_Stammdaten!F$92,Bewertung_Stammdaten!E$92,IF(BM18&lt;Bewertung_Stammdaten!F$93,Bewertung_Stammdaten!E$93,IF(BM18&lt;Bewertung_Stammdaten!F$94,Bewertung_Stammdaten!E$94,IF(BM18&lt;Bewertung_Stammdaten!F$95,Bewertung_Stammdaten!E$95,IF(BM18&lt;Bewertung_Stammdaten!F$96,Bewertung_Stammdaten!E$96,IF(BM18&lt;Bewertung_Stammdaten!F$97,Bewertung_Stammdaten!E$97,IF(BM18&lt;Bewertung_Stammdaten!F$98,Bewertung_Stammdaten!E$98,Bewertung_Stammdaten!E$99)))))))))</f>
        <v>3</v>
      </c>
      <c r="BQ18" s="32">
        <f ca="1">IF(BN18&lt;Bewertung_Stammdaten!J$90,Bewertung_Stammdaten!I$90,IF(BN18&lt;Bewertung_Stammdaten!J$91,Bewertung_Stammdaten!I$91,IF(BN18&lt;Bewertung_Stammdaten!J$92,Bewertung_Stammdaten!I$92,IF(BN18&lt;Bewertung_Stammdaten!J$93,Bewertung_Stammdaten!I$93,IF(BN18&lt;Bewertung_Stammdaten!J$94,Bewertung_Stammdaten!I$94,IF(BN18&lt;Bewertung_Stammdaten!J$95,Bewertung_Stammdaten!I$95,IF(BN18&lt;Bewertung_Stammdaten!J$96,Bewertung_Stammdaten!I$96,IF(BN18&lt;Bewertung_Stammdaten!J$97,Bewertung_Stammdaten!I$97,IF(BN18&lt;Bewertung_Stammdaten!J$98,Bewertung_Stammdaten!I$98,Bewertung_Stammdaten!I$99)))))))))</f>
        <v>5</v>
      </c>
    </row>
    <row r="19" spans="1:69" x14ac:dyDescent="0.25">
      <c r="A19" s="38" t="s">
        <v>32</v>
      </c>
      <c r="B19" s="38" t="s">
        <v>33</v>
      </c>
      <c r="C19" s="38" t="s">
        <v>296</v>
      </c>
      <c r="D19" s="32">
        <f t="shared" ca="1" si="0"/>
        <v>136</v>
      </c>
      <c r="E19" s="43"/>
      <c r="F19" s="66">
        <v>1</v>
      </c>
      <c r="G19" s="11">
        <f ca="1">VLOOKUP(A19,KGV!A$3:R$103,17,FALSE)</f>
        <v>17.929345266132827</v>
      </c>
      <c r="H19" s="11">
        <f>VLOOKUP(A19,KGV!A$3:R$103,16,FALSE)</f>
        <v>16.266666666666666</v>
      </c>
      <c r="I19" s="12">
        <f ca="1">VLOOKUP(A19,KGV!A$3:R$103,18,FALSE)</f>
        <v>0.10221384832783786</v>
      </c>
      <c r="J19" s="16">
        <f t="shared" ca="1" si="1"/>
        <v>46.669031060375154</v>
      </c>
      <c r="K19" s="12">
        <f t="shared" ca="1" si="2"/>
        <v>1.8689978110886365</v>
      </c>
      <c r="L19" s="11">
        <f ca="1">VLOOKUP(A19,KBV!A$3:R$103,17,FALSE)</f>
        <v>5.7174615095756653</v>
      </c>
      <c r="M19" s="11">
        <f>VLOOKUP(A19,KBV!A$3:R$103,16,FALSE)</f>
        <v>4.1109167060730929</v>
      </c>
      <c r="N19" s="12">
        <f ca="1">VLOOKUP(A19,KBV!A$3:R$103,18,FALSE)</f>
        <v>0.39079964844075032</v>
      </c>
      <c r="O19" s="16">
        <f t="shared" ca="1" si="9"/>
        <v>7.255610446665048</v>
      </c>
      <c r="P19" s="12">
        <f t="shared" ca="1" si="10"/>
        <v>0.76496167775578416</v>
      </c>
      <c r="Q19" s="32">
        <f ca="1">IF(F19=1,IF(I19&lt;Bewertung_Stammdaten!B$12,Bewertung_Stammdaten!A$12,IF(I19&lt;Bewertung_Stammdaten!B$13,Bewertung_Stammdaten!A$13,IF(I19&lt;Bewertung_Stammdaten!B$14,Bewertung_Stammdaten!A$14,IF(I19&lt;Bewertung_Stammdaten!B$15,Bewertung_Stammdaten!A$15,IF(I19&lt;Bewertung_Stammdaten!B$16,Bewertung_Stammdaten!A$16,IF(I19&lt;Bewertung_Stammdaten!B$17,Bewertung_Stammdaten!A$17,IF(I19&lt;Bewertung_Stammdaten!B$18,Bewertung_Stammdaten!A$18,IF(I19&lt;Bewertung_Stammdaten!B$19,Bewertung_Stammdaten!A$19,IF(I19&lt;Bewertung_Stammdaten!B$20,Bewertung_Stammdaten!A$20,Bewertung_Stammdaten!A$21))))))))),IF(N19&lt;Bewertung_Stammdaten!C$12,Bewertung_Stammdaten!A$12,IF(N19&lt;Bewertung_Stammdaten!C$13,Bewertung_Stammdaten!A$13,IF(N19&lt;Bewertung_Stammdaten!C$14,Bewertung_Stammdaten!A$14,IF(N19&lt;Bewertung_Stammdaten!C$15,Bewertung_Stammdaten!A$15,IF(N19&lt;Bewertung_Stammdaten!C$16,Bewertung_Stammdaten!A$16,IF(N19&lt;Bewertung_Stammdaten!C$17,Bewertung_Stammdaten!A$17,IF(N19&lt;Bewertung_Stammdaten!C$18,Bewertung_Stammdaten!A$18,IF(N19&lt;Bewertung_Stammdaten!C$19,Bewertung_Stammdaten!A$19,IF(N19&lt;Bewertung_Stammdaten!C$20,Bewertung_Stammdaten!A$20,Bewertung_Stammdaten!A$21))))))))))</f>
        <v>24</v>
      </c>
      <c r="R19" s="32">
        <f ca="1">IF(F19=1,IF(K19&lt;Bewertung_Stammdaten!F$12,Bewertung_Stammdaten!E$12,IF(K19&lt;Bewertung_Stammdaten!F$13,Bewertung_Stammdaten!E$13,IF(K19&lt;Bewertung_Stammdaten!F$14,Bewertung_Stammdaten!E$14,IF(K19&lt;Bewertung_Stammdaten!F$15,Bewertung_Stammdaten!E$15,IF(K19&lt;Bewertung_Stammdaten!F$16,Bewertung_Stammdaten!E$16,IF(K19&lt;Bewertung_Stammdaten!F$17,Bewertung_Stammdaten!E$17,IF(K19&lt;Bewertung_Stammdaten!F$18,Bewertung_Stammdaten!E$18,IF(K19&lt;Bewertung_Stammdaten!F$19,Bewertung_Stammdaten!E$19,IF(K19&lt;Bewertung_Stammdaten!F$20,Bewertung_Stammdaten!E$20,Bewertung_Stammdaten!E$21))))))))),IF(P19&lt;Bewertung_Stammdaten!G$12,Bewertung_Stammdaten!E$12,IF(P19&lt;Bewertung_Stammdaten!G$13,Bewertung_Stammdaten!E$13,IF(P19&lt;Bewertung_Stammdaten!G$14,Bewertung_Stammdaten!E$14,IF(P19&lt;Bewertung_Stammdaten!G$15,Bewertung_Stammdaten!E$15,IF(P19&lt;Bewertung_Stammdaten!G$16,Bewertung_Stammdaten!E$16,IF(P19&lt;Bewertung_Stammdaten!G$17,Bewertung_Stammdaten!E$17,IF(P19&lt;Bewertung_Stammdaten!G$18,Bewertung_Stammdaten!E$18,IF(P19&lt;Bewertung_Stammdaten!G$19,Bewertung_Stammdaten!E$19,IF(P19&lt;Bewertung_Stammdaten!G$20,Bewertung_Stammdaten!E$20,Bewertung_Stammdaten!E$21))))))))))</f>
        <v>2.5</v>
      </c>
      <c r="S19" s="43"/>
      <c r="T19" s="11">
        <f ca="1">VLOOKUP(A19,Buchwert_je_Aktie!A$3:AK$103,23,FALSE)</f>
        <v>5.5479166666666675</v>
      </c>
      <c r="U19" s="11">
        <f>VLOOKUP(A19,Buchwert_je_Aktie!A$3:AK$103,19,FALSE)</f>
        <v>5.8480000000000008</v>
      </c>
      <c r="V19" s="12">
        <f ca="1">VLOOKUP(A19,Buchwert_je_Aktie!A$3:AK$103,24,FALSE)</f>
        <v>-5.131383948928403E-2</v>
      </c>
      <c r="W19" s="12">
        <f>VLOOKUP(A19,Buchwert_je_Aktie!A$3:AK$103,37,FALSE)</f>
        <v>-0.21199442119944212</v>
      </c>
      <c r="X19" s="16">
        <f t="shared" ca="1" si="3"/>
        <v>4.3717892840539294</v>
      </c>
      <c r="Y19" s="12">
        <f t="shared" ca="1" si="4"/>
        <v>-0.25243001298667422</v>
      </c>
      <c r="Z19" s="51">
        <f ca="1">IF(V19&lt;Bewertung_Stammdaten!B$25,Bewertung_Stammdaten!A$25,IF(V19&lt;Bewertung_Stammdaten!B$26,Bewertung_Stammdaten!A$26,IF(V19&lt;Bewertung_Stammdaten!B$27,Bewertung_Stammdaten!A$27,IF(V19&lt;Bewertung_Stammdaten!B$28,Bewertung_Stammdaten!A$28,IF(V19&lt;Bewertung_Stammdaten!B$29,Bewertung_Stammdaten!A$29,IF(V19&lt;Bewertung_Stammdaten!B$30,Bewertung_Stammdaten!A$30,IF(V19&lt;Bewertung_Stammdaten!B$31,Bewertung_Stammdaten!A$31,IF(V19&lt;Bewertung_Stammdaten!B$32,Bewertung_Stammdaten!A$32,IF(V19&lt;Bewertung_Stammdaten!B$33,Bewertung_Stammdaten!A$33,Bewertung_Stammdaten!A$34)))))))))</f>
        <v>3</v>
      </c>
      <c r="AA19" s="51">
        <f>IF(W19&lt;Bewertung_Stammdaten!F$25,Bewertung_Stammdaten!E$25,IF(W19&lt;Bewertung_Stammdaten!F$26,Bewertung_Stammdaten!E$26,IF(W19&lt;Bewertung_Stammdaten!F$27,Bewertung_Stammdaten!E$27,IF(W19&lt;Bewertung_Stammdaten!F$28,Bewertung_Stammdaten!E$28,IF(W19&lt;Bewertung_Stammdaten!F$29,Bewertung_Stammdaten!E$29,IF(W19&lt;Bewertung_Stammdaten!F$30,Bewertung_Stammdaten!E$30,IF(W19&lt;Bewertung_Stammdaten!F$31,Bewertung_Stammdaten!E$31,IF(W19&lt;Bewertung_Stammdaten!F$32,Bewertung_Stammdaten!E$32,IF(W19&lt;Bewertung_Stammdaten!F$33,Bewertung_Stammdaten!E$33,Bewertung_Stammdaten!E$34)))))))))</f>
        <v>4.5</v>
      </c>
      <c r="AB19" s="51">
        <f ca="1">IF(Y19&lt;Bewertung_Stammdaten!J$25,Bewertung_Stammdaten!I$25,IF(Y19&lt;Bewertung_Stammdaten!J$26,Bewertung_Stammdaten!I$26,IF(Y19&lt;Bewertung_Stammdaten!J$27,Bewertung_Stammdaten!I$27,IF(Y19&lt;Bewertung_Stammdaten!J$28,Bewertung_Stammdaten!I$28,IF(Y19&lt;Bewertung_Stammdaten!J$29,Bewertung_Stammdaten!I$29,IF(Y19&lt;Bewertung_Stammdaten!J$30,Bewertung_Stammdaten!I$30,IF(Y19&lt;Bewertung_Stammdaten!J$31,Bewertung_Stammdaten!I$31,IF(Y19&lt;Bewertung_Stammdaten!J$32,Bewertung_Stammdaten!I$32,IF(Y19&lt;Bewertung_Stammdaten!J$33,Bewertung_Stammdaten!I$33,Bewertung_Stammdaten!I$34)))))))))</f>
        <v>1</v>
      </c>
      <c r="AC19" s="43"/>
      <c r="AD19" s="14">
        <f ca="1">VLOOKUP(A19,Ergebnis_je_Aktie_verwässert!A$3:AK$103,23,FALSE)</f>
        <v>1.7691666666666668</v>
      </c>
      <c r="AE19" s="14">
        <f>VLOOKUP(A19,Ergebnis_je_Aktie_verwässert!A$3:AK$103,19,FALSE)</f>
        <v>1.2863636363636364</v>
      </c>
      <c r="AF19" s="12">
        <f ca="1">VLOOKUP(A19,Ergebnis_je_Aktie_verwässert!A$3:AK$103,24,FALSE)</f>
        <v>0.37532391048292113</v>
      </c>
      <c r="AG19" s="40">
        <f>VLOOKUP(A19,Ergebnis_je_Aktie_verwässert!A$3:AK$103,37,FALSE)</f>
        <v>-0.61581920903954801</v>
      </c>
      <c r="AH19" s="16">
        <f t="shared" ca="1" si="5"/>
        <v>0.67967984934086634</v>
      </c>
      <c r="AI19" s="12">
        <f t="shared" ca="1" si="6"/>
        <v>-0.47162697224384953</v>
      </c>
      <c r="AJ19" s="32">
        <f ca="1">IF(AF19&lt;Bewertung_Stammdaten!B$38,Bewertung_Stammdaten!A$38,IF(AF19&lt;Bewertung_Stammdaten!B$39,Bewertung_Stammdaten!A$39,IF(AF19&lt;Bewertung_Stammdaten!B$40,Bewertung_Stammdaten!A$40,IF(AF19&lt;Bewertung_Stammdaten!B$41,Bewertung_Stammdaten!A$41,IF(AF19&lt;Bewertung_Stammdaten!B$42,Bewertung_Stammdaten!A$42,IF(AF19&lt;Bewertung_Stammdaten!B$43,Bewertung_Stammdaten!A$43,IF(AF19&lt;Bewertung_Stammdaten!B$44,Bewertung_Stammdaten!A$44,IF(AF19&lt;Bewertung_Stammdaten!B$45,Bewertung_Stammdaten!A$45,IF(AF19&lt;Bewertung_Stammdaten!B$46,Bewertung_Stammdaten!A$46,Bewertung_Stammdaten!A$47)))))))))</f>
        <v>14</v>
      </c>
      <c r="AK19" s="32">
        <f>IF(AG19&lt;Bewertung_Stammdaten!F$38,Bewertung_Stammdaten!E$38,IF(AG19&lt;Bewertung_Stammdaten!F$39,Bewertung_Stammdaten!E$39,IF(AG19&lt;Bewertung_Stammdaten!F$40,Bewertung_Stammdaten!E$40,IF(AG19&lt;Bewertung_Stammdaten!F$41,Bewertung_Stammdaten!E$41,IF(AG19&lt;Bewertung_Stammdaten!F$42,Bewertung_Stammdaten!E$42,IF(AG19&lt;Bewertung_Stammdaten!F$43,Bewertung_Stammdaten!E$43,IF(AG19&lt;Bewertung_Stammdaten!F$44,Bewertung_Stammdaten!E$44,IF(AG19&lt;Bewertung_Stammdaten!F$45,Bewertung_Stammdaten!E$45,IF(AG19&lt;Bewertung_Stammdaten!F$46,Bewertung_Stammdaten!E$46,Bewertung_Stammdaten!E$47)))))))))</f>
        <v>1.5</v>
      </c>
      <c r="AL19" s="32">
        <f ca="1">IF(AI19&lt;Bewertung_Stammdaten!J$38,Bewertung_Stammdaten!I$38,IF(AI19&lt;Bewertung_Stammdaten!J$39,Bewertung_Stammdaten!I$39,IF(AI19&lt;Bewertung_Stammdaten!J$40,Bewertung_Stammdaten!I$40,IF(AI19&lt;Bewertung_Stammdaten!J$41,Bewertung_Stammdaten!I$41,IF(AI19&lt;Bewertung_Stammdaten!J$42,Bewertung_Stammdaten!I$42,IF(AI19&lt;Bewertung_Stammdaten!J$43,Bewertung_Stammdaten!I$43,IF(AI19&lt;Bewertung_Stammdaten!J$44,Bewertung_Stammdaten!I$44,IF(AI19&lt;Bewertung_Stammdaten!J$45,Bewertung_Stammdaten!I$45,IF(AI19&lt;Bewertung_Stammdaten!J$46,Bewertung_Stammdaten!I$46,Bewertung_Stammdaten!I$47)))))))))</f>
        <v>1</v>
      </c>
      <c r="AM19" s="43"/>
      <c r="AN19" s="14">
        <f ca="1">VLOOKUP(A19,Dividende_je_Aktie!A$3:AM$103,24,FALSE)</f>
        <v>1.4769166666666669</v>
      </c>
      <c r="AO19" s="14">
        <f>VLOOKUP(A19,Dividende_je_Aktie!A$3:AM$103,20,FALSE)</f>
        <v>1.0781818181818184</v>
      </c>
      <c r="AP19" s="12">
        <f ca="1">VLOOKUP(A19,Dividende_je_Aktie!A$3:AM$103,25,FALSE)</f>
        <v>0.36982152894884757</v>
      </c>
      <c r="AQ19" s="40">
        <f>VLOOKUP(A19,Dividende_je_Aktie!A$3:AM$103,39,FALSE)</f>
        <v>5.0000000000000044E-2</v>
      </c>
      <c r="AR19" s="16">
        <f t="shared" ca="1" si="7"/>
        <v>1.4769166666666669</v>
      </c>
      <c r="AS19" s="12">
        <f t="shared" ca="1" si="8"/>
        <v>0.36982152894884757</v>
      </c>
      <c r="AT19" s="32">
        <f ca="1">IF(AP19&lt;Bewertung_Stammdaten!B$51,Bewertung_Stammdaten!A$51,IF(AP19&lt;Bewertung_Stammdaten!B$52,Bewertung_Stammdaten!A$52,IF(AP19&lt;Bewertung_Stammdaten!B$53,Bewertung_Stammdaten!A$53,IF(AP19&lt;Bewertung_Stammdaten!B$54,Bewertung_Stammdaten!A$54,IF(AP19&lt;Bewertung_Stammdaten!B$55,Bewertung_Stammdaten!A$55,IF(AP19&lt;Bewertung_Stammdaten!B$56,Bewertung_Stammdaten!A$56,IF(AP19&lt;Bewertung_Stammdaten!B$57,Bewertung_Stammdaten!A$57,IF(AP19&lt;Bewertung_Stammdaten!B$58,Bewertung_Stammdaten!A$58,IF(AP19&lt;Bewertung_Stammdaten!B$59,Bewertung_Stammdaten!A$59,Bewertung_Stammdaten!A$60)))))))))</f>
        <v>12</v>
      </c>
      <c r="AU19" s="32">
        <f>IF(AQ19&lt;Bewertung_Stammdaten!F$51,Bewertung_Stammdaten!E$51,IF(AQ19&lt;Bewertung_Stammdaten!F$52,Bewertung_Stammdaten!E$52,IF(AQ19&lt;Bewertung_Stammdaten!F$53,Bewertung_Stammdaten!E$53,IF(AQ19&lt;Bewertung_Stammdaten!F$54,Bewertung_Stammdaten!E$54,IF(AQ19&lt;Bewertung_Stammdaten!F$55,Bewertung_Stammdaten!E$55,IF(AQ19&lt;Bewertung_Stammdaten!F$56,Bewertung_Stammdaten!E$56,IF(AQ19&lt;Bewertung_Stammdaten!F$57,Bewertung_Stammdaten!E$57,IF(AQ19&lt;Bewertung_Stammdaten!F$58,Bewertung_Stammdaten!E$58,IF(AQ19&lt;Bewertung_Stammdaten!F$59,Bewertung_Stammdaten!E$59,Bewertung_Stammdaten!E$60)))))))))</f>
        <v>12</v>
      </c>
      <c r="AV19" s="32">
        <f ca="1">IF(AS19&lt;Bewertung_Stammdaten!J$51,Bewertung_Stammdaten!I$51,IF(AS19&lt;Bewertung_Stammdaten!J$52,Bewertung_Stammdaten!I$52,IF(AS19&lt;Bewertung_Stammdaten!J$53,Bewertung_Stammdaten!I$53,IF(AS19&lt;Bewertung_Stammdaten!J$54,Bewertung_Stammdaten!I$54,IF(AS19&lt;Bewertung_Stammdaten!J$55,Bewertung_Stammdaten!I$55,IF(AS19&lt;Bewertung_Stammdaten!J$56,Bewertung_Stammdaten!I$56,IF(AS19&lt;Bewertung_Stammdaten!J$57,Bewertung_Stammdaten!I$57,IF(AS19&lt;Bewertung_Stammdaten!J$58,Bewertung_Stammdaten!I$58,IF(AS19&lt;Bewertung_Stammdaten!J$59,Bewertung_Stammdaten!I$59,Bewertung_Stammdaten!I$60)))))))))</f>
        <v>8</v>
      </c>
      <c r="AW19" s="43"/>
      <c r="AX19" s="12">
        <f ca="1">VLOOKUP(A19,Dividendenrendite!A$3:R$103,17,FALSE)</f>
        <v>4.6561055065153435E-2</v>
      </c>
      <c r="AY19" s="12">
        <f>VLOOKUP(A19,Dividendenrendite!A$3:R$103,16,FALSE)</f>
        <v>4.2757507323127303E-2</v>
      </c>
      <c r="AZ19" s="12">
        <f ca="1">VLOOKUP(A19,Dividendenrendite!A$3:R$103,18,FALSE)</f>
        <v>8.8956255407546037E-2</v>
      </c>
      <c r="BA19" s="32">
        <f ca="1">IF(AX19&lt;Bewertung_Stammdaten!B$64,Bewertung_Stammdaten!A$64,IF(AX19&lt;Bewertung_Stammdaten!B$65,Bewertung_Stammdaten!A$65,IF(AX19&lt;Bewertung_Stammdaten!B$66,Bewertung_Stammdaten!A$66,IF(AX19&lt;Bewertung_Stammdaten!B$67,Bewertung_Stammdaten!A$67,IF(AX19&lt;Bewertung_Stammdaten!B$68,Bewertung_Stammdaten!A$68,IF(AX19&lt;Bewertung_Stammdaten!B$69,Bewertung_Stammdaten!A$69,IF(AX19&lt;Bewertung_Stammdaten!B$70,Bewertung_Stammdaten!A$70,IF(AX19&lt;Bewertung_Stammdaten!B$71,Bewertung_Stammdaten!A$71,IF(AX19&lt;Bewertung_Stammdaten!B$72,Bewertung_Stammdaten!A$72,Bewertung_Stammdaten!A$73)))))))))</f>
        <v>15</v>
      </c>
      <c r="BB19" s="32">
        <f>IF(AY19&lt;Bewertung_Stammdaten!F$64,Bewertung_Stammdaten!E$64,IF(AY19&lt;Bewertung_Stammdaten!F$65,Bewertung_Stammdaten!E$65,IF(AY19&lt;Bewertung_Stammdaten!F$66,Bewertung_Stammdaten!E$66,IF(AY19&lt;Bewertung_Stammdaten!F$67,Bewertung_Stammdaten!E$67,IF(AY19&lt;Bewertung_Stammdaten!F$68,Bewertung_Stammdaten!E$68,IF(AY19&lt;Bewertung_Stammdaten!F$69,Bewertung_Stammdaten!E$69,IF(AY19&lt;Bewertung_Stammdaten!F$70,Bewertung_Stammdaten!E$70,IF(AY19&lt;Bewertung_Stammdaten!F$71,Bewertung_Stammdaten!E$71,IF(AY19&lt;Bewertung_Stammdaten!F$72,Bewertung_Stammdaten!E$72,Bewertung_Stammdaten!E$73)))))))))</f>
        <v>9</v>
      </c>
      <c r="BC19" s="32">
        <f ca="1">IF(AZ19&lt;Bewertung_Stammdaten!J$64,Bewertung_Stammdaten!I$64,IF(AZ19&lt;Bewertung_Stammdaten!J$65,Bewertung_Stammdaten!I$65,IF(AZ19&lt;Bewertung_Stammdaten!J$66,Bewertung_Stammdaten!I$66,IF(AZ19&lt;Bewertung_Stammdaten!J$67,Bewertung_Stammdaten!I$67,IF(AZ19&lt;Bewertung_Stammdaten!J$68,Bewertung_Stammdaten!I$68,IF(AZ19&lt;Bewertung_Stammdaten!J$69,Bewertung_Stammdaten!I$69,IF(AZ19&lt;Bewertung_Stammdaten!J$70,Bewertung_Stammdaten!I$70,IF(AZ19&lt;Bewertung_Stammdaten!J$71,Bewertung_Stammdaten!I$71,IF(AZ19&lt;Bewertung_Stammdaten!J$72,Bewertung_Stammdaten!I$72,Bewertung_Stammdaten!I$73)))))))))</f>
        <v>3.5</v>
      </c>
      <c r="BD19" s="43"/>
      <c r="BE19" s="12">
        <f>VLOOKUP(A19,Aktien_im_Umlauf_splitbereinigt!A$3:Z$103,26,FALSE)</f>
        <v>-2.9962546816479363E-2</v>
      </c>
      <c r="BF19" s="12">
        <f>VLOOKUP(A19,Aktien_im_Umlauf_splitbereinigt!A$3:Y$103,24,FALSE)</f>
        <v>-4.9937578027465608E-3</v>
      </c>
      <c r="BG19" s="12">
        <f>VLOOKUP(A19,Aktien_im_Umlauf_splitbereinigt!A$3:Y$103,25,FALSE)</f>
        <v>5</v>
      </c>
      <c r="BH19" s="41">
        <f>IF(BE19&lt;Bewertung_Stammdaten!B$77,Bewertung_Stammdaten!A$77,IF(BE19&lt;Bewertung_Stammdaten!B$78,Bewertung_Stammdaten!A$78,IF(BE19&lt;Bewertung_Stammdaten!B$79,Bewertung_Stammdaten!A$79,IF(BE19&lt;Bewertung_Stammdaten!B$80,Bewertung_Stammdaten!A$80,IF(BE19&lt;Bewertung_Stammdaten!B$81,Bewertung_Stammdaten!A$81,IF(BE19&lt;Bewertung_Stammdaten!B$82,Bewertung_Stammdaten!A$82,IF(BE19&lt;Bewertung_Stammdaten!B$83,Bewertung_Stammdaten!A$83,IF(BE19&lt;Bewertung_Stammdaten!B$84,Bewertung_Stammdaten!A$84,IF(BE19&lt;Bewertung_Stammdaten!B$85,Bewertung_Stammdaten!A$85,Bewertung_Stammdaten!A$86)))))))))</f>
        <v>8</v>
      </c>
      <c r="BI19" s="41">
        <f>IF(BF19&lt;Bewertung_Stammdaten!F$77,Bewertung_Stammdaten!E$77,IF(BF19&lt;Bewertung_Stammdaten!F$78,Bewertung_Stammdaten!E$78,IF(BF19&lt;Bewertung_Stammdaten!F$79,Bewertung_Stammdaten!E$79,IF(BF19&lt;Bewertung_Stammdaten!F$80,Bewertung_Stammdaten!E$80,IF(BF19&lt;Bewertung_Stammdaten!F$81,Bewertung_Stammdaten!E$81,IF(BF19&lt;Bewertung_Stammdaten!F$82,Bewertung_Stammdaten!E$82,IF(BF19&lt;Bewertung_Stammdaten!F$83,Bewertung_Stammdaten!E$83,IF(BF19&lt;Bewertung_Stammdaten!F$84,Bewertung_Stammdaten!E$84,IF(BF19&lt;Bewertung_Stammdaten!F$85,Bewertung_Stammdaten!E$85,Bewertung_Stammdaten!E$86)))))))))</f>
        <v>3</v>
      </c>
      <c r="BJ19" s="41">
        <f>IF(BG19&lt;Bewertung_Stammdaten!J$77,Bewertung_Stammdaten!I$77,IF(BG19&lt;Bewertung_Stammdaten!J$78,Bewertung_Stammdaten!I$78,IF(BG19&lt;Bewertung_Stammdaten!J$79,Bewertung_Stammdaten!I$79,IF(BG19&lt;Bewertung_Stammdaten!J$80,Bewertung_Stammdaten!I$80,IF(BG19&lt;Bewertung_Stammdaten!J$81,Bewertung_Stammdaten!I$81,IF(BG19&lt;Bewertung_Stammdaten!J$82,Bewertung_Stammdaten!I$82,IF(BG19&lt;Bewertung_Stammdaten!J$83,Bewertung_Stammdaten!I$83,IF(BG19&lt;Bewertung_Stammdaten!J$84,Bewertung_Stammdaten!I$84,IF(BG19&lt;Bewertung_Stammdaten!J$85,Bewertung_Stammdaten!I$85,Bewertung_Stammdaten!I$86)))))))))</f>
        <v>5</v>
      </c>
      <c r="BK19" s="43"/>
      <c r="BL19" s="12">
        <f ca="1">VLOOKUP(A19,Ausschüttungsquote!A$3:X$103,23,FALSE)</f>
        <v>0.83444611374969047</v>
      </c>
      <c r="BM19" s="12">
        <f>VLOOKUP(A19,Ausschüttungsquote!A$3:X$103,19,FALSE)</f>
        <v>0.92383514005825274</v>
      </c>
      <c r="BN19" s="12">
        <f ca="1">VLOOKUP(A19,Ausschüttungsquote!A$3:X$103,24,FALSE)</f>
        <v>-9.6758634124835097E-2</v>
      </c>
      <c r="BO19" s="32">
        <f ca="1">IF(BL19&lt;Bewertung_Stammdaten!B$90,Bewertung_Stammdaten!A$90,IF(BL19&lt;Bewertung_Stammdaten!B$91,Bewertung_Stammdaten!A$91,IF(BL19&lt;Bewertung_Stammdaten!B$92,Bewertung_Stammdaten!A$92,IF(BL19&lt;Bewertung_Stammdaten!B$93,Bewertung_Stammdaten!A$93,IF(BL19&lt;Bewertung_Stammdaten!B$94,Bewertung_Stammdaten!A$94,IF(BL19&lt;Bewertung_Stammdaten!B$95,Bewertung_Stammdaten!A$95,IF(BL19&lt;Bewertung_Stammdaten!B$96,Bewertung_Stammdaten!A$96,IF(BL19&lt;Bewertung_Stammdaten!B$97,Bewertung_Stammdaten!A$97,IF(BL19&lt;Bewertung_Stammdaten!B$98,Bewertung_Stammdaten!A$98,Bewertung_Stammdaten!A$99)))))))))</f>
        <v>1</v>
      </c>
      <c r="BP19" s="41">
        <f>IF(BM19&lt;Bewertung_Stammdaten!F$90,Bewertung_Stammdaten!E$90,IF(BM19&lt;Bewertung_Stammdaten!F$91,Bewertung_Stammdaten!E$91,IF(BM19&lt;Bewertung_Stammdaten!F$92,Bewertung_Stammdaten!E$92,IF(BM19&lt;Bewertung_Stammdaten!F$93,Bewertung_Stammdaten!E$93,IF(BM19&lt;Bewertung_Stammdaten!F$94,Bewertung_Stammdaten!E$94,IF(BM19&lt;Bewertung_Stammdaten!F$95,Bewertung_Stammdaten!E$95,IF(BM19&lt;Bewertung_Stammdaten!F$96,Bewertung_Stammdaten!E$96,IF(BM19&lt;Bewertung_Stammdaten!F$97,Bewertung_Stammdaten!E$97,IF(BM19&lt;Bewertung_Stammdaten!F$98,Bewertung_Stammdaten!E$98,Bewertung_Stammdaten!E$99)))))))))</f>
        <v>1</v>
      </c>
      <c r="BQ19" s="32">
        <f ca="1">IF(BN19&lt;Bewertung_Stammdaten!J$90,Bewertung_Stammdaten!I$90,IF(BN19&lt;Bewertung_Stammdaten!J$91,Bewertung_Stammdaten!I$91,IF(BN19&lt;Bewertung_Stammdaten!J$92,Bewertung_Stammdaten!I$92,IF(BN19&lt;Bewertung_Stammdaten!J$93,Bewertung_Stammdaten!I$93,IF(BN19&lt;Bewertung_Stammdaten!J$94,Bewertung_Stammdaten!I$94,IF(BN19&lt;Bewertung_Stammdaten!J$95,Bewertung_Stammdaten!I$95,IF(BN19&lt;Bewertung_Stammdaten!J$96,Bewertung_Stammdaten!I$96,IF(BN19&lt;Bewertung_Stammdaten!J$97,Bewertung_Stammdaten!I$97,IF(BN19&lt;Bewertung_Stammdaten!J$98,Bewertung_Stammdaten!I$98,Bewertung_Stammdaten!I$99)))))))))</f>
        <v>7</v>
      </c>
    </row>
    <row r="20" spans="1:69" x14ac:dyDescent="0.25">
      <c r="A20" s="38" t="s">
        <v>34</v>
      </c>
      <c r="B20" s="38" t="s">
        <v>35</v>
      </c>
      <c r="C20" s="38" t="s">
        <v>296</v>
      </c>
      <c r="D20" s="32">
        <f t="shared" ca="1" si="0"/>
        <v>95</v>
      </c>
      <c r="E20" s="43"/>
      <c r="F20" s="66">
        <v>1</v>
      </c>
      <c r="G20" s="11">
        <f ca="1">VLOOKUP(A20,KGV!A$3:R$103,17,FALSE)</f>
        <v>67.137214271838374</v>
      </c>
      <c r="H20" s="11">
        <f>VLOOKUP(A20,KGV!A$3:R$103,16,FALSE)</f>
        <v>13.275090415913199</v>
      </c>
      <c r="I20" s="12">
        <f ca="1">VLOOKUP(A20,KGV!A$3:R$103,18,FALSE)</f>
        <v>4.0573828251564477</v>
      </c>
      <c r="J20" s="16">
        <f t="shared" ca="1" si="1"/>
        <v>99</v>
      </c>
      <c r="K20" s="12">
        <f t="shared" ca="1" si="2"/>
        <v>6.4575763251545242</v>
      </c>
      <c r="L20" s="11">
        <f ca="1">VLOOKUP(A20,KBV!A$3:R$103,17,FALSE)</f>
        <v>0.91339970046691932</v>
      </c>
      <c r="M20" s="11">
        <f>VLOOKUP(A20,KBV!A$3:R$103,16,FALSE)</f>
        <v>0.87386040742689619</v>
      </c>
      <c r="N20" s="12">
        <f ca="1">VLOOKUP(A20,KBV!A$3:R$103,18,FALSE)</f>
        <v>4.5246692382422404E-2</v>
      </c>
      <c r="O20" s="16">
        <f t="shared" ca="1" si="9"/>
        <v>0.91339970046691932</v>
      </c>
      <c r="P20" s="12">
        <f t="shared" ca="1" si="10"/>
        <v>4.5246692382422404E-2</v>
      </c>
      <c r="Q20" s="32">
        <f ca="1">IF(F20=1,IF(I20&lt;Bewertung_Stammdaten!B$12,Bewertung_Stammdaten!A$12,IF(I20&lt;Bewertung_Stammdaten!B$13,Bewertung_Stammdaten!A$13,IF(I20&lt;Bewertung_Stammdaten!B$14,Bewertung_Stammdaten!A$14,IF(I20&lt;Bewertung_Stammdaten!B$15,Bewertung_Stammdaten!A$15,IF(I20&lt;Bewertung_Stammdaten!B$16,Bewertung_Stammdaten!A$16,IF(I20&lt;Bewertung_Stammdaten!B$17,Bewertung_Stammdaten!A$17,IF(I20&lt;Bewertung_Stammdaten!B$18,Bewertung_Stammdaten!A$18,IF(I20&lt;Bewertung_Stammdaten!B$19,Bewertung_Stammdaten!A$19,IF(I20&lt;Bewertung_Stammdaten!B$20,Bewertung_Stammdaten!A$20,Bewertung_Stammdaten!A$21))))))))),IF(N20&lt;Bewertung_Stammdaten!C$12,Bewertung_Stammdaten!A$12,IF(N20&lt;Bewertung_Stammdaten!C$13,Bewertung_Stammdaten!A$13,IF(N20&lt;Bewertung_Stammdaten!C$14,Bewertung_Stammdaten!A$14,IF(N20&lt;Bewertung_Stammdaten!C$15,Bewertung_Stammdaten!A$15,IF(N20&lt;Bewertung_Stammdaten!C$16,Bewertung_Stammdaten!A$16,IF(N20&lt;Bewertung_Stammdaten!C$17,Bewertung_Stammdaten!A$17,IF(N20&lt;Bewertung_Stammdaten!C$18,Bewertung_Stammdaten!A$18,IF(N20&lt;Bewertung_Stammdaten!C$19,Bewertung_Stammdaten!A$19,IF(N20&lt;Bewertung_Stammdaten!C$20,Bewertung_Stammdaten!A$20,Bewertung_Stammdaten!A$21))))))))))</f>
        <v>6</v>
      </c>
      <c r="R20" s="32">
        <f ca="1">IF(F20=1,IF(K20&lt;Bewertung_Stammdaten!F$12,Bewertung_Stammdaten!E$12,IF(K20&lt;Bewertung_Stammdaten!F$13,Bewertung_Stammdaten!E$13,IF(K20&lt;Bewertung_Stammdaten!F$14,Bewertung_Stammdaten!E$14,IF(K20&lt;Bewertung_Stammdaten!F$15,Bewertung_Stammdaten!E$15,IF(K20&lt;Bewertung_Stammdaten!F$16,Bewertung_Stammdaten!E$16,IF(K20&lt;Bewertung_Stammdaten!F$17,Bewertung_Stammdaten!E$17,IF(K20&lt;Bewertung_Stammdaten!F$18,Bewertung_Stammdaten!E$18,IF(K20&lt;Bewertung_Stammdaten!F$19,Bewertung_Stammdaten!E$19,IF(K20&lt;Bewertung_Stammdaten!F$20,Bewertung_Stammdaten!E$20,Bewertung_Stammdaten!E$21))))))))),IF(P20&lt;Bewertung_Stammdaten!G$12,Bewertung_Stammdaten!E$12,IF(P20&lt;Bewertung_Stammdaten!G$13,Bewertung_Stammdaten!E$13,IF(P20&lt;Bewertung_Stammdaten!G$14,Bewertung_Stammdaten!E$14,IF(P20&lt;Bewertung_Stammdaten!G$15,Bewertung_Stammdaten!E$15,IF(P20&lt;Bewertung_Stammdaten!G$16,Bewertung_Stammdaten!E$16,IF(P20&lt;Bewertung_Stammdaten!G$17,Bewertung_Stammdaten!E$17,IF(P20&lt;Bewertung_Stammdaten!G$18,Bewertung_Stammdaten!E$18,IF(P20&lt;Bewertung_Stammdaten!G$19,Bewertung_Stammdaten!E$19,IF(P20&lt;Bewertung_Stammdaten!G$20,Bewertung_Stammdaten!E$20,Bewertung_Stammdaten!E$21))))))))))</f>
        <v>2.5</v>
      </c>
      <c r="S20" s="43"/>
      <c r="T20" s="11">
        <f ca="1">VLOOKUP(A20,Buchwert_je_Aktie!A$3:AK$103,23,FALSE)</f>
        <v>2.5224444444444445</v>
      </c>
      <c r="U20" s="11">
        <f>VLOOKUP(A20,Buchwert_je_Aktie!A$3:AK$103,19,FALSE)</f>
        <v>2.5225</v>
      </c>
      <c r="V20" s="12">
        <f ca="1">VLOOKUP(A20,Buchwert_je_Aktie!A$3:AK$103,24,FALSE)</f>
        <v>-2.2024006166687649E-5</v>
      </c>
      <c r="W20" s="12">
        <f>VLOOKUP(A20,Buchwert_je_Aktie!A$3:AK$103,37,FALSE)</f>
        <v>4.0650406504065817E-3</v>
      </c>
      <c r="X20" s="16">
        <f t="shared" ca="1" si="3"/>
        <v>2.5224444444444445</v>
      </c>
      <c r="Y20" s="12">
        <f t="shared" ca="1" si="4"/>
        <v>-2.2024006166687649E-5</v>
      </c>
      <c r="Z20" s="51">
        <f ca="1">IF(V20&lt;Bewertung_Stammdaten!B$25,Bewertung_Stammdaten!A$25,IF(V20&lt;Bewertung_Stammdaten!B$26,Bewertung_Stammdaten!A$26,IF(V20&lt;Bewertung_Stammdaten!B$27,Bewertung_Stammdaten!A$27,IF(V20&lt;Bewertung_Stammdaten!B$28,Bewertung_Stammdaten!A$28,IF(V20&lt;Bewertung_Stammdaten!B$29,Bewertung_Stammdaten!A$29,IF(V20&lt;Bewertung_Stammdaten!B$30,Bewertung_Stammdaten!A$30,IF(V20&lt;Bewertung_Stammdaten!B$31,Bewertung_Stammdaten!A$31,IF(V20&lt;Bewertung_Stammdaten!B$32,Bewertung_Stammdaten!A$32,IF(V20&lt;Bewertung_Stammdaten!B$33,Bewertung_Stammdaten!A$33,Bewertung_Stammdaten!A$34)))))))))</f>
        <v>3</v>
      </c>
      <c r="AA20" s="51">
        <f>IF(W20&lt;Bewertung_Stammdaten!F$25,Bewertung_Stammdaten!E$25,IF(W20&lt;Bewertung_Stammdaten!F$26,Bewertung_Stammdaten!E$26,IF(W20&lt;Bewertung_Stammdaten!F$27,Bewertung_Stammdaten!E$27,IF(W20&lt;Bewertung_Stammdaten!F$28,Bewertung_Stammdaten!E$28,IF(W20&lt;Bewertung_Stammdaten!F$29,Bewertung_Stammdaten!E$29,IF(W20&lt;Bewertung_Stammdaten!F$30,Bewertung_Stammdaten!E$30,IF(W20&lt;Bewertung_Stammdaten!F$31,Bewertung_Stammdaten!E$31,IF(W20&lt;Bewertung_Stammdaten!F$32,Bewertung_Stammdaten!E$32,IF(W20&lt;Bewertung_Stammdaten!F$33,Bewertung_Stammdaten!E$33,Bewertung_Stammdaten!E$34)))))))))</f>
        <v>12</v>
      </c>
      <c r="AB20" s="51">
        <f ca="1">IF(Y20&lt;Bewertung_Stammdaten!J$25,Bewertung_Stammdaten!I$25,IF(Y20&lt;Bewertung_Stammdaten!J$26,Bewertung_Stammdaten!I$26,IF(Y20&lt;Bewertung_Stammdaten!J$27,Bewertung_Stammdaten!I$27,IF(Y20&lt;Bewertung_Stammdaten!J$28,Bewertung_Stammdaten!I$28,IF(Y20&lt;Bewertung_Stammdaten!J$29,Bewertung_Stammdaten!I$29,IF(Y20&lt;Bewertung_Stammdaten!J$30,Bewertung_Stammdaten!I$30,IF(Y20&lt;Bewertung_Stammdaten!J$31,Bewertung_Stammdaten!I$31,IF(Y20&lt;Bewertung_Stammdaten!J$32,Bewertung_Stammdaten!I$32,IF(Y20&lt;Bewertung_Stammdaten!J$33,Bewertung_Stammdaten!I$33,Bewertung_Stammdaten!I$34)))))))))</f>
        <v>2</v>
      </c>
      <c r="AC20" s="43"/>
      <c r="AD20" s="14">
        <f ca="1">VLOOKUP(A20,Ergebnis_je_Aktie_verwässert!A$3:AK$103,23,FALSE)</f>
        <v>3.431777777777778E-2</v>
      </c>
      <c r="AE20" s="14">
        <f>VLOOKUP(A20,Ergebnis_je_Aktie_verwässert!A$3:AK$103,19,FALSE)</f>
        <v>6.3438461538461541E-2</v>
      </c>
      <c r="AF20" s="12">
        <f ca="1">VLOOKUP(A20,Ergebnis_je_Aktie_verwässert!A$3:AK$103,24,FALSE)</f>
        <v>-0.45903830349083163</v>
      </c>
      <c r="AG20" s="40">
        <f>VLOOKUP(A20,Ergebnis_je_Aktie_verwässert!A$3:AK$103,37,FALSE)</f>
        <v>-1.5454545454545459</v>
      </c>
      <c r="AH20" s="16">
        <f t="shared" ca="1" si="5"/>
        <v>-1.8718787878787894E-2</v>
      </c>
      <c r="AI20" s="12">
        <f t="shared" ca="1" si="6"/>
        <v>-1.2950700162777284</v>
      </c>
      <c r="AJ20" s="32">
        <f ca="1">IF(AF20&lt;Bewertung_Stammdaten!B$38,Bewertung_Stammdaten!A$38,IF(AF20&lt;Bewertung_Stammdaten!B$39,Bewertung_Stammdaten!A$39,IF(AF20&lt;Bewertung_Stammdaten!B$40,Bewertung_Stammdaten!A$40,IF(AF20&lt;Bewertung_Stammdaten!B$41,Bewertung_Stammdaten!A$41,IF(AF20&lt;Bewertung_Stammdaten!B$42,Bewertung_Stammdaten!A$42,IF(AF20&lt;Bewertung_Stammdaten!B$43,Bewertung_Stammdaten!A$43,IF(AF20&lt;Bewertung_Stammdaten!B$44,Bewertung_Stammdaten!A$44,IF(AF20&lt;Bewertung_Stammdaten!B$45,Bewertung_Stammdaten!A$45,IF(AF20&lt;Bewertung_Stammdaten!B$46,Bewertung_Stammdaten!A$46,Bewertung_Stammdaten!A$47)))))))))</f>
        <v>2</v>
      </c>
      <c r="AK20" s="32">
        <f>IF(AG20&lt;Bewertung_Stammdaten!F$38,Bewertung_Stammdaten!E$38,IF(AG20&lt;Bewertung_Stammdaten!F$39,Bewertung_Stammdaten!E$39,IF(AG20&lt;Bewertung_Stammdaten!F$40,Bewertung_Stammdaten!E$40,IF(AG20&lt;Bewertung_Stammdaten!F$41,Bewertung_Stammdaten!E$41,IF(AG20&lt;Bewertung_Stammdaten!F$42,Bewertung_Stammdaten!E$42,IF(AG20&lt;Bewertung_Stammdaten!F$43,Bewertung_Stammdaten!E$43,IF(AG20&lt;Bewertung_Stammdaten!F$44,Bewertung_Stammdaten!E$44,IF(AG20&lt;Bewertung_Stammdaten!F$45,Bewertung_Stammdaten!E$45,IF(AG20&lt;Bewertung_Stammdaten!F$46,Bewertung_Stammdaten!E$46,Bewertung_Stammdaten!E$47)))))))))</f>
        <v>1.5</v>
      </c>
      <c r="AL20" s="32">
        <f ca="1">IF(AI20&lt;Bewertung_Stammdaten!J$38,Bewertung_Stammdaten!I$38,IF(AI20&lt;Bewertung_Stammdaten!J$39,Bewertung_Stammdaten!I$39,IF(AI20&lt;Bewertung_Stammdaten!J$40,Bewertung_Stammdaten!I$40,IF(AI20&lt;Bewertung_Stammdaten!J$41,Bewertung_Stammdaten!I$41,IF(AI20&lt;Bewertung_Stammdaten!J$42,Bewertung_Stammdaten!I$42,IF(AI20&lt;Bewertung_Stammdaten!J$43,Bewertung_Stammdaten!I$43,IF(AI20&lt;Bewertung_Stammdaten!J$44,Bewertung_Stammdaten!I$44,IF(AI20&lt;Bewertung_Stammdaten!J$45,Bewertung_Stammdaten!I$45,IF(AI20&lt;Bewertung_Stammdaten!J$46,Bewertung_Stammdaten!I$46,Bewertung_Stammdaten!I$47)))))))))</f>
        <v>1</v>
      </c>
      <c r="AM20" s="43"/>
      <c r="AN20" s="14">
        <f ca="1">VLOOKUP(A20,Dividende_je_Aktie!A$3:AM$103,24,FALSE)</f>
        <v>0.11508888888888891</v>
      </c>
      <c r="AO20" s="14">
        <f>VLOOKUP(A20,Dividende_je_Aktie!A$3:AM$103,20,FALSE)</f>
        <v>8.1499999999999989E-2</v>
      </c>
      <c r="AP20" s="12">
        <f ca="1">VLOOKUP(A20,Dividende_je_Aktie!A$3:AM$103,25,FALSE)</f>
        <v>0.41213360599863713</v>
      </c>
      <c r="AQ20" s="40">
        <f>VLOOKUP(A20,Dividende_je_Aktie!A$3:AM$103,39,FALSE)</f>
        <v>-0.2533333333333333</v>
      </c>
      <c r="AR20" s="16">
        <f t="shared" ca="1" si="7"/>
        <v>8.5933037037037058E-2</v>
      </c>
      <c r="AS20" s="12">
        <f t="shared" ca="1" si="8"/>
        <v>5.4393092478982386E-2</v>
      </c>
      <c r="AT20" s="32">
        <f ca="1">IF(AP20&lt;Bewertung_Stammdaten!B$51,Bewertung_Stammdaten!A$51,IF(AP20&lt;Bewertung_Stammdaten!B$52,Bewertung_Stammdaten!A$52,IF(AP20&lt;Bewertung_Stammdaten!B$53,Bewertung_Stammdaten!A$53,IF(AP20&lt;Bewertung_Stammdaten!B$54,Bewertung_Stammdaten!A$54,IF(AP20&lt;Bewertung_Stammdaten!B$55,Bewertung_Stammdaten!A$55,IF(AP20&lt;Bewertung_Stammdaten!B$56,Bewertung_Stammdaten!A$56,IF(AP20&lt;Bewertung_Stammdaten!B$57,Bewertung_Stammdaten!A$57,IF(AP20&lt;Bewertung_Stammdaten!B$58,Bewertung_Stammdaten!A$58,IF(AP20&lt;Bewertung_Stammdaten!B$59,Bewertung_Stammdaten!A$59,Bewertung_Stammdaten!A$60)))))))))</f>
        <v>14</v>
      </c>
      <c r="AU20" s="32">
        <f>IF(AQ20&lt;Bewertung_Stammdaten!F$51,Bewertung_Stammdaten!E$51,IF(AQ20&lt;Bewertung_Stammdaten!F$52,Bewertung_Stammdaten!E$52,IF(AQ20&lt;Bewertung_Stammdaten!F$53,Bewertung_Stammdaten!E$53,IF(AQ20&lt;Bewertung_Stammdaten!F$54,Bewertung_Stammdaten!E$54,IF(AQ20&lt;Bewertung_Stammdaten!F$55,Bewertung_Stammdaten!E$55,IF(AQ20&lt;Bewertung_Stammdaten!F$56,Bewertung_Stammdaten!E$56,IF(AQ20&lt;Bewertung_Stammdaten!F$57,Bewertung_Stammdaten!E$57,IF(AQ20&lt;Bewertung_Stammdaten!F$58,Bewertung_Stammdaten!E$58,IF(AQ20&lt;Bewertung_Stammdaten!F$59,Bewertung_Stammdaten!E$59,Bewertung_Stammdaten!E$60)))))))))</f>
        <v>7.5</v>
      </c>
      <c r="AV20" s="32">
        <f ca="1">IF(AS20&lt;Bewertung_Stammdaten!J$51,Bewertung_Stammdaten!I$51,IF(AS20&lt;Bewertung_Stammdaten!J$52,Bewertung_Stammdaten!I$52,IF(AS20&lt;Bewertung_Stammdaten!J$53,Bewertung_Stammdaten!I$53,IF(AS20&lt;Bewertung_Stammdaten!J$54,Bewertung_Stammdaten!I$54,IF(AS20&lt;Bewertung_Stammdaten!J$55,Bewertung_Stammdaten!I$55,IF(AS20&lt;Bewertung_Stammdaten!J$56,Bewertung_Stammdaten!I$56,IF(AS20&lt;Bewertung_Stammdaten!J$57,Bewertung_Stammdaten!I$57,IF(AS20&lt;Bewertung_Stammdaten!J$58,Bewertung_Stammdaten!I$58,IF(AS20&lt;Bewertung_Stammdaten!J$59,Bewertung_Stammdaten!I$59,Bewertung_Stammdaten!I$60)))))))))</f>
        <v>5</v>
      </c>
      <c r="AW20" s="43"/>
      <c r="AX20" s="12">
        <f ca="1">VLOOKUP(A20,Dividendenrendite!A$3:R$103,17,FALSE)</f>
        <v>4.9951774691358024E-2</v>
      </c>
      <c r="AY20" s="12">
        <f>VLOOKUP(A20,Dividendenrendite!A$3:R$103,16,FALSE)</f>
        <v>4.6540513386351207E-2</v>
      </c>
      <c r="AZ20" s="12">
        <f ca="1">VLOOKUP(A20,Dividendenrendite!A$3:R$103,18,FALSE)</f>
        <v>7.3296598099135357E-2</v>
      </c>
      <c r="BA20" s="32">
        <f ca="1">IF(AX20&lt;Bewertung_Stammdaten!B$64,Bewertung_Stammdaten!A$64,IF(AX20&lt;Bewertung_Stammdaten!B$65,Bewertung_Stammdaten!A$65,IF(AX20&lt;Bewertung_Stammdaten!B$66,Bewertung_Stammdaten!A$66,IF(AX20&lt;Bewertung_Stammdaten!B$67,Bewertung_Stammdaten!A$67,IF(AX20&lt;Bewertung_Stammdaten!B$68,Bewertung_Stammdaten!A$68,IF(AX20&lt;Bewertung_Stammdaten!B$69,Bewertung_Stammdaten!A$69,IF(AX20&lt;Bewertung_Stammdaten!B$70,Bewertung_Stammdaten!A$70,IF(AX20&lt;Bewertung_Stammdaten!B$71,Bewertung_Stammdaten!A$71,IF(AX20&lt;Bewertung_Stammdaten!B$72,Bewertung_Stammdaten!A$72,Bewertung_Stammdaten!A$73)))))))))</f>
        <v>15</v>
      </c>
      <c r="BB20" s="32">
        <f>IF(AY20&lt;Bewertung_Stammdaten!F$64,Bewertung_Stammdaten!E$64,IF(AY20&lt;Bewertung_Stammdaten!F$65,Bewertung_Stammdaten!E$65,IF(AY20&lt;Bewertung_Stammdaten!F$66,Bewertung_Stammdaten!E$66,IF(AY20&lt;Bewertung_Stammdaten!F$67,Bewertung_Stammdaten!E$67,IF(AY20&lt;Bewertung_Stammdaten!F$68,Bewertung_Stammdaten!E$68,IF(AY20&lt;Bewertung_Stammdaten!F$69,Bewertung_Stammdaten!E$69,IF(AY20&lt;Bewertung_Stammdaten!F$70,Bewertung_Stammdaten!E$70,IF(AY20&lt;Bewertung_Stammdaten!F$71,Bewertung_Stammdaten!E$71,IF(AY20&lt;Bewertung_Stammdaten!F$72,Bewertung_Stammdaten!E$72,Bewertung_Stammdaten!E$73)))))))))</f>
        <v>10</v>
      </c>
      <c r="BC20" s="32">
        <f ca="1">IF(AZ20&lt;Bewertung_Stammdaten!J$64,Bewertung_Stammdaten!I$64,IF(AZ20&lt;Bewertung_Stammdaten!J$65,Bewertung_Stammdaten!I$65,IF(AZ20&lt;Bewertung_Stammdaten!J$66,Bewertung_Stammdaten!I$66,IF(AZ20&lt;Bewertung_Stammdaten!J$67,Bewertung_Stammdaten!I$67,IF(AZ20&lt;Bewertung_Stammdaten!J$68,Bewertung_Stammdaten!I$68,IF(AZ20&lt;Bewertung_Stammdaten!J$69,Bewertung_Stammdaten!I$69,IF(AZ20&lt;Bewertung_Stammdaten!J$70,Bewertung_Stammdaten!I$70,IF(AZ20&lt;Bewertung_Stammdaten!J$71,Bewertung_Stammdaten!I$71,IF(AZ20&lt;Bewertung_Stammdaten!J$72,Bewertung_Stammdaten!I$72,Bewertung_Stammdaten!I$73)))))))))</f>
        <v>3.5</v>
      </c>
      <c r="BD20" s="43"/>
      <c r="BE20" s="12">
        <f>VLOOKUP(A20,Aktien_im_Umlauf_splitbereinigt!A$3:Z$103,26,FALSE)</f>
        <v>0</v>
      </c>
      <c r="BF20" s="12">
        <f>VLOOKUP(A20,Aktien_im_Umlauf_splitbereinigt!A$3:Y$103,24,FALSE)</f>
        <v>0</v>
      </c>
      <c r="BG20" s="12">
        <f>VLOOKUP(A20,Aktien_im_Umlauf_splitbereinigt!A$3:Y$103,25,FALSE)</f>
        <v>0</v>
      </c>
      <c r="BH20" s="41">
        <f>IF(BE20&lt;Bewertung_Stammdaten!B$77,Bewertung_Stammdaten!A$77,IF(BE20&lt;Bewertung_Stammdaten!B$78,Bewertung_Stammdaten!A$78,IF(BE20&lt;Bewertung_Stammdaten!B$79,Bewertung_Stammdaten!A$79,IF(BE20&lt;Bewertung_Stammdaten!B$80,Bewertung_Stammdaten!A$80,IF(BE20&lt;Bewertung_Stammdaten!B$81,Bewertung_Stammdaten!A$81,IF(BE20&lt;Bewertung_Stammdaten!B$82,Bewertung_Stammdaten!A$82,IF(BE20&lt;Bewertung_Stammdaten!B$83,Bewertung_Stammdaten!A$83,IF(BE20&lt;Bewertung_Stammdaten!B$84,Bewertung_Stammdaten!A$84,IF(BE20&lt;Bewertung_Stammdaten!B$85,Bewertung_Stammdaten!A$85,Bewertung_Stammdaten!A$86)))))))))</f>
        <v>2</v>
      </c>
      <c r="BI20" s="41">
        <f>IF(BF20&lt;Bewertung_Stammdaten!F$77,Bewertung_Stammdaten!E$77,IF(BF20&lt;Bewertung_Stammdaten!F$78,Bewertung_Stammdaten!E$78,IF(BF20&lt;Bewertung_Stammdaten!F$79,Bewertung_Stammdaten!E$79,IF(BF20&lt;Bewertung_Stammdaten!F$80,Bewertung_Stammdaten!E$80,IF(BF20&lt;Bewertung_Stammdaten!F$81,Bewertung_Stammdaten!E$81,IF(BF20&lt;Bewertung_Stammdaten!F$82,Bewertung_Stammdaten!E$82,IF(BF20&lt;Bewertung_Stammdaten!F$83,Bewertung_Stammdaten!E$83,IF(BF20&lt;Bewertung_Stammdaten!F$84,Bewertung_Stammdaten!E$84,IF(BF20&lt;Bewertung_Stammdaten!F$85,Bewertung_Stammdaten!E$85,Bewertung_Stammdaten!E$86)))))))))</f>
        <v>2</v>
      </c>
      <c r="BJ20" s="41">
        <f>IF(BG20&lt;Bewertung_Stammdaten!J$77,Bewertung_Stammdaten!I$77,IF(BG20&lt;Bewertung_Stammdaten!J$78,Bewertung_Stammdaten!I$78,IF(BG20&lt;Bewertung_Stammdaten!J$79,Bewertung_Stammdaten!I$79,IF(BG20&lt;Bewertung_Stammdaten!J$80,Bewertung_Stammdaten!I$80,IF(BG20&lt;Bewertung_Stammdaten!J$81,Bewertung_Stammdaten!I$81,IF(BG20&lt;Bewertung_Stammdaten!J$82,Bewertung_Stammdaten!I$82,IF(BG20&lt;Bewertung_Stammdaten!J$83,Bewertung_Stammdaten!I$83,IF(BG20&lt;Bewertung_Stammdaten!J$84,Bewertung_Stammdaten!I$84,IF(BG20&lt;Bewertung_Stammdaten!J$85,Bewertung_Stammdaten!I$85,Bewertung_Stammdaten!I$86)))))))))</f>
        <v>3</v>
      </c>
      <c r="BK20" s="43"/>
      <c r="BL20" s="12">
        <f ca="1">VLOOKUP(A20,Ausschüttungsquote!A$3:X$103,23,FALSE)</f>
        <v>1.9966911073510059</v>
      </c>
      <c r="BM20" s="12">
        <f>VLOOKUP(A20,Ausschüttungsquote!A$3:X$103,19,FALSE)</f>
        <v>1.2494357670848193</v>
      </c>
      <c r="BN20" s="12">
        <f ca="1">VLOOKUP(A20,Ausschüttungsquote!A$3:X$103,24,FALSE)</f>
        <v>0.59807423474812227</v>
      </c>
      <c r="BO20" s="32">
        <f ca="1">IF(BL20&lt;Bewertung_Stammdaten!B$90,Bewertung_Stammdaten!A$90,IF(BL20&lt;Bewertung_Stammdaten!B$91,Bewertung_Stammdaten!A$91,IF(BL20&lt;Bewertung_Stammdaten!B$92,Bewertung_Stammdaten!A$92,IF(BL20&lt;Bewertung_Stammdaten!B$93,Bewertung_Stammdaten!A$93,IF(BL20&lt;Bewertung_Stammdaten!B$94,Bewertung_Stammdaten!A$94,IF(BL20&lt;Bewertung_Stammdaten!B$95,Bewertung_Stammdaten!A$95,IF(BL20&lt;Bewertung_Stammdaten!B$96,Bewertung_Stammdaten!A$96,IF(BL20&lt;Bewertung_Stammdaten!B$97,Bewertung_Stammdaten!A$97,IF(BL20&lt;Bewertung_Stammdaten!B$98,Bewertung_Stammdaten!A$98,Bewertung_Stammdaten!A$99)))))))))</f>
        <v>1</v>
      </c>
      <c r="BP20" s="41">
        <f>IF(BM20&lt;Bewertung_Stammdaten!F$90,Bewertung_Stammdaten!E$90,IF(BM20&lt;Bewertung_Stammdaten!F$91,Bewertung_Stammdaten!E$91,IF(BM20&lt;Bewertung_Stammdaten!F$92,Bewertung_Stammdaten!E$92,IF(BM20&lt;Bewertung_Stammdaten!F$93,Bewertung_Stammdaten!E$93,IF(BM20&lt;Bewertung_Stammdaten!F$94,Bewertung_Stammdaten!E$94,IF(BM20&lt;Bewertung_Stammdaten!F$95,Bewertung_Stammdaten!E$95,IF(BM20&lt;Bewertung_Stammdaten!F$96,Bewertung_Stammdaten!E$96,IF(BM20&lt;Bewertung_Stammdaten!F$97,Bewertung_Stammdaten!E$97,IF(BM20&lt;Bewertung_Stammdaten!F$98,Bewertung_Stammdaten!E$98,Bewertung_Stammdaten!E$99)))))))))</f>
        <v>1</v>
      </c>
      <c r="BQ20" s="32">
        <f ca="1">IF(BN20&lt;Bewertung_Stammdaten!J$90,Bewertung_Stammdaten!I$90,IF(BN20&lt;Bewertung_Stammdaten!J$91,Bewertung_Stammdaten!I$91,IF(BN20&lt;Bewertung_Stammdaten!J$92,Bewertung_Stammdaten!I$92,IF(BN20&lt;Bewertung_Stammdaten!J$93,Bewertung_Stammdaten!I$93,IF(BN20&lt;Bewertung_Stammdaten!J$94,Bewertung_Stammdaten!I$94,IF(BN20&lt;Bewertung_Stammdaten!J$95,Bewertung_Stammdaten!I$95,IF(BN20&lt;Bewertung_Stammdaten!J$96,Bewertung_Stammdaten!I$96,IF(BN20&lt;Bewertung_Stammdaten!J$97,Bewertung_Stammdaten!I$97,IF(BN20&lt;Bewertung_Stammdaten!J$98,Bewertung_Stammdaten!I$98,Bewertung_Stammdaten!I$99)))))))))</f>
        <v>1</v>
      </c>
    </row>
    <row r="21" spans="1:69" x14ac:dyDescent="0.25">
      <c r="A21" s="38" t="s">
        <v>36</v>
      </c>
      <c r="B21" s="38" t="s">
        <v>37</v>
      </c>
      <c r="C21" s="38" t="s">
        <v>296</v>
      </c>
      <c r="D21" s="32">
        <f t="shared" ca="1" si="0"/>
        <v>133.5</v>
      </c>
      <c r="E21" s="43"/>
      <c r="F21" s="66">
        <v>1</v>
      </c>
      <c r="G21" s="11">
        <f ca="1">VLOOKUP(A21,KGV!A$3:R$103,17,FALSE)</f>
        <v>20.951091806985186</v>
      </c>
      <c r="H21" s="11">
        <f>VLOOKUP(A21,KGV!A$3:R$103,16,FALSE)</f>
        <v>17.232350312779268</v>
      </c>
      <c r="I21" s="12">
        <f ca="1">VLOOKUP(A21,KGV!A$3:R$103,18,FALSE)</f>
        <v>0.21580001721808961</v>
      </c>
      <c r="J21" s="16">
        <f t="shared" ca="1" si="1"/>
        <v>22.682586997645121</v>
      </c>
      <c r="K21" s="12">
        <f t="shared" ca="1" si="2"/>
        <v>0.31627935748404767</v>
      </c>
      <c r="L21" s="11">
        <f ca="1">VLOOKUP(A21,KBV!A$3:R$103,17,FALSE)</f>
        <v>6.9204917307862388</v>
      </c>
      <c r="M21" s="11">
        <f>VLOOKUP(A21,KBV!A$3:R$103,16,FALSE)</f>
        <v>5.8308494783904621</v>
      </c>
      <c r="N21" s="12">
        <f ca="1">VLOOKUP(A21,KBV!A$3:R$103,18,FALSE)</f>
        <v>0.1868753869284514</v>
      </c>
      <c r="O21" s="16">
        <f t="shared" ca="1" si="9"/>
        <v>8.6089249542611945</v>
      </c>
      <c r="P21" s="12">
        <f t="shared" ca="1" si="10"/>
        <v>0.47644438193207961</v>
      </c>
      <c r="Q21" s="32">
        <f ca="1">IF(F21=1,IF(I21&lt;Bewertung_Stammdaten!B$12,Bewertung_Stammdaten!A$12,IF(I21&lt;Bewertung_Stammdaten!B$13,Bewertung_Stammdaten!A$13,IF(I21&lt;Bewertung_Stammdaten!B$14,Bewertung_Stammdaten!A$14,IF(I21&lt;Bewertung_Stammdaten!B$15,Bewertung_Stammdaten!A$15,IF(I21&lt;Bewertung_Stammdaten!B$16,Bewertung_Stammdaten!A$16,IF(I21&lt;Bewertung_Stammdaten!B$17,Bewertung_Stammdaten!A$17,IF(I21&lt;Bewertung_Stammdaten!B$18,Bewertung_Stammdaten!A$18,IF(I21&lt;Bewertung_Stammdaten!B$19,Bewertung_Stammdaten!A$19,IF(I21&lt;Bewertung_Stammdaten!B$20,Bewertung_Stammdaten!A$20,Bewertung_Stammdaten!A$21))))))))),IF(N21&lt;Bewertung_Stammdaten!C$12,Bewertung_Stammdaten!A$12,IF(N21&lt;Bewertung_Stammdaten!C$13,Bewertung_Stammdaten!A$13,IF(N21&lt;Bewertung_Stammdaten!C$14,Bewertung_Stammdaten!A$14,IF(N21&lt;Bewertung_Stammdaten!C$15,Bewertung_Stammdaten!A$15,IF(N21&lt;Bewertung_Stammdaten!C$16,Bewertung_Stammdaten!A$16,IF(N21&lt;Bewertung_Stammdaten!C$17,Bewertung_Stammdaten!A$17,IF(N21&lt;Bewertung_Stammdaten!C$18,Bewertung_Stammdaten!A$18,IF(N21&lt;Bewertung_Stammdaten!C$19,Bewertung_Stammdaten!A$19,IF(N21&lt;Bewertung_Stammdaten!C$20,Bewertung_Stammdaten!A$20,Bewertung_Stammdaten!A$21))))))))))</f>
        <v>12</v>
      </c>
      <c r="R21" s="32">
        <f ca="1">IF(F21=1,IF(K21&lt;Bewertung_Stammdaten!F$12,Bewertung_Stammdaten!E$12,IF(K21&lt;Bewertung_Stammdaten!F$13,Bewertung_Stammdaten!E$13,IF(K21&lt;Bewertung_Stammdaten!F$14,Bewertung_Stammdaten!E$14,IF(K21&lt;Bewertung_Stammdaten!F$15,Bewertung_Stammdaten!E$15,IF(K21&lt;Bewertung_Stammdaten!F$16,Bewertung_Stammdaten!E$16,IF(K21&lt;Bewertung_Stammdaten!F$17,Bewertung_Stammdaten!E$17,IF(K21&lt;Bewertung_Stammdaten!F$18,Bewertung_Stammdaten!E$18,IF(K21&lt;Bewertung_Stammdaten!F$19,Bewertung_Stammdaten!E$19,IF(K21&lt;Bewertung_Stammdaten!F$20,Bewertung_Stammdaten!E$20,Bewertung_Stammdaten!E$21))))))))),IF(P21&lt;Bewertung_Stammdaten!G$12,Bewertung_Stammdaten!E$12,IF(P21&lt;Bewertung_Stammdaten!G$13,Bewertung_Stammdaten!E$13,IF(P21&lt;Bewertung_Stammdaten!G$14,Bewertung_Stammdaten!E$14,IF(P21&lt;Bewertung_Stammdaten!G$15,Bewertung_Stammdaten!E$15,IF(P21&lt;Bewertung_Stammdaten!G$16,Bewertung_Stammdaten!E$16,IF(P21&lt;Bewertung_Stammdaten!G$17,Bewertung_Stammdaten!E$17,IF(P21&lt;Bewertung_Stammdaten!G$18,Bewertung_Stammdaten!E$18,IF(P21&lt;Bewertung_Stammdaten!G$19,Bewertung_Stammdaten!E$19,IF(P21&lt;Bewertung_Stammdaten!G$20,Bewertung_Stammdaten!E$20,Bewertung_Stammdaten!E$21))))))))))</f>
        <v>7.5</v>
      </c>
      <c r="S21" s="43"/>
      <c r="T21" s="11">
        <f ca="1">VLOOKUP(A21,Buchwert_je_Aktie!A$3:AK$103,23,FALSE)</f>
        <v>5.6535000000000002</v>
      </c>
      <c r="U21" s="11">
        <f>VLOOKUP(A21,Buchwert_je_Aktie!A$3:AK$103,19,FALSE)</f>
        <v>4.63</v>
      </c>
      <c r="V21" s="12">
        <f ca="1">VLOOKUP(A21,Buchwert_je_Aktie!A$3:AK$103,24,FALSE)</f>
        <v>0.22105831533477338</v>
      </c>
      <c r="W21" s="12">
        <f>VLOOKUP(A21,Buchwert_je_Aktie!A$3:AK$103,37,FALSE)</f>
        <v>-0.19612590799031482</v>
      </c>
      <c r="X21" s="16">
        <f t="shared" ca="1" si="3"/>
        <v>4.5447021791767552</v>
      </c>
      <c r="Y21" s="12">
        <f t="shared" ca="1" si="4"/>
        <v>-1.842285546938327E-2</v>
      </c>
      <c r="Z21" s="51">
        <f ca="1">IF(V21&lt;Bewertung_Stammdaten!B$25,Bewertung_Stammdaten!A$25,IF(V21&lt;Bewertung_Stammdaten!B$26,Bewertung_Stammdaten!A$26,IF(V21&lt;Bewertung_Stammdaten!B$27,Bewertung_Stammdaten!A$27,IF(V21&lt;Bewertung_Stammdaten!B$28,Bewertung_Stammdaten!A$28,IF(V21&lt;Bewertung_Stammdaten!B$29,Bewertung_Stammdaten!A$29,IF(V21&lt;Bewertung_Stammdaten!B$30,Bewertung_Stammdaten!A$30,IF(V21&lt;Bewertung_Stammdaten!B$31,Bewertung_Stammdaten!A$31,IF(V21&lt;Bewertung_Stammdaten!B$32,Bewertung_Stammdaten!A$32,IF(V21&lt;Bewertung_Stammdaten!B$33,Bewertung_Stammdaten!A$33,Bewertung_Stammdaten!A$34)))))))))</f>
        <v>7.5</v>
      </c>
      <c r="AA21" s="51">
        <f>IF(W21&lt;Bewertung_Stammdaten!F$25,Bewertung_Stammdaten!E$25,IF(W21&lt;Bewertung_Stammdaten!F$26,Bewertung_Stammdaten!E$26,IF(W21&lt;Bewertung_Stammdaten!F$27,Bewertung_Stammdaten!E$27,IF(W21&lt;Bewertung_Stammdaten!F$28,Bewertung_Stammdaten!E$28,IF(W21&lt;Bewertung_Stammdaten!F$29,Bewertung_Stammdaten!E$29,IF(W21&lt;Bewertung_Stammdaten!F$30,Bewertung_Stammdaten!E$30,IF(W21&lt;Bewertung_Stammdaten!F$31,Bewertung_Stammdaten!E$31,IF(W21&lt;Bewertung_Stammdaten!F$32,Bewertung_Stammdaten!E$32,IF(W21&lt;Bewertung_Stammdaten!F$33,Bewertung_Stammdaten!E$33,Bewertung_Stammdaten!E$34)))))))))</f>
        <v>6</v>
      </c>
      <c r="AB21" s="51">
        <f ca="1">IF(Y21&lt;Bewertung_Stammdaten!J$25,Bewertung_Stammdaten!I$25,IF(Y21&lt;Bewertung_Stammdaten!J$26,Bewertung_Stammdaten!I$26,IF(Y21&lt;Bewertung_Stammdaten!J$27,Bewertung_Stammdaten!I$27,IF(Y21&lt;Bewertung_Stammdaten!J$28,Bewertung_Stammdaten!I$28,IF(Y21&lt;Bewertung_Stammdaten!J$29,Bewertung_Stammdaten!I$29,IF(Y21&lt;Bewertung_Stammdaten!J$30,Bewertung_Stammdaten!I$30,IF(Y21&lt;Bewertung_Stammdaten!J$31,Bewertung_Stammdaten!I$31,IF(Y21&lt;Bewertung_Stammdaten!J$32,Bewertung_Stammdaten!I$32,IF(Y21&lt;Bewertung_Stammdaten!J$33,Bewertung_Stammdaten!I$33,Bewertung_Stammdaten!I$34)))))))))</f>
        <v>2</v>
      </c>
      <c r="AC21" s="43"/>
      <c r="AD21" s="14">
        <f ca="1">VLOOKUP(A21,Ergebnis_je_Aktie_verwässert!A$3:AK$103,23,FALSE)</f>
        <v>1.8674444444444445</v>
      </c>
      <c r="AE21" s="14">
        <f>VLOOKUP(A21,Ergebnis_je_Aktie_verwässert!A$3:AK$103,19,FALSE)</f>
        <v>1.5190769230769232</v>
      </c>
      <c r="AF21" s="12">
        <f ca="1">VLOOKUP(A21,Ergebnis_je_Aktie_verwässert!A$3:AK$103,24,FALSE)</f>
        <v>0.22932842706997048</v>
      </c>
      <c r="AG21" s="40">
        <f>VLOOKUP(A21,Ergebnis_je_Aktie_verwässert!A$3:AK$103,37,FALSE)</f>
        <v>-7.6335877862595436E-2</v>
      </c>
      <c r="AH21" s="16">
        <f t="shared" ca="1" si="5"/>
        <v>1.7248914334181509</v>
      </c>
      <c r="AI21" s="12">
        <f t="shared" ca="1" si="6"/>
        <v>0.1354865624081405</v>
      </c>
      <c r="AJ21" s="32">
        <f ca="1">IF(AF21&lt;Bewertung_Stammdaten!B$38,Bewertung_Stammdaten!A$38,IF(AF21&lt;Bewertung_Stammdaten!B$39,Bewertung_Stammdaten!A$39,IF(AF21&lt;Bewertung_Stammdaten!B$40,Bewertung_Stammdaten!A$40,IF(AF21&lt;Bewertung_Stammdaten!B$41,Bewertung_Stammdaten!A$41,IF(AF21&lt;Bewertung_Stammdaten!B$42,Bewertung_Stammdaten!A$42,IF(AF21&lt;Bewertung_Stammdaten!B$43,Bewertung_Stammdaten!A$43,IF(AF21&lt;Bewertung_Stammdaten!B$44,Bewertung_Stammdaten!A$44,IF(AF21&lt;Bewertung_Stammdaten!B$45,Bewertung_Stammdaten!A$45,IF(AF21&lt;Bewertung_Stammdaten!B$46,Bewertung_Stammdaten!A$46,Bewertung_Stammdaten!A$47)))))))))</f>
        <v>12</v>
      </c>
      <c r="AK21" s="32">
        <f>IF(AG21&lt;Bewertung_Stammdaten!F$38,Bewertung_Stammdaten!E$38,IF(AG21&lt;Bewertung_Stammdaten!F$39,Bewertung_Stammdaten!E$39,IF(AG21&lt;Bewertung_Stammdaten!F$40,Bewertung_Stammdaten!E$40,IF(AG21&lt;Bewertung_Stammdaten!F$41,Bewertung_Stammdaten!E$41,IF(AG21&lt;Bewertung_Stammdaten!F$42,Bewertung_Stammdaten!E$42,IF(AG21&lt;Bewertung_Stammdaten!F$43,Bewertung_Stammdaten!E$43,IF(AG21&lt;Bewertung_Stammdaten!F$44,Bewertung_Stammdaten!E$44,IF(AG21&lt;Bewertung_Stammdaten!F$45,Bewertung_Stammdaten!E$45,IF(AG21&lt;Bewertung_Stammdaten!F$46,Bewertung_Stammdaten!E$46,Bewertung_Stammdaten!E$47)))))))))</f>
        <v>10.5</v>
      </c>
      <c r="AL21" s="32">
        <f ca="1">IF(AI21&lt;Bewertung_Stammdaten!J$38,Bewertung_Stammdaten!I$38,IF(AI21&lt;Bewertung_Stammdaten!J$39,Bewertung_Stammdaten!I$39,IF(AI21&lt;Bewertung_Stammdaten!J$40,Bewertung_Stammdaten!I$40,IF(AI21&lt;Bewertung_Stammdaten!J$41,Bewertung_Stammdaten!I$41,IF(AI21&lt;Bewertung_Stammdaten!J$42,Bewertung_Stammdaten!I$42,IF(AI21&lt;Bewertung_Stammdaten!J$43,Bewertung_Stammdaten!I$43,IF(AI21&lt;Bewertung_Stammdaten!J$44,Bewertung_Stammdaten!I$44,IF(AI21&lt;Bewertung_Stammdaten!J$45,Bewertung_Stammdaten!I$45,IF(AI21&lt;Bewertung_Stammdaten!J$46,Bewertung_Stammdaten!I$46,Bewertung_Stammdaten!I$47)))))))))</f>
        <v>5</v>
      </c>
      <c r="AM21" s="43"/>
      <c r="AN21" s="14">
        <f ca="1">VLOOKUP(A21,Dividende_je_Aktie!A$3:AM$103,24,FALSE)</f>
        <v>1.217111111111111</v>
      </c>
      <c r="AO21" s="14">
        <f>VLOOKUP(A21,Dividende_je_Aktie!A$3:AM$103,20,FALSE)</f>
        <v>0.93035714285714288</v>
      </c>
      <c r="AP21" s="12">
        <f ca="1">VLOOKUP(A21,Dividende_je_Aktie!A$3:AM$103,25,FALSE)</f>
        <v>0.30821923651098304</v>
      </c>
      <c r="AQ21" s="40">
        <f>VLOOKUP(A21,Dividende_je_Aktie!A$3:AM$103,39,FALSE)</f>
        <v>2.6666666666666616E-2</v>
      </c>
      <c r="AR21" s="16">
        <f t="shared" ca="1" si="7"/>
        <v>1.217111111111111</v>
      </c>
      <c r="AS21" s="12">
        <f t="shared" ca="1" si="8"/>
        <v>0.30821923651098304</v>
      </c>
      <c r="AT21" s="32">
        <f ca="1">IF(AP21&lt;Bewertung_Stammdaten!B$51,Bewertung_Stammdaten!A$51,IF(AP21&lt;Bewertung_Stammdaten!B$52,Bewertung_Stammdaten!A$52,IF(AP21&lt;Bewertung_Stammdaten!B$53,Bewertung_Stammdaten!A$53,IF(AP21&lt;Bewertung_Stammdaten!B$54,Bewertung_Stammdaten!A$54,IF(AP21&lt;Bewertung_Stammdaten!B$55,Bewertung_Stammdaten!A$55,IF(AP21&lt;Bewertung_Stammdaten!B$56,Bewertung_Stammdaten!A$56,IF(AP21&lt;Bewertung_Stammdaten!B$57,Bewertung_Stammdaten!A$57,IF(AP21&lt;Bewertung_Stammdaten!B$58,Bewertung_Stammdaten!A$58,IF(AP21&lt;Bewertung_Stammdaten!B$59,Bewertung_Stammdaten!A$59,Bewertung_Stammdaten!A$60)))))))))</f>
        <v>12</v>
      </c>
      <c r="AU21" s="32">
        <f>IF(AQ21&lt;Bewertung_Stammdaten!F$51,Bewertung_Stammdaten!E$51,IF(AQ21&lt;Bewertung_Stammdaten!F$52,Bewertung_Stammdaten!E$52,IF(AQ21&lt;Bewertung_Stammdaten!F$53,Bewertung_Stammdaten!E$53,IF(AQ21&lt;Bewertung_Stammdaten!F$54,Bewertung_Stammdaten!E$54,IF(AQ21&lt;Bewertung_Stammdaten!F$55,Bewertung_Stammdaten!E$55,IF(AQ21&lt;Bewertung_Stammdaten!F$56,Bewertung_Stammdaten!E$56,IF(AQ21&lt;Bewertung_Stammdaten!F$57,Bewertung_Stammdaten!E$57,IF(AQ21&lt;Bewertung_Stammdaten!F$58,Bewertung_Stammdaten!E$58,IF(AQ21&lt;Bewertung_Stammdaten!F$59,Bewertung_Stammdaten!E$59,Bewertung_Stammdaten!E$60)))))))))</f>
        <v>12</v>
      </c>
      <c r="AV21" s="32">
        <f ca="1">IF(AS21&lt;Bewertung_Stammdaten!J$51,Bewertung_Stammdaten!I$51,IF(AS21&lt;Bewertung_Stammdaten!J$52,Bewertung_Stammdaten!I$52,IF(AS21&lt;Bewertung_Stammdaten!J$53,Bewertung_Stammdaten!I$53,IF(AS21&lt;Bewertung_Stammdaten!J$54,Bewertung_Stammdaten!I$54,IF(AS21&lt;Bewertung_Stammdaten!J$55,Bewertung_Stammdaten!I$55,IF(AS21&lt;Bewertung_Stammdaten!J$56,Bewertung_Stammdaten!I$56,IF(AS21&lt;Bewertung_Stammdaten!J$57,Bewertung_Stammdaten!I$57,IF(AS21&lt;Bewertung_Stammdaten!J$58,Bewertung_Stammdaten!I$58,IF(AS21&lt;Bewertung_Stammdaten!J$59,Bewertung_Stammdaten!I$59,Bewertung_Stammdaten!I$60)))))))))</f>
        <v>7</v>
      </c>
      <c r="AW21" s="43"/>
      <c r="AX21" s="12">
        <f ca="1">VLOOKUP(A21,Dividendenrendite!A$3:R$103,17,FALSE)</f>
        <v>3.1108271210507629E-2</v>
      </c>
      <c r="AY21" s="12">
        <f>VLOOKUP(A21,Dividendenrendite!A$3:R$103,16,FALSE)</f>
        <v>3.4783213760124838E-2</v>
      </c>
      <c r="AZ21" s="12">
        <f ca="1">VLOOKUP(A21,Dividendenrendite!A$3:R$103,18,FALSE)</f>
        <v>-0.10565276040795668</v>
      </c>
      <c r="BA21" s="32">
        <f ca="1">IF(AX21&lt;Bewertung_Stammdaten!B$64,Bewertung_Stammdaten!A$64,IF(AX21&lt;Bewertung_Stammdaten!B$65,Bewertung_Stammdaten!A$65,IF(AX21&lt;Bewertung_Stammdaten!B$66,Bewertung_Stammdaten!A$66,IF(AX21&lt;Bewertung_Stammdaten!B$67,Bewertung_Stammdaten!A$67,IF(AX21&lt;Bewertung_Stammdaten!B$68,Bewertung_Stammdaten!A$68,IF(AX21&lt;Bewertung_Stammdaten!B$69,Bewertung_Stammdaten!A$69,IF(AX21&lt;Bewertung_Stammdaten!B$70,Bewertung_Stammdaten!A$70,IF(AX21&lt;Bewertung_Stammdaten!B$71,Bewertung_Stammdaten!A$71,IF(AX21&lt;Bewertung_Stammdaten!B$72,Bewertung_Stammdaten!A$72,Bewertung_Stammdaten!A$73)))))))))</f>
        <v>10.5</v>
      </c>
      <c r="BB21" s="32">
        <f>IF(AY21&lt;Bewertung_Stammdaten!F$64,Bewertung_Stammdaten!E$64,IF(AY21&lt;Bewertung_Stammdaten!F$65,Bewertung_Stammdaten!E$65,IF(AY21&lt;Bewertung_Stammdaten!F$66,Bewertung_Stammdaten!E$66,IF(AY21&lt;Bewertung_Stammdaten!F$67,Bewertung_Stammdaten!E$67,IF(AY21&lt;Bewertung_Stammdaten!F$68,Bewertung_Stammdaten!E$68,IF(AY21&lt;Bewertung_Stammdaten!F$69,Bewertung_Stammdaten!E$69,IF(AY21&lt;Bewertung_Stammdaten!F$70,Bewertung_Stammdaten!E$70,IF(AY21&lt;Bewertung_Stammdaten!F$71,Bewertung_Stammdaten!E$71,IF(AY21&lt;Bewertung_Stammdaten!F$72,Bewertung_Stammdaten!E$72,Bewertung_Stammdaten!E$73)))))))))</f>
        <v>7</v>
      </c>
      <c r="BC21" s="32">
        <f ca="1">IF(AZ21&lt;Bewertung_Stammdaten!J$64,Bewertung_Stammdaten!I$64,IF(AZ21&lt;Bewertung_Stammdaten!J$65,Bewertung_Stammdaten!I$65,IF(AZ21&lt;Bewertung_Stammdaten!J$66,Bewertung_Stammdaten!I$66,IF(AZ21&lt;Bewertung_Stammdaten!J$67,Bewertung_Stammdaten!I$67,IF(AZ21&lt;Bewertung_Stammdaten!J$68,Bewertung_Stammdaten!I$68,IF(AZ21&lt;Bewertung_Stammdaten!J$69,Bewertung_Stammdaten!I$69,IF(AZ21&lt;Bewertung_Stammdaten!J$70,Bewertung_Stammdaten!I$70,IF(AZ21&lt;Bewertung_Stammdaten!J$71,Bewertung_Stammdaten!I$71,IF(AZ21&lt;Bewertung_Stammdaten!J$72,Bewertung_Stammdaten!I$72,Bewertung_Stammdaten!I$73)))))))))</f>
        <v>1.5</v>
      </c>
      <c r="BD21" s="43"/>
      <c r="BE21" s="12">
        <f>VLOOKUP(A21,Aktien_im_Umlauf_splitbereinigt!A$3:Z$103,26,FALSE)</f>
        <v>0</v>
      </c>
      <c r="BF21" s="12">
        <f>VLOOKUP(A21,Aktien_im_Umlauf_splitbereinigt!A$3:Y$103,24,FALSE)</f>
        <v>0</v>
      </c>
      <c r="BG21" s="12">
        <f>VLOOKUP(A21,Aktien_im_Umlauf_splitbereinigt!A$3:Y$103,25,FALSE)</f>
        <v>0</v>
      </c>
      <c r="BH21" s="41">
        <f>IF(BE21&lt;Bewertung_Stammdaten!B$77,Bewertung_Stammdaten!A$77,IF(BE21&lt;Bewertung_Stammdaten!B$78,Bewertung_Stammdaten!A$78,IF(BE21&lt;Bewertung_Stammdaten!B$79,Bewertung_Stammdaten!A$79,IF(BE21&lt;Bewertung_Stammdaten!B$80,Bewertung_Stammdaten!A$80,IF(BE21&lt;Bewertung_Stammdaten!B$81,Bewertung_Stammdaten!A$81,IF(BE21&lt;Bewertung_Stammdaten!B$82,Bewertung_Stammdaten!A$82,IF(BE21&lt;Bewertung_Stammdaten!B$83,Bewertung_Stammdaten!A$83,IF(BE21&lt;Bewertung_Stammdaten!B$84,Bewertung_Stammdaten!A$84,IF(BE21&lt;Bewertung_Stammdaten!B$85,Bewertung_Stammdaten!A$85,Bewertung_Stammdaten!A$86)))))))))</f>
        <v>2</v>
      </c>
      <c r="BI21" s="41">
        <f>IF(BF21&lt;Bewertung_Stammdaten!F$77,Bewertung_Stammdaten!E$77,IF(BF21&lt;Bewertung_Stammdaten!F$78,Bewertung_Stammdaten!E$78,IF(BF21&lt;Bewertung_Stammdaten!F$79,Bewertung_Stammdaten!E$79,IF(BF21&lt;Bewertung_Stammdaten!F$80,Bewertung_Stammdaten!E$80,IF(BF21&lt;Bewertung_Stammdaten!F$81,Bewertung_Stammdaten!E$81,IF(BF21&lt;Bewertung_Stammdaten!F$82,Bewertung_Stammdaten!E$82,IF(BF21&lt;Bewertung_Stammdaten!F$83,Bewertung_Stammdaten!E$83,IF(BF21&lt;Bewertung_Stammdaten!F$84,Bewertung_Stammdaten!E$84,IF(BF21&lt;Bewertung_Stammdaten!F$85,Bewertung_Stammdaten!E$85,Bewertung_Stammdaten!E$86)))))))))</f>
        <v>2</v>
      </c>
      <c r="BJ21" s="41">
        <f>IF(BG21&lt;Bewertung_Stammdaten!J$77,Bewertung_Stammdaten!I$77,IF(BG21&lt;Bewertung_Stammdaten!J$78,Bewertung_Stammdaten!I$78,IF(BG21&lt;Bewertung_Stammdaten!J$79,Bewertung_Stammdaten!I$79,IF(BG21&lt;Bewertung_Stammdaten!J$80,Bewertung_Stammdaten!I$80,IF(BG21&lt;Bewertung_Stammdaten!J$81,Bewertung_Stammdaten!I$81,IF(BG21&lt;Bewertung_Stammdaten!J$82,Bewertung_Stammdaten!I$82,IF(BG21&lt;Bewertung_Stammdaten!J$83,Bewertung_Stammdaten!I$83,IF(BG21&lt;Bewertung_Stammdaten!J$84,Bewertung_Stammdaten!I$84,IF(BG21&lt;Bewertung_Stammdaten!J$85,Bewertung_Stammdaten!I$85,Bewertung_Stammdaten!I$86)))))))))</f>
        <v>3</v>
      </c>
      <c r="BK21" s="43"/>
      <c r="BL21" s="12">
        <f ca="1">VLOOKUP(A21,Ausschüttungsquote!A$3:X$103,23,FALSE)</f>
        <v>0.65185112506541065</v>
      </c>
      <c r="BM21" s="12">
        <f>VLOOKUP(A21,Ausschüttungsquote!A$3:X$103,19,FALSE)</f>
        <v>0.62561824306188285</v>
      </c>
      <c r="BN21" s="12">
        <f ca="1">VLOOKUP(A21,Ausschüttungsquote!A$3:X$103,24,FALSE)</f>
        <v>4.1931133393968256E-2</v>
      </c>
      <c r="BO21" s="32">
        <f ca="1">IF(BL21&lt;Bewertung_Stammdaten!B$90,Bewertung_Stammdaten!A$90,IF(BL21&lt;Bewertung_Stammdaten!B$91,Bewertung_Stammdaten!A$91,IF(BL21&lt;Bewertung_Stammdaten!B$92,Bewertung_Stammdaten!A$92,IF(BL21&lt;Bewertung_Stammdaten!B$93,Bewertung_Stammdaten!A$93,IF(BL21&lt;Bewertung_Stammdaten!B$94,Bewertung_Stammdaten!A$94,IF(BL21&lt;Bewertung_Stammdaten!B$95,Bewertung_Stammdaten!A$95,IF(BL21&lt;Bewertung_Stammdaten!B$96,Bewertung_Stammdaten!A$96,IF(BL21&lt;Bewertung_Stammdaten!B$97,Bewertung_Stammdaten!A$97,IF(BL21&lt;Bewertung_Stammdaten!B$98,Bewertung_Stammdaten!A$98,Bewertung_Stammdaten!A$99)))))))))</f>
        <v>4</v>
      </c>
      <c r="BP21" s="41">
        <f>IF(BM21&lt;Bewertung_Stammdaten!F$90,Bewertung_Stammdaten!E$90,IF(BM21&lt;Bewertung_Stammdaten!F$91,Bewertung_Stammdaten!E$91,IF(BM21&lt;Bewertung_Stammdaten!F$92,Bewertung_Stammdaten!E$92,IF(BM21&lt;Bewertung_Stammdaten!F$93,Bewertung_Stammdaten!E$93,IF(BM21&lt;Bewertung_Stammdaten!F$94,Bewertung_Stammdaten!E$94,IF(BM21&lt;Bewertung_Stammdaten!F$95,Bewertung_Stammdaten!E$95,IF(BM21&lt;Bewertung_Stammdaten!F$96,Bewertung_Stammdaten!E$96,IF(BM21&lt;Bewertung_Stammdaten!F$97,Bewertung_Stammdaten!E$97,IF(BM21&lt;Bewertung_Stammdaten!F$98,Bewertung_Stammdaten!E$98,Bewertung_Stammdaten!E$99)))))))))</f>
        <v>5</v>
      </c>
      <c r="BQ21" s="32">
        <f ca="1">IF(BN21&lt;Bewertung_Stammdaten!J$90,Bewertung_Stammdaten!I$90,IF(BN21&lt;Bewertung_Stammdaten!J$91,Bewertung_Stammdaten!I$91,IF(BN21&lt;Bewertung_Stammdaten!J$92,Bewertung_Stammdaten!I$92,IF(BN21&lt;Bewertung_Stammdaten!J$93,Bewertung_Stammdaten!I$93,IF(BN21&lt;Bewertung_Stammdaten!J$94,Bewertung_Stammdaten!I$94,IF(BN21&lt;Bewertung_Stammdaten!J$95,Bewertung_Stammdaten!I$95,IF(BN21&lt;Bewertung_Stammdaten!J$96,Bewertung_Stammdaten!I$96,IF(BN21&lt;Bewertung_Stammdaten!J$97,Bewertung_Stammdaten!I$97,IF(BN21&lt;Bewertung_Stammdaten!J$98,Bewertung_Stammdaten!I$98,Bewertung_Stammdaten!I$99)))))))))</f>
        <v>5</v>
      </c>
    </row>
    <row r="22" spans="1:69" x14ac:dyDescent="0.25">
      <c r="A22" s="38" t="s">
        <v>38</v>
      </c>
      <c r="B22" s="38" t="s">
        <v>39</v>
      </c>
      <c r="C22" s="38" t="s">
        <v>296</v>
      </c>
      <c r="D22" s="32">
        <f t="shared" ca="1" si="0"/>
        <v>166.5</v>
      </c>
      <c r="E22" s="43"/>
      <c r="F22" s="66">
        <v>1</v>
      </c>
      <c r="G22" s="11">
        <f ca="1">VLOOKUP(A22,KGV!A$3:R$103,17,FALSE)</f>
        <v>13.6468330134357</v>
      </c>
      <c r="H22" s="11">
        <f>VLOOKUP(A22,KGV!A$3:R$103,16,FALSE)</f>
        <v>13.443396226415093</v>
      </c>
      <c r="I22" s="12">
        <f ca="1">VLOOKUP(A22,KGV!A$3:R$103,18,FALSE)</f>
        <v>1.5132841701182009E-2</v>
      </c>
      <c r="J22" s="16">
        <f t="shared" ca="1" si="1"/>
        <v>14.847248880358284</v>
      </c>
      <c r="K22" s="12">
        <f t="shared" ca="1" si="2"/>
        <v>0.10442693425823046</v>
      </c>
      <c r="L22" s="11">
        <f ca="1">VLOOKUP(A22,KBV!A$3:R$103,17,FALSE)</f>
        <v>2.028333387363439</v>
      </c>
      <c r="M22" s="11">
        <f>VLOOKUP(A22,KBV!A$3:R$103,16,FALSE)</f>
        <v>1.8912991670456312</v>
      </c>
      <c r="N22" s="12">
        <f ca="1">VLOOKUP(A22,KBV!A$3:R$103,18,FALSE)</f>
        <v>7.2455073584083873E-2</v>
      </c>
      <c r="O22" s="16">
        <f t="shared" ca="1" si="9"/>
        <v>2.3682498082426942</v>
      </c>
      <c r="P22" s="12">
        <f t="shared" ca="1" si="10"/>
        <v>0.25218148958533093</v>
      </c>
      <c r="Q22" s="32">
        <f ca="1">IF(F22=1,IF(I22&lt;Bewertung_Stammdaten!B$12,Bewertung_Stammdaten!A$12,IF(I22&lt;Bewertung_Stammdaten!B$13,Bewertung_Stammdaten!A$13,IF(I22&lt;Bewertung_Stammdaten!B$14,Bewertung_Stammdaten!A$14,IF(I22&lt;Bewertung_Stammdaten!B$15,Bewertung_Stammdaten!A$15,IF(I22&lt;Bewertung_Stammdaten!B$16,Bewertung_Stammdaten!A$16,IF(I22&lt;Bewertung_Stammdaten!B$17,Bewertung_Stammdaten!A$17,IF(I22&lt;Bewertung_Stammdaten!B$18,Bewertung_Stammdaten!A$18,IF(I22&lt;Bewertung_Stammdaten!B$19,Bewertung_Stammdaten!A$19,IF(I22&lt;Bewertung_Stammdaten!B$20,Bewertung_Stammdaten!A$20,Bewertung_Stammdaten!A$21))))))))),IF(N22&lt;Bewertung_Stammdaten!C$12,Bewertung_Stammdaten!A$12,IF(N22&lt;Bewertung_Stammdaten!C$13,Bewertung_Stammdaten!A$13,IF(N22&lt;Bewertung_Stammdaten!C$14,Bewertung_Stammdaten!A$14,IF(N22&lt;Bewertung_Stammdaten!C$15,Bewertung_Stammdaten!A$15,IF(N22&lt;Bewertung_Stammdaten!C$16,Bewertung_Stammdaten!A$16,IF(N22&lt;Bewertung_Stammdaten!C$17,Bewertung_Stammdaten!A$17,IF(N22&lt;Bewertung_Stammdaten!C$18,Bewertung_Stammdaten!A$18,IF(N22&lt;Bewertung_Stammdaten!C$19,Bewertung_Stammdaten!A$19,IF(N22&lt;Bewertung_Stammdaten!C$20,Bewertung_Stammdaten!A$20,Bewertung_Stammdaten!A$21))))))))))</f>
        <v>36</v>
      </c>
      <c r="R22" s="32">
        <f ca="1">IF(F22=1,IF(K22&lt;Bewertung_Stammdaten!F$12,Bewertung_Stammdaten!E$12,IF(K22&lt;Bewertung_Stammdaten!F$13,Bewertung_Stammdaten!E$13,IF(K22&lt;Bewertung_Stammdaten!F$14,Bewertung_Stammdaten!E$14,IF(K22&lt;Bewertung_Stammdaten!F$15,Bewertung_Stammdaten!E$15,IF(K22&lt;Bewertung_Stammdaten!F$16,Bewertung_Stammdaten!E$16,IF(K22&lt;Bewertung_Stammdaten!F$17,Bewertung_Stammdaten!E$17,IF(K22&lt;Bewertung_Stammdaten!F$18,Bewertung_Stammdaten!E$18,IF(K22&lt;Bewertung_Stammdaten!F$19,Bewertung_Stammdaten!E$19,IF(K22&lt;Bewertung_Stammdaten!F$20,Bewertung_Stammdaten!E$20,Bewertung_Stammdaten!E$21))))))))),IF(P22&lt;Bewertung_Stammdaten!G$12,Bewertung_Stammdaten!E$12,IF(P22&lt;Bewertung_Stammdaten!G$13,Bewertung_Stammdaten!E$13,IF(P22&lt;Bewertung_Stammdaten!G$14,Bewertung_Stammdaten!E$14,IF(P22&lt;Bewertung_Stammdaten!G$15,Bewertung_Stammdaten!E$15,IF(P22&lt;Bewertung_Stammdaten!G$16,Bewertung_Stammdaten!E$16,IF(P22&lt;Bewertung_Stammdaten!G$17,Bewertung_Stammdaten!E$17,IF(P22&lt;Bewertung_Stammdaten!G$18,Bewertung_Stammdaten!E$18,IF(P22&lt;Bewertung_Stammdaten!G$19,Bewertung_Stammdaten!E$19,IF(P22&lt;Bewertung_Stammdaten!G$20,Bewertung_Stammdaten!E$20,Bewertung_Stammdaten!E$21))))))))))</f>
        <v>17.5</v>
      </c>
      <c r="S22" s="43"/>
      <c r="T22" s="11">
        <f ca="1">VLOOKUP(A22,Buchwert_je_Aktie!A$3:AK$103,23,FALSE)</f>
        <v>17.137222222222221</v>
      </c>
      <c r="U22" s="11">
        <f>VLOOKUP(A22,Buchwert_je_Aktie!A$3:AK$103,19,FALSE)</f>
        <v>17.638333333333332</v>
      </c>
      <c r="V22" s="12">
        <f ca="1">VLOOKUP(A22,Buchwert_je_Aktie!A$3:AK$103,24,FALSE)</f>
        <v>-2.8410343632870316E-2</v>
      </c>
      <c r="W22" s="12">
        <f>VLOOKUP(A22,Buchwert_je_Aktie!A$3:AK$103,37,FALSE)</f>
        <v>-0.14353064431639595</v>
      </c>
      <c r="X22" s="16">
        <f t="shared" ca="1" si="3"/>
        <v>14.677505674873407</v>
      </c>
      <c r="Y22" s="12">
        <f t="shared" ca="1" si="4"/>
        <v>-0.16786323302239015</v>
      </c>
      <c r="Z22" s="51">
        <f ca="1">IF(V22&lt;Bewertung_Stammdaten!B$25,Bewertung_Stammdaten!A$25,IF(V22&lt;Bewertung_Stammdaten!B$26,Bewertung_Stammdaten!A$26,IF(V22&lt;Bewertung_Stammdaten!B$27,Bewertung_Stammdaten!A$27,IF(V22&lt;Bewertung_Stammdaten!B$28,Bewertung_Stammdaten!A$28,IF(V22&lt;Bewertung_Stammdaten!B$29,Bewertung_Stammdaten!A$29,IF(V22&lt;Bewertung_Stammdaten!B$30,Bewertung_Stammdaten!A$30,IF(V22&lt;Bewertung_Stammdaten!B$31,Bewertung_Stammdaten!A$31,IF(V22&lt;Bewertung_Stammdaten!B$32,Bewertung_Stammdaten!A$32,IF(V22&lt;Bewertung_Stammdaten!B$33,Bewertung_Stammdaten!A$33,Bewertung_Stammdaten!A$34)))))))))</f>
        <v>3</v>
      </c>
      <c r="AA22" s="51">
        <f>IF(W22&lt;Bewertung_Stammdaten!F$25,Bewertung_Stammdaten!E$25,IF(W22&lt;Bewertung_Stammdaten!F$26,Bewertung_Stammdaten!E$26,IF(W22&lt;Bewertung_Stammdaten!F$27,Bewertung_Stammdaten!E$27,IF(W22&lt;Bewertung_Stammdaten!F$28,Bewertung_Stammdaten!E$28,IF(W22&lt;Bewertung_Stammdaten!F$29,Bewertung_Stammdaten!E$29,IF(W22&lt;Bewertung_Stammdaten!F$30,Bewertung_Stammdaten!E$30,IF(W22&lt;Bewertung_Stammdaten!F$31,Bewertung_Stammdaten!E$31,IF(W22&lt;Bewertung_Stammdaten!F$32,Bewertung_Stammdaten!E$32,IF(W22&lt;Bewertung_Stammdaten!F$33,Bewertung_Stammdaten!E$33,Bewertung_Stammdaten!E$34)))))))))</f>
        <v>7.5</v>
      </c>
      <c r="AB22" s="51">
        <f ca="1">IF(Y22&lt;Bewertung_Stammdaten!J$25,Bewertung_Stammdaten!I$25,IF(Y22&lt;Bewertung_Stammdaten!J$26,Bewertung_Stammdaten!I$26,IF(Y22&lt;Bewertung_Stammdaten!J$27,Bewertung_Stammdaten!I$27,IF(Y22&lt;Bewertung_Stammdaten!J$28,Bewertung_Stammdaten!I$28,IF(Y22&lt;Bewertung_Stammdaten!J$29,Bewertung_Stammdaten!I$29,IF(Y22&lt;Bewertung_Stammdaten!J$30,Bewertung_Stammdaten!I$30,IF(Y22&lt;Bewertung_Stammdaten!J$31,Bewertung_Stammdaten!I$31,IF(Y22&lt;Bewertung_Stammdaten!J$32,Bewertung_Stammdaten!I$32,IF(Y22&lt;Bewertung_Stammdaten!J$33,Bewertung_Stammdaten!I$33,Bewertung_Stammdaten!I$34)))))))))</f>
        <v>1</v>
      </c>
      <c r="AC22" s="43"/>
      <c r="AD22" s="14">
        <f ca="1">VLOOKUP(A22,Ergebnis_je_Aktie_verwässert!A$3:AK$103,23,FALSE)</f>
        <v>2.5471111111111111</v>
      </c>
      <c r="AE22" s="14">
        <f>VLOOKUP(A22,Ergebnis_je_Aktie_verwässert!A$3:AK$103,19,FALSE)</f>
        <v>2.2407692307692311</v>
      </c>
      <c r="AF22" s="12">
        <f ca="1">VLOOKUP(A22,Ergebnis_je_Aktie_verwässert!A$3:AK$103,24,FALSE)</f>
        <v>0.13671281992600215</v>
      </c>
      <c r="AG22" s="40">
        <f>VLOOKUP(A22,Ergebnis_je_Aktie_verwässert!A$3:AK$103,37,FALSE)</f>
        <v>-8.085106382978724E-2</v>
      </c>
      <c r="AH22" s="16">
        <f t="shared" ca="1" si="5"/>
        <v>2.3411744680851063</v>
      </c>
      <c r="AI22" s="12">
        <f t="shared" ca="1" si="6"/>
        <v>4.4808379166027423E-2</v>
      </c>
      <c r="AJ22" s="32">
        <f ca="1">IF(AF22&lt;Bewertung_Stammdaten!B$38,Bewertung_Stammdaten!A$38,IF(AF22&lt;Bewertung_Stammdaten!B$39,Bewertung_Stammdaten!A$39,IF(AF22&lt;Bewertung_Stammdaten!B$40,Bewertung_Stammdaten!A$40,IF(AF22&lt;Bewertung_Stammdaten!B$41,Bewertung_Stammdaten!A$41,IF(AF22&lt;Bewertung_Stammdaten!B$42,Bewertung_Stammdaten!A$42,IF(AF22&lt;Bewertung_Stammdaten!B$43,Bewertung_Stammdaten!A$43,IF(AF22&lt;Bewertung_Stammdaten!B$44,Bewertung_Stammdaten!A$44,IF(AF22&lt;Bewertung_Stammdaten!B$45,Bewertung_Stammdaten!A$45,IF(AF22&lt;Bewertung_Stammdaten!B$46,Bewertung_Stammdaten!A$46,Bewertung_Stammdaten!A$47)))))))))</f>
        <v>10</v>
      </c>
      <c r="AK22" s="32">
        <f>IF(AG22&lt;Bewertung_Stammdaten!F$38,Bewertung_Stammdaten!E$38,IF(AG22&lt;Bewertung_Stammdaten!F$39,Bewertung_Stammdaten!E$39,IF(AG22&lt;Bewertung_Stammdaten!F$40,Bewertung_Stammdaten!E$40,IF(AG22&lt;Bewertung_Stammdaten!F$41,Bewertung_Stammdaten!E$41,IF(AG22&lt;Bewertung_Stammdaten!F$42,Bewertung_Stammdaten!E$42,IF(AG22&lt;Bewertung_Stammdaten!F$43,Bewertung_Stammdaten!E$43,IF(AG22&lt;Bewertung_Stammdaten!F$44,Bewertung_Stammdaten!E$44,IF(AG22&lt;Bewertung_Stammdaten!F$45,Bewertung_Stammdaten!E$45,IF(AG22&lt;Bewertung_Stammdaten!F$46,Bewertung_Stammdaten!E$46,Bewertung_Stammdaten!E$47)))))))))</f>
        <v>10.5</v>
      </c>
      <c r="AL22" s="32">
        <f ca="1">IF(AI22&lt;Bewertung_Stammdaten!J$38,Bewertung_Stammdaten!I$38,IF(AI22&lt;Bewertung_Stammdaten!J$39,Bewertung_Stammdaten!I$39,IF(AI22&lt;Bewertung_Stammdaten!J$40,Bewertung_Stammdaten!I$40,IF(AI22&lt;Bewertung_Stammdaten!J$41,Bewertung_Stammdaten!I$41,IF(AI22&lt;Bewertung_Stammdaten!J$42,Bewertung_Stammdaten!I$42,IF(AI22&lt;Bewertung_Stammdaten!J$43,Bewertung_Stammdaten!I$43,IF(AI22&lt;Bewertung_Stammdaten!J$44,Bewertung_Stammdaten!I$44,IF(AI22&lt;Bewertung_Stammdaten!J$45,Bewertung_Stammdaten!I$45,IF(AI22&lt;Bewertung_Stammdaten!J$46,Bewertung_Stammdaten!I$46,Bewertung_Stammdaten!I$47)))))))))</f>
        <v>4</v>
      </c>
      <c r="AM22" s="43"/>
      <c r="AN22" s="14">
        <f ca="1">VLOOKUP(A22,Dividende_je_Aktie!A$3:AM$103,24,FALSE)</f>
        <v>1.8969444444444443</v>
      </c>
      <c r="AO22" s="14">
        <f>VLOOKUP(A22,Dividende_je_Aktie!A$3:AM$103,20,FALSE)</f>
        <v>1.6600000000000001</v>
      </c>
      <c r="AP22" s="12">
        <f ca="1">VLOOKUP(A22,Dividende_je_Aktie!A$3:AM$103,25,FALSE)</f>
        <v>0.14273761713520727</v>
      </c>
      <c r="AQ22" s="40">
        <f>VLOOKUP(A22,Dividende_je_Aktie!A$3:AM$103,39,FALSE)</f>
        <v>1.5544041450777257E-2</v>
      </c>
      <c r="AR22" s="16">
        <f t="shared" ca="1" si="7"/>
        <v>1.8969444444444443</v>
      </c>
      <c r="AS22" s="12">
        <f t="shared" ca="1" si="8"/>
        <v>0.14273761713520727</v>
      </c>
      <c r="AT22" s="32">
        <f ca="1">IF(AP22&lt;Bewertung_Stammdaten!B$51,Bewertung_Stammdaten!A$51,IF(AP22&lt;Bewertung_Stammdaten!B$52,Bewertung_Stammdaten!A$52,IF(AP22&lt;Bewertung_Stammdaten!B$53,Bewertung_Stammdaten!A$53,IF(AP22&lt;Bewertung_Stammdaten!B$54,Bewertung_Stammdaten!A$54,IF(AP22&lt;Bewertung_Stammdaten!B$55,Bewertung_Stammdaten!A$55,IF(AP22&lt;Bewertung_Stammdaten!B$56,Bewertung_Stammdaten!A$56,IF(AP22&lt;Bewertung_Stammdaten!B$57,Bewertung_Stammdaten!A$57,IF(AP22&lt;Bewertung_Stammdaten!B$58,Bewertung_Stammdaten!A$58,IF(AP22&lt;Bewertung_Stammdaten!B$59,Bewertung_Stammdaten!A$59,Bewertung_Stammdaten!A$60)))))))))</f>
        <v>8</v>
      </c>
      <c r="AU22" s="32">
        <f>IF(AQ22&lt;Bewertung_Stammdaten!F$51,Bewertung_Stammdaten!E$51,IF(AQ22&lt;Bewertung_Stammdaten!F$52,Bewertung_Stammdaten!E$52,IF(AQ22&lt;Bewertung_Stammdaten!F$53,Bewertung_Stammdaten!E$53,IF(AQ22&lt;Bewertung_Stammdaten!F$54,Bewertung_Stammdaten!E$54,IF(AQ22&lt;Bewertung_Stammdaten!F$55,Bewertung_Stammdaten!E$55,IF(AQ22&lt;Bewertung_Stammdaten!F$56,Bewertung_Stammdaten!E$56,IF(AQ22&lt;Bewertung_Stammdaten!F$57,Bewertung_Stammdaten!E$57,IF(AQ22&lt;Bewertung_Stammdaten!F$58,Bewertung_Stammdaten!E$58,IF(AQ22&lt;Bewertung_Stammdaten!F$59,Bewertung_Stammdaten!E$59,Bewertung_Stammdaten!E$60)))))))))</f>
        <v>12</v>
      </c>
      <c r="AV22" s="32">
        <f ca="1">IF(AS22&lt;Bewertung_Stammdaten!J$51,Bewertung_Stammdaten!I$51,IF(AS22&lt;Bewertung_Stammdaten!J$52,Bewertung_Stammdaten!I$52,IF(AS22&lt;Bewertung_Stammdaten!J$53,Bewertung_Stammdaten!I$53,IF(AS22&lt;Bewertung_Stammdaten!J$54,Bewertung_Stammdaten!I$54,IF(AS22&lt;Bewertung_Stammdaten!J$55,Bewertung_Stammdaten!I$55,IF(AS22&lt;Bewertung_Stammdaten!J$56,Bewertung_Stammdaten!I$56,IF(AS22&lt;Bewertung_Stammdaten!J$57,Bewertung_Stammdaten!I$57,IF(AS22&lt;Bewertung_Stammdaten!J$58,Bewertung_Stammdaten!I$58,IF(AS22&lt;Bewertung_Stammdaten!J$59,Bewertung_Stammdaten!I$59,Bewertung_Stammdaten!I$60)))))))))</f>
        <v>5</v>
      </c>
      <c r="AW22" s="43"/>
      <c r="AX22" s="12">
        <f ca="1">VLOOKUP(A22,Dividendenrendite!A$3:R$103,17,FALSE)</f>
        <v>5.4572624984017389E-2</v>
      </c>
      <c r="AY22" s="12">
        <f>VLOOKUP(A22,Dividendenrendite!A$3:R$103,16,FALSE)</f>
        <v>5.1784370905338391E-2</v>
      </c>
      <c r="AZ22" s="12">
        <f ca="1">VLOOKUP(A22,Dividendenrendite!A$3:R$103,18,FALSE)</f>
        <v>5.3843544489048822E-2</v>
      </c>
      <c r="BA22" s="32">
        <f ca="1">IF(AX22&lt;Bewertung_Stammdaten!B$64,Bewertung_Stammdaten!A$64,IF(AX22&lt;Bewertung_Stammdaten!B$65,Bewertung_Stammdaten!A$65,IF(AX22&lt;Bewertung_Stammdaten!B$66,Bewertung_Stammdaten!A$66,IF(AX22&lt;Bewertung_Stammdaten!B$67,Bewertung_Stammdaten!A$67,IF(AX22&lt;Bewertung_Stammdaten!B$68,Bewertung_Stammdaten!A$68,IF(AX22&lt;Bewertung_Stammdaten!B$69,Bewertung_Stammdaten!A$69,IF(AX22&lt;Bewertung_Stammdaten!B$70,Bewertung_Stammdaten!A$70,IF(AX22&lt;Bewertung_Stammdaten!B$71,Bewertung_Stammdaten!A$71,IF(AX22&lt;Bewertung_Stammdaten!B$72,Bewertung_Stammdaten!A$72,Bewertung_Stammdaten!A$73)))))))))</f>
        <v>15</v>
      </c>
      <c r="BB22" s="32">
        <f>IF(AY22&lt;Bewertung_Stammdaten!F$64,Bewertung_Stammdaten!E$64,IF(AY22&lt;Bewertung_Stammdaten!F$65,Bewertung_Stammdaten!E$65,IF(AY22&lt;Bewertung_Stammdaten!F$66,Bewertung_Stammdaten!E$66,IF(AY22&lt;Bewertung_Stammdaten!F$67,Bewertung_Stammdaten!E$67,IF(AY22&lt;Bewertung_Stammdaten!F$68,Bewertung_Stammdaten!E$68,IF(AY22&lt;Bewertung_Stammdaten!F$69,Bewertung_Stammdaten!E$69,IF(AY22&lt;Bewertung_Stammdaten!F$70,Bewertung_Stammdaten!E$70,IF(AY22&lt;Bewertung_Stammdaten!F$71,Bewertung_Stammdaten!E$71,IF(AY22&lt;Bewertung_Stammdaten!F$72,Bewertung_Stammdaten!E$72,Bewertung_Stammdaten!E$73)))))))))</f>
        <v>10</v>
      </c>
      <c r="BC22" s="32">
        <f ca="1">IF(AZ22&lt;Bewertung_Stammdaten!J$64,Bewertung_Stammdaten!I$64,IF(AZ22&lt;Bewertung_Stammdaten!J$65,Bewertung_Stammdaten!I$65,IF(AZ22&lt;Bewertung_Stammdaten!J$66,Bewertung_Stammdaten!I$66,IF(AZ22&lt;Bewertung_Stammdaten!J$67,Bewertung_Stammdaten!I$67,IF(AZ22&lt;Bewertung_Stammdaten!J$68,Bewertung_Stammdaten!I$68,IF(AZ22&lt;Bewertung_Stammdaten!J$69,Bewertung_Stammdaten!I$69,IF(AZ22&lt;Bewertung_Stammdaten!J$70,Bewertung_Stammdaten!I$70,IF(AZ22&lt;Bewertung_Stammdaten!J$71,Bewertung_Stammdaten!I$71,IF(AZ22&lt;Bewertung_Stammdaten!J$72,Bewertung_Stammdaten!I$72,Bewertung_Stammdaten!I$73)))))))))</f>
        <v>3.5</v>
      </c>
      <c r="BD22" s="43"/>
      <c r="BE22" s="12">
        <f>VLOOKUP(A22,Aktien_im_Umlauf_splitbereinigt!A$3:Z$103,26,FALSE)</f>
        <v>-7.4626865671642006E-3</v>
      </c>
      <c r="BF22" s="12">
        <f>VLOOKUP(A22,Aktien_im_Umlauf_splitbereinigt!A$3:Y$103,24,FALSE)</f>
        <v>-2.2490972650107591E-2</v>
      </c>
      <c r="BG22" s="12">
        <f>VLOOKUP(A22,Aktien_im_Umlauf_splitbereinigt!A$3:Y$103,25,FALSE)</f>
        <v>-0.66819191489575258</v>
      </c>
      <c r="BH22" s="41">
        <f>IF(BE22&lt;Bewertung_Stammdaten!B$77,Bewertung_Stammdaten!A$77,IF(BE22&lt;Bewertung_Stammdaten!B$78,Bewertung_Stammdaten!A$78,IF(BE22&lt;Bewertung_Stammdaten!B$79,Bewertung_Stammdaten!A$79,IF(BE22&lt;Bewertung_Stammdaten!B$80,Bewertung_Stammdaten!A$80,IF(BE22&lt;Bewertung_Stammdaten!B$81,Bewertung_Stammdaten!A$81,IF(BE22&lt;Bewertung_Stammdaten!B$82,Bewertung_Stammdaten!A$82,IF(BE22&lt;Bewertung_Stammdaten!B$83,Bewertung_Stammdaten!A$83,IF(BE22&lt;Bewertung_Stammdaten!B$84,Bewertung_Stammdaten!A$84,IF(BE22&lt;Bewertung_Stammdaten!B$85,Bewertung_Stammdaten!A$85,Bewertung_Stammdaten!A$86)))))))))</f>
        <v>4</v>
      </c>
      <c r="BI22" s="41">
        <f>IF(BF22&lt;Bewertung_Stammdaten!F$77,Bewertung_Stammdaten!E$77,IF(BF22&lt;Bewertung_Stammdaten!F$78,Bewertung_Stammdaten!E$78,IF(BF22&lt;Bewertung_Stammdaten!F$79,Bewertung_Stammdaten!E$79,IF(BF22&lt;Bewertung_Stammdaten!F$80,Bewertung_Stammdaten!E$80,IF(BF22&lt;Bewertung_Stammdaten!F$81,Bewertung_Stammdaten!E$81,IF(BF22&lt;Bewertung_Stammdaten!F$82,Bewertung_Stammdaten!E$82,IF(BF22&lt;Bewertung_Stammdaten!F$83,Bewertung_Stammdaten!E$83,IF(BF22&lt;Bewertung_Stammdaten!F$84,Bewertung_Stammdaten!E$84,IF(BF22&lt;Bewertung_Stammdaten!F$85,Bewertung_Stammdaten!E$85,Bewertung_Stammdaten!E$86)))))))))</f>
        <v>7</v>
      </c>
      <c r="BJ22" s="41">
        <f>IF(BG22&lt;Bewertung_Stammdaten!J$77,Bewertung_Stammdaten!I$77,IF(BG22&lt;Bewertung_Stammdaten!J$78,Bewertung_Stammdaten!I$78,IF(BG22&lt;Bewertung_Stammdaten!J$79,Bewertung_Stammdaten!I$79,IF(BG22&lt;Bewertung_Stammdaten!J$80,Bewertung_Stammdaten!I$80,IF(BG22&lt;Bewertung_Stammdaten!J$81,Bewertung_Stammdaten!I$81,IF(BG22&lt;Bewertung_Stammdaten!J$82,Bewertung_Stammdaten!I$82,IF(BG22&lt;Bewertung_Stammdaten!J$83,Bewertung_Stammdaten!I$83,IF(BG22&lt;Bewertung_Stammdaten!J$84,Bewertung_Stammdaten!I$84,IF(BG22&lt;Bewertung_Stammdaten!J$85,Bewertung_Stammdaten!I$85,Bewertung_Stammdaten!I$86)))))))))</f>
        <v>1.5</v>
      </c>
      <c r="BK22" s="43"/>
      <c r="BL22" s="12">
        <f ca="1">VLOOKUP(A22,Ausschüttungsquote!A$3:X$103,23,FALSE)</f>
        <v>0.7447697056030389</v>
      </c>
      <c r="BM22" s="12">
        <f>VLOOKUP(A22,Ausschüttungsquote!A$3:X$103,19,FALSE)</f>
        <v>0.75981695693744611</v>
      </c>
      <c r="BN22" s="12">
        <f ca="1">VLOOKUP(A22,Ausschüttungsquote!A$3:X$103,24,FALSE)</f>
        <v>-1.9803784578666606E-2</v>
      </c>
      <c r="BO22" s="32">
        <f ca="1">IF(BL22&lt;Bewertung_Stammdaten!B$90,Bewertung_Stammdaten!A$90,IF(BL22&lt;Bewertung_Stammdaten!B$91,Bewertung_Stammdaten!A$91,IF(BL22&lt;Bewertung_Stammdaten!B$92,Bewertung_Stammdaten!A$92,IF(BL22&lt;Bewertung_Stammdaten!B$93,Bewertung_Stammdaten!A$93,IF(BL22&lt;Bewertung_Stammdaten!B$94,Bewertung_Stammdaten!A$94,IF(BL22&lt;Bewertung_Stammdaten!B$95,Bewertung_Stammdaten!A$95,IF(BL22&lt;Bewertung_Stammdaten!B$96,Bewertung_Stammdaten!A$96,IF(BL22&lt;Bewertung_Stammdaten!B$97,Bewertung_Stammdaten!A$97,IF(BL22&lt;Bewertung_Stammdaten!B$98,Bewertung_Stammdaten!A$98,Bewertung_Stammdaten!A$99)))))))))</f>
        <v>3</v>
      </c>
      <c r="BP22" s="41">
        <f>IF(BM22&lt;Bewertung_Stammdaten!F$90,Bewertung_Stammdaten!E$90,IF(BM22&lt;Bewertung_Stammdaten!F$91,Bewertung_Stammdaten!E$91,IF(BM22&lt;Bewertung_Stammdaten!F$92,Bewertung_Stammdaten!E$92,IF(BM22&lt;Bewertung_Stammdaten!F$93,Bewertung_Stammdaten!E$93,IF(BM22&lt;Bewertung_Stammdaten!F$94,Bewertung_Stammdaten!E$94,IF(BM22&lt;Bewertung_Stammdaten!F$95,Bewertung_Stammdaten!E$95,IF(BM22&lt;Bewertung_Stammdaten!F$96,Bewertung_Stammdaten!E$96,IF(BM22&lt;Bewertung_Stammdaten!F$97,Bewertung_Stammdaten!E$97,IF(BM22&lt;Bewertung_Stammdaten!F$98,Bewertung_Stammdaten!E$98,Bewertung_Stammdaten!E$99)))))))))</f>
        <v>2</v>
      </c>
      <c r="BQ22" s="32">
        <f ca="1">IF(BN22&lt;Bewertung_Stammdaten!J$90,Bewertung_Stammdaten!I$90,IF(BN22&lt;Bewertung_Stammdaten!J$91,Bewertung_Stammdaten!I$91,IF(BN22&lt;Bewertung_Stammdaten!J$92,Bewertung_Stammdaten!I$92,IF(BN22&lt;Bewertung_Stammdaten!J$93,Bewertung_Stammdaten!I$93,IF(BN22&lt;Bewertung_Stammdaten!J$94,Bewertung_Stammdaten!I$94,IF(BN22&lt;Bewertung_Stammdaten!J$95,Bewertung_Stammdaten!I$95,IF(BN22&lt;Bewertung_Stammdaten!J$96,Bewertung_Stammdaten!I$96,IF(BN22&lt;Bewertung_Stammdaten!J$97,Bewertung_Stammdaten!I$97,IF(BN22&lt;Bewertung_Stammdaten!J$98,Bewertung_Stammdaten!I$98,Bewertung_Stammdaten!I$99)))))))))</f>
        <v>6</v>
      </c>
    </row>
    <row r="23" spans="1:69" x14ac:dyDescent="0.25">
      <c r="A23" s="38" t="s">
        <v>95</v>
      </c>
      <c r="B23" s="38" t="s">
        <v>199</v>
      </c>
      <c r="C23" s="38" t="s">
        <v>296</v>
      </c>
      <c r="D23" s="32">
        <f t="shared" ca="1" si="0"/>
        <v>211.5</v>
      </c>
      <c r="E23" s="43"/>
      <c r="F23" s="66">
        <v>1</v>
      </c>
      <c r="G23" s="11">
        <f ca="1">VLOOKUP(A23,KGV!A$3:R$103,17,FALSE)</f>
        <v>17.391920735724263</v>
      </c>
      <c r="H23" s="11">
        <f>VLOOKUP(A23,KGV!A$3:R$103,16,FALSE)</f>
        <v>17.789054726368157</v>
      </c>
      <c r="I23" s="12">
        <f ca="1">VLOOKUP(A23,KGV!A$3:R$103,18,FALSE)</f>
        <v>-2.2324625830468348E-2</v>
      </c>
      <c r="J23" s="16">
        <f t="shared" ca="1" si="1"/>
        <v>18.715873179274205</v>
      </c>
      <c r="K23" s="12">
        <f t="shared" ca="1" si="2"/>
        <v>5.2100489158215524E-2</v>
      </c>
      <c r="L23" s="11">
        <f ca="1">VLOOKUP(A23,KBV!A$3:R$103,17,FALSE)</f>
        <v>2.1147260493431594</v>
      </c>
      <c r="M23" s="11">
        <f>VLOOKUP(A23,KBV!A$3:R$103,16,FALSE)</f>
        <v>1.7013481828839392</v>
      </c>
      <c r="N23" s="12">
        <f ca="1">VLOOKUP(A23,KBV!A$3:R$103,18,FALSE)</f>
        <v>0.24297076319704725</v>
      </c>
      <c r="O23" s="16">
        <f t="shared" ca="1" si="9"/>
        <v>2.1147260493431594</v>
      </c>
      <c r="P23" s="12">
        <f t="shared" ca="1" si="10"/>
        <v>0.24297076319704725</v>
      </c>
      <c r="Q23" s="32">
        <f ca="1">IF(F23=1,IF(I23&lt;Bewertung_Stammdaten!B$12,Bewertung_Stammdaten!A$12,IF(I23&lt;Bewertung_Stammdaten!B$13,Bewertung_Stammdaten!A$13,IF(I23&lt;Bewertung_Stammdaten!B$14,Bewertung_Stammdaten!A$14,IF(I23&lt;Bewertung_Stammdaten!B$15,Bewertung_Stammdaten!A$15,IF(I23&lt;Bewertung_Stammdaten!B$16,Bewertung_Stammdaten!A$16,IF(I23&lt;Bewertung_Stammdaten!B$17,Bewertung_Stammdaten!A$17,IF(I23&lt;Bewertung_Stammdaten!B$18,Bewertung_Stammdaten!A$18,IF(I23&lt;Bewertung_Stammdaten!B$19,Bewertung_Stammdaten!A$19,IF(I23&lt;Bewertung_Stammdaten!B$20,Bewertung_Stammdaten!A$20,Bewertung_Stammdaten!A$21))))))))),IF(N23&lt;Bewertung_Stammdaten!C$12,Bewertung_Stammdaten!A$12,IF(N23&lt;Bewertung_Stammdaten!C$13,Bewertung_Stammdaten!A$13,IF(N23&lt;Bewertung_Stammdaten!C$14,Bewertung_Stammdaten!A$14,IF(N23&lt;Bewertung_Stammdaten!C$15,Bewertung_Stammdaten!A$15,IF(N23&lt;Bewertung_Stammdaten!C$16,Bewertung_Stammdaten!A$16,IF(N23&lt;Bewertung_Stammdaten!C$17,Bewertung_Stammdaten!A$17,IF(N23&lt;Bewertung_Stammdaten!C$18,Bewertung_Stammdaten!A$18,IF(N23&lt;Bewertung_Stammdaten!C$19,Bewertung_Stammdaten!A$19,IF(N23&lt;Bewertung_Stammdaten!C$20,Bewertung_Stammdaten!A$20,Bewertung_Stammdaten!A$21))))))))))</f>
        <v>42</v>
      </c>
      <c r="R23" s="32">
        <f ca="1">IF(F23=1,IF(K23&lt;Bewertung_Stammdaten!F$12,Bewertung_Stammdaten!E$12,IF(K23&lt;Bewertung_Stammdaten!F$13,Bewertung_Stammdaten!E$13,IF(K23&lt;Bewertung_Stammdaten!F$14,Bewertung_Stammdaten!E$14,IF(K23&lt;Bewertung_Stammdaten!F$15,Bewertung_Stammdaten!E$15,IF(K23&lt;Bewertung_Stammdaten!F$16,Bewertung_Stammdaten!E$16,IF(K23&lt;Bewertung_Stammdaten!F$17,Bewertung_Stammdaten!E$17,IF(K23&lt;Bewertung_Stammdaten!F$18,Bewertung_Stammdaten!E$18,IF(K23&lt;Bewertung_Stammdaten!F$19,Bewertung_Stammdaten!E$19,IF(K23&lt;Bewertung_Stammdaten!F$20,Bewertung_Stammdaten!E$20,Bewertung_Stammdaten!E$21))))))))),IF(P23&lt;Bewertung_Stammdaten!G$12,Bewertung_Stammdaten!E$12,IF(P23&lt;Bewertung_Stammdaten!G$13,Bewertung_Stammdaten!E$13,IF(P23&lt;Bewertung_Stammdaten!G$14,Bewertung_Stammdaten!E$14,IF(P23&lt;Bewertung_Stammdaten!G$15,Bewertung_Stammdaten!E$15,IF(P23&lt;Bewertung_Stammdaten!G$16,Bewertung_Stammdaten!E$16,IF(P23&lt;Bewertung_Stammdaten!G$17,Bewertung_Stammdaten!E$17,IF(P23&lt;Bewertung_Stammdaten!G$18,Bewertung_Stammdaten!E$18,IF(P23&lt;Bewertung_Stammdaten!G$19,Bewertung_Stammdaten!E$19,IF(P23&lt;Bewertung_Stammdaten!G$20,Bewertung_Stammdaten!E$20,Bewertung_Stammdaten!E$21))))))))))</f>
        <v>20</v>
      </c>
      <c r="S23" s="43"/>
      <c r="T23" s="11">
        <f ca="1">VLOOKUP(A23,Buchwert_je_Aktie!A$3:AK$103,23,FALSE)</f>
        <v>173.38888888888889</v>
      </c>
      <c r="U23" s="11">
        <f>VLOOKUP(A23,Buchwert_je_Aktie!A$3:AK$103,19,FALSE)</f>
        <v>132.83615384615382</v>
      </c>
      <c r="V23" s="12">
        <f ca="1">VLOOKUP(A23,Buchwert_je_Aktie!A$3:AK$103,24,FALSE)</f>
        <v>0.30528386940276686</v>
      </c>
      <c r="W23" s="12">
        <f>VLOOKUP(A23,Buchwert_je_Aktie!A$3:AK$103,37,FALSE)</f>
        <v>1.9245758138977109E-2</v>
      </c>
      <c r="X23" s="16">
        <f t="shared" ca="1" si="3"/>
        <v>173.38888888888889</v>
      </c>
      <c r="Y23" s="12">
        <f t="shared" ca="1" si="4"/>
        <v>0.30528386940276686</v>
      </c>
      <c r="Z23" s="51">
        <f ca="1">IF(V23&lt;Bewertung_Stammdaten!B$25,Bewertung_Stammdaten!A$25,IF(V23&lt;Bewertung_Stammdaten!B$26,Bewertung_Stammdaten!A$26,IF(V23&lt;Bewertung_Stammdaten!B$27,Bewertung_Stammdaten!A$27,IF(V23&lt;Bewertung_Stammdaten!B$28,Bewertung_Stammdaten!A$28,IF(V23&lt;Bewertung_Stammdaten!B$29,Bewertung_Stammdaten!A$29,IF(V23&lt;Bewertung_Stammdaten!B$30,Bewertung_Stammdaten!A$30,IF(V23&lt;Bewertung_Stammdaten!B$31,Bewertung_Stammdaten!A$31,IF(V23&lt;Bewertung_Stammdaten!B$32,Bewertung_Stammdaten!A$32,IF(V23&lt;Bewertung_Stammdaten!B$33,Bewertung_Stammdaten!A$33,Bewertung_Stammdaten!A$34)))))))))</f>
        <v>9</v>
      </c>
      <c r="AA23" s="51">
        <f>IF(W23&lt;Bewertung_Stammdaten!F$25,Bewertung_Stammdaten!E$25,IF(W23&lt;Bewertung_Stammdaten!F$26,Bewertung_Stammdaten!E$26,IF(W23&lt;Bewertung_Stammdaten!F$27,Bewertung_Stammdaten!E$27,IF(W23&lt;Bewertung_Stammdaten!F$28,Bewertung_Stammdaten!E$28,IF(W23&lt;Bewertung_Stammdaten!F$29,Bewertung_Stammdaten!E$29,IF(W23&lt;Bewertung_Stammdaten!F$30,Bewertung_Stammdaten!E$30,IF(W23&lt;Bewertung_Stammdaten!F$31,Bewertung_Stammdaten!E$31,IF(W23&lt;Bewertung_Stammdaten!F$32,Bewertung_Stammdaten!E$32,IF(W23&lt;Bewertung_Stammdaten!F$33,Bewertung_Stammdaten!E$33,Bewertung_Stammdaten!E$34)))))))))</f>
        <v>12</v>
      </c>
      <c r="AB23" s="51">
        <f ca="1">IF(Y23&lt;Bewertung_Stammdaten!J$25,Bewertung_Stammdaten!I$25,IF(Y23&lt;Bewertung_Stammdaten!J$26,Bewertung_Stammdaten!I$26,IF(Y23&lt;Bewertung_Stammdaten!J$27,Bewertung_Stammdaten!I$27,IF(Y23&lt;Bewertung_Stammdaten!J$28,Bewertung_Stammdaten!I$28,IF(Y23&lt;Bewertung_Stammdaten!J$29,Bewertung_Stammdaten!I$29,IF(Y23&lt;Bewertung_Stammdaten!J$30,Bewertung_Stammdaten!I$30,IF(Y23&lt;Bewertung_Stammdaten!J$31,Bewertung_Stammdaten!I$31,IF(Y23&lt;Bewertung_Stammdaten!J$32,Bewertung_Stammdaten!I$32,IF(Y23&lt;Bewertung_Stammdaten!J$33,Bewertung_Stammdaten!I$33,Bewertung_Stammdaten!I$34)))))))))</f>
        <v>6</v>
      </c>
      <c r="AC23" s="43"/>
      <c r="AD23" s="14">
        <f ca="1">VLOOKUP(A23,Ergebnis_je_Aktie_verwässert!A$3:AK$103,23,FALSE)</f>
        <v>21.082777777777778</v>
      </c>
      <c r="AE23" s="14">
        <f>VLOOKUP(A23,Ergebnis_je_Aktie_verwässert!A$3:AK$103,19,FALSE)</f>
        <v>13.025384615384617</v>
      </c>
      <c r="AF23" s="12">
        <f ca="1">VLOOKUP(A23,Ergebnis_je_Aktie_verwässert!A$3:AK$103,24,FALSE)</f>
        <v>0.61859157332493409</v>
      </c>
      <c r="AG23" s="40">
        <f>VLOOKUP(A23,Ergebnis_je_Aktie_verwässert!A$3:AK$103,37,FALSE)</f>
        <v>-7.0739549839228255E-2</v>
      </c>
      <c r="AH23" s="16">
        <f t="shared" ca="1" si="5"/>
        <v>19.591391568417293</v>
      </c>
      <c r="AI23" s="12">
        <f t="shared" ca="1" si="6"/>
        <v>0.50409313405435996</v>
      </c>
      <c r="AJ23" s="32">
        <f ca="1">IF(AF23&lt;Bewertung_Stammdaten!B$38,Bewertung_Stammdaten!A$38,IF(AF23&lt;Bewertung_Stammdaten!B$39,Bewertung_Stammdaten!A$39,IF(AF23&lt;Bewertung_Stammdaten!B$40,Bewertung_Stammdaten!A$40,IF(AF23&lt;Bewertung_Stammdaten!B$41,Bewertung_Stammdaten!A$41,IF(AF23&lt;Bewertung_Stammdaten!B$42,Bewertung_Stammdaten!A$42,IF(AF23&lt;Bewertung_Stammdaten!B$43,Bewertung_Stammdaten!A$43,IF(AF23&lt;Bewertung_Stammdaten!B$44,Bewertung_Stammdaten!A$44,IF(AF23&lt;Bewertung_Stammdaten!B$45,Bewertung_Stammdaten!A$45,IF(AF23&lt;Bewertung_Stammdaten!B$46,Bewertung_Stammdaten!A$46,Bewertung_Stammdaten!A$47)))))))))</f>
        <v>20</v>
      </c>
      <c r="AK23" s="32">
        <f>IF(AG23&lt;Bewertung_Stammdaten!F$38,Bewertung_Stammdaten!E$38,IF(AG23&lt;Bewertung_Stammdaten!F$39,Bewertung_Stammdaten!E$39,IF(AG23&lt;Bewertung_Stammdaten!F$40,Bewertung_Stammdaten!E$40,IF(AG23&lt;Bewertung_Stammdaten!F$41,Bewertung_Stammdaten!E$41,IF(AG23&lt;Bewertung_Stammdaten!F$42,Bewertung_Stammdaten!E$42,IF(AG23&lt;Bewertung_Stammdaten!F$43,Bewertung_Stammdaten!E$43,IF(AG23&lt;Bewertung_Stammdaten!F$44,Bewertung_Stammdaten!E$44,IF(AG23&lt;Bewertung_Stammdaten!F$45,Bewertung_Stammdaten!E$45,IF(AG23&lt;Bewertung_Stammdaten!F$46,Bewertung_Stammdaten!E$46,Bewertung_Stammdaten!E$47)))))))))</f>
        <v>10.5</v>
      </c>
      <c r="AL23" s="32">
        <f ca="1">IF(AI23&lt;Bewertung_Stammdaten!J$38,Bewertung_Stammdaten!I$38,IF(AI23&lt;Bewertung_Stammdaten!J$39,Bewertung_Stammdaten!I$39,IF(AI23&lt;Bewertung_Stammdaten!J$40,Bewertung_Stammdaten!I$40,IF(AI23&lt;Bewertung_Stammdaten!J$41,Bewertung_Stammdaten!I$41,IF(AI23&lt;Bewertung_Stammdaten!J$42,Bewertung_Stammdaten!I$42,IF(AI23&lt;Bewertung_Stammdaten!J$43,Bewertung_Stammdaten!I$43,IF(AI23&lt;Bewertung_Stammdaten!J$44,Bewertung_Stammdaten!I$44,IF(AI23&lt;Bewertung_Stammdaten!J$45,Bewertung_Stammdaten!I$45,IF(AI23&lt;Bewertung_Stammdaten!J$46,Bewertung_Stammdaten!I$46,Bewertung_Stammdaten!I$47)))))))))</f>
        <v>9</v>
      </c>
      <c r="AM23" s="43"/>
      <c r="AN23" s="14">
        <f ca="1">VLOOKUP(A23,Dividende_je_Aktie!A$3:AM$103,24,FALSE)</f>
        <v>9.0549999999999997</v>
      </c>
      <c r="AO23" s="14">
        <f>VLOOKUP(A23,Dividende_je_Aktie!A$3:AM$103,20,FALSE)</f>
        <v>6.5280000000000005</v>
      </c>
      <c r="AP23" s="12">
        <f ca="1">VLOOKUP(A23,Dividende_je_Aktie!A$3:AM$103,25,FALSE)</f>
        <v>0.38710171568627438</v>
      </c>
      <c r="AQ23" s="40">
        <f>VLOOKUP(A23,Dividende_je_Aktie!A$3:AM$103,39,FALSE)</f>
        <v>0</v>
      </c>
      <c r="AR23" s="16">
        <f t="shared" ca="1" si="7"/>
        <v>9.0549999999999997</v>
      </c>
      <c r="AS23" s="12">
        <f t="shared" ca="1" si="8"/>
        <v>0.38710171568627438</v>
      </c>
      <c r="AT23" s="32">
        <f ca="1">IF(AP23&lt;Bewertung_Stammdaten!B$51,Bewertung_Stammdaten!A$51,IF(AP23&lt;Bewertung_Stammdaten!B$52,Bewertung_Stammdaten!A$52,IF(AP23&lt;Bewertung_Stammdaten!B$53,Bewertung_Stammdaten!A$53,IF(AP23&lt;Bewertung_Stammdaten!B$54,Bewertung_Stammdaten!A$54,IF(AP23&lt;Bewertung_Stammdaten!B$55,Bewertung_Stammdaten!A$55,IF(AP23&lt;Bewertung_Stammdaten!B$56,Bewertung_Stammdaten!A$56,IF(AP23&lt;Bewertung_Stammdaten!B$57,Bewertung_Stammdaten!A$57,IF(AP23&lt;Bewertung_Stammdaten!B$58,Bewertung_Stammdaten!A$58,IF(AP23&lt;Bewertung_Stammdaten!B$59,Bewertung_Stammdaten!A$59,Bewertung_Stammdaten!A$60)))))))))</f>
        <v>12</v>
      </c>
      <c r="AU23" s="32">
        <f>IF(AQ23&lt;Bewertung_Stammdaten!F$51,Bewertung_Stammdaten!E$51,IF(AQ23&lt;Bewertung_Stammdaten!F$52,Bewertung_Stammdaten!E$52,IF(AQ23&lt;Bewertung_Stammdaten!F$53,Bewertung_Stammdaten!E$53,IF(AQ23&lt;Bewertung_Stammdaten!F$54,Bewertung_Stammdaten!E$54,IF(AQ23&lt;Bewertung_Stammdaten!F$55,Bewertung_Stammdaten!E$55,IF(AQ23&lt;Bewertung_Stammdaten!F$56,Bewertung_Stammdaten!E$56,IF(AQ23&lt;Bewertung_Stammdaten!F$57,Bewertung_Stammdaten!E$57,IF(AQ23&lt;Bewertung_Stammdaten!F$58,Bewertung_Stammdaten!E$58,IF(AQ23&lt;Bewertung_Stammdaten!F$59,Bewertung_Stammdaten!E$59,Bewertung_Stammdaten!E$60)))))))))</f>
        <v>12</v>
      </c>
      <c r="AV23" s="32">
        <f ca="1">IF(AS23&lt;Bewertung_Stammdaten!J$51,Bewertung_Stammdaten!I$51,IF(AS23&lt;Bewertung_Stammdaten!J$52,Bewertung_Stammdaten!I$52,IF(AS23&lt;Bewertung_Stammdaten!J$53,Bewertung_Stammdaten!I$53,IF(AS23&lt;Bewertung_Stammdaten!J$54,Bewertung_Stammdaten!I$54,IF(AS23&lt;Bewertung_Stammdaten!J$55,Bewertung_Stammdaten!I$55,IF(AS23&lt;Bewertung_Stammdaten!J$56,Bewertung_Stammdaten!I$56,IF(AS23&lt;Bewertung_Stammdaten!J$57,Bewertung_Stammdaten!I$57,IF(AS23&lt;Bewertung_Stammdaten!J$58,Bewertung_Stammdaten!I$58,IF(AS23&lt;Bewertung_Stammdaten!J$59,Bewertung_Stammdaten!I$59,Bewertung_Stammdaten!I$60)))))))))</f>
        <v>8</v>
      </c>
      <c r="AW23" s="43"/>
      <c r="AX23" s="12">
        <f ca="1">VLOOKUP(A23,Dividendenrendite!A$3:R$103,17,FALSE)</f>
        <v>2.4695230043363239E-2</v>
      </c>
      <c r="AY23" s="12">
        <f>VLOOKUP(A23,Dividendenrendite!A$3:R$103,16,FALSE)</f>
        <v>2.3396958717276286E-2</v>
      </c>
      <c r="AZ23" s="12">
        <f ca="1">VLOOKUP(A23,Dividendenrendite!A$3:R$103,18,FALSE)</f>
        <v>5.5488892457134176E-2</v>
      </c>
      <c r="BA23" s="32">
        <f ca="1">IF(AX23&lt;Bewertung_Stammdaten!B$64,Bewertung_Stammdaten!A$64,IF(AX23&lt;Bewertung_Stammdaten!B$65,Bewertung_Stammdaten!A$65,IF(AX23&lt;Bewertung_Stammdaten!B$66,Bewertung_Stammdaten!A$66,IF(AX23&lt;Bewertung_Stammdaten!B$67,Bewertung_Stammdaten!A$67,IF(AX23&lt;Bewertung_Stammdaten!B$68,Bewertung_Stammdaten!A$68,IF(AX23&lt;Bewertung_Stammdaten!B$69,Bewertung_Stammdaten!A$69,IF(AX23&lt;Bewertung_Stammdaten!B$70,Bewertung_Stammdaten!A$70,IF(AX23&lt;Bewertung_Stammdaten!B$71,Bewertung_Stammdaten!A$71,IF(AX23&lt;Bewertung_Stammdaten!B$72,Bewertung_Stammdaten!A$72,Bewertung_Stammdaten!A$73)))))))))</f>
        <v>7.5</v>
      </c>
      <c r="BB23" s="32">
        <f>IF(AY23&lt;Bewertung_Stammdaten!F$64,Bewertung_Stammdaten!E$64,IF(AY23&lt;Bewertung_Stammdaten!F$65,Bewertung_Stammdaten!E$65,IF(AY23&lt;Bewertung_Stammdaten!F$66,Bewertung_Stammdaten!E$66,IF(AY23&lt;Bewertung_Stammdaten!F$67,Bewertung_Stammdaten!E$67,IF(AY23&lt;Bewertung_Stammdaten!F$68,Bewertung_Stammdaten!E$68,IF(AY23&lt;Bewertung_Stammdaten!F$69,Bewertung_Stammdaten!E$69,IF(AY23&lt;Bewertung_Stammdaten!F$70,Bewertung_Stammdaten!E$70,IF(AY23&lt;Bewertung_Stammdaten!F$71,Bewertung_Stammdaten!E$71,IF(AY23&lt;Bewertung_Stammdaten!F$72,Bewertung_Stammdaten!E$72,Bewertung_Stammdaten!E$73)))))))))</f>
        <v>5</v>
      </c>
      <c r="BC23" s="32">
        <f ca="1">IF(AZ23&lt;Bewertung_Stammdaten!J$64,Bewertung_Stammdaten!I$64,IF(AZ23&lt;Bewertung_Stammdaten!J$65,Bewertung_Stammdaten!I$65,IF(AZ23&lt;Bewertung_Stammdaten!J$66,Bewertung_Stammdaten!I$66,IF(AZ23&lt;Bewertung_Stammdaten!J$67,Bewertung_Stammdaten!I$67,IF(AZ23&lt;Bewertung_Stammdaten!J$68,Bewertung_Stammdaten!I$68,IF(AZ23&lt;Bewertung_Stammdaten!J$69,Bewertung_Stammdaten!I$69,IF(AZ23&lt;Bewertung_Stammdaten!J$70,Bewertung_Stammdaten!I$70,IF(AZ23&lt;Bewertung_Stammdaten!J$71,Bewertung_Stammdaten!I$71,IF(AZ23&lt;Bewertung_Stammdaten!J$72,Bewertung_Stammdaten!I$72,Bewertung_Stammdaten!I$73)))))))))</f>
        <v>3.5</v>
      </c>
      <c r="BD23" s="43"/>
      <c r="BE23" s="12">
        <f>VLOOKUP(A23,Aktien_im_Umlauf_splitbereinigt!A$3:Z$103,26,FALSE)</f>
        <v>-1.0804970286331761E-2</v>
      </c>
      <c r="BF23" s="12">
        <f>VLOOKUP(A23,Aktien_im_Umlauf_splitbereinigt!A$3:Y$103,24,FALSE)</f>
        <v>6.2668228124756087E-2</v>
      </c>
      <c r="BG23" s="12">
        <f>VLOOKUP(A23,Aktien_im_Umlauf_splitbereinigt!A$3:Y$103,25,FALSE)</f>
        <v>1.1724154425560251</v>
      </c>
      <c r="BH23" s="41">
        <f>IF(BE23&lt;Bewertung_Stammdaten!B$77,Bewertung_Stammdaten!A$77,IF(BE23&lt;Bewertung_Stammdaten!B$78,Bewertung_Stammdaten!A$78,IF(BE23&lt;Bewertung_Stammdaten!B$79,Bewertung_Stammdaten!A$79,IF(BE23&lt;Bewertung_Stammdaten!B$80,Bewertung_Stammdaten!A$80,IF(BE23&lt;Bewertung_Stammdaten!B$81,Bewertung_Stammdaten!A$81,IF(BE23&lt;Bewertung_Stammdaten!B$82,Bewertung_Stammdaten!A$82,IF(BE23&lt;Bewertung_Stammdaten!B$83,Bewertung_Stammdaten!A$83,IF(BE23&lt;Bewertung_Stammdaten!B$84,Bewertung_Stammdaten!A$84,IF(BE23&lt;Bewertung_Stammdaten!B$85,Bewertung_Stammdaten!A$85,Bewertung_Stammdaten!A$86)))))))))</f>
        <v>5</v>
      </c>
      <c r="BI23" s="41">
        <f>IF(BF23&lt;Bewertung_Stammdaten!F$77,Bewertung_Stammdaten!E$77,IF(BF23&lt;Bewertung_Stammdaten!F$78,Bewertung_Stammdaten!E$78,IF(BF23&lt;Bewertung_Stammdaten!F$79,Bewertung_Stammdaten!E$79,IF(BF23&lt;Bewertung_Stammdaten!F$80,Bewertung_Stammdaten!E$80,IF(BF23&lt;Bewertung_Stammdaten!F$81,Bewertung_Stammdaten!E$81,IF(BF23&lt;Bewertung_Stammdaten!F$82,Bewertung_Stammdaten!E$82,IF(BF23&lt;Bewertung_Stammdaten!F$83,Bewertung_Stammdaten!E$83,IF(BF23&lt;Bewertung_Stammdaten!F$84,Bewertung_Stammdaten!E$84,IF(BF23&lt;Bewertung_Stammdaten!F$85,Bewertung_Stammdaten!E$85,Bewertung_Stammdaten!E$86)))))))))</f>
        <v>1</v>
      </c>
      <c r="BJ23" s="41">
        <f>IF(BG23&lt;Bewertung_Stammdaten!J$77,Bewertung_Stammdaten!I$77,IF(BG23&lt;Bewertung_Stammdaten!J$78,Bewertung_Stammdaten!I$78,IF(BG23&lt;Bewertung_Stammdaten!J$79,Bewertung_Stammdaten!I$79,IF(BG23&lt;Bewertung_Stammdaten!J$80,Bewertung_Stammdaten!I$80,IF(BG23&lt;Bewertung_Stammdaten!J$81,Bewertung_Stammdaten!I$81,IF(BG23&lt;Bewertung_Stammdaten!J$82,Bewertung_Stammdaten!I$82,IF(BG23&lt;Bewertung_Stammdaten!J$83,Bewertung_Stammdaten!I$83,IF(BG23&lt;Bewertung_Stammdaten!J$84,Bewertung_Stammdaten!I$84,IF(BG23&lt;Bewertung_Stammdaten!J$85,Bewertung_Stammdaten!I$85,Bewertung_Stammdaten!I$86)))))))))</f>
        <v>5</v>
      </c>
      <c r="BK23" s="43"/>
      <c r="BL23" s="12">
        <f ca="1">VLOOKUP(A23,Ausschüttungsquote!A$3:X$103,23,FALSE)</f>
        <v>0.42998311582185689</v>
      </c>
      <c r="BM23" s="12">
        <f>VLOOKUP(A23,Ausschüttungsquote!A$3:X$103,19,FALSE)</f>
        <v>0.43751058644312957</v>
      </c>
      <c r="BN23" s="12">
        <f ca="1">VLOOKUP(A23,Ausschüttungsquote!A$3:X$103,24,FALSE)</f>
        <v>-1.7205230809314687E-2</v>
      </c>
      <c r="BO23" s="32">
        <f ca="1">IF(BL23&lt;Bewertung_Stammdaten!B$90,Bewertung_Stammdaten!A$90,IF(BL23&lt;Bewertung_Stammdaten!B$91,Bewertung_Stammdaten!A$91,IF(BL23&lt;Bewertung_Stammdaten!B$92,Bewertung_Stammdaten!A$92,IF(BL23&lt;Bewertung_Stammdaten!B$93,Bewertung_Stammdaten!A$93,IF(BL23&lt;Bewertung_Stammdaten!B$94,Bewertung_Stammdaten!A$94,IF(BL23&lt;Bewertung_Stammdaten!B$95,Bewertung_Stammdaten!A$95,IF(BL23&lt;Bewertung_Stammdaten!B$96,Bewertung_Stammdaten!A$96,IF(BL23&lt;Bewertung_Stammdaten!B$97,Bewertung_Stammdaten!A$97,IF(BL23&lt;Bewertung_Stammdaten!B$98,Bewertung_Stammdaten!A$98,Bewertung_Stammdaten!A$99)))))))))</f>
        <v>9</v>
      </c>
      <c r="BP23" s="41">
        <f>IF(BM23&lt;Bewertung_Stammdaten!F$90,Bewertung_Stammdaten!E$90,IF(BM23&lt;Bewertung_Stammdaten!F$91,Bewertung_Stammdaten!E$91,IF(BM23&lt;Bewertung_Stammdaten!F$92,Bewertung_Stammdaten!E$92,IF(BM23&lt;Bewertung_Stammdaten!F$93,Bewertung_Stammdaten!E$93,IF(BM23&lt;Bewertung_Stammdaten!F$94,Bewertung_Stammdaten!E$94,IF(BM23&lt;Bewertung_Stammdaten!F$95,Bewertung_Stammdaten!E$95,IF(BM23&lt;Bewertung_Stammdaten!F$96,Bewertung_Stammdaten!E$96,IF(BM23&lt;Bewertung_Stammdaten!F$97,Bewertung_Stammdaten!E$97,IF(BM23&lt;Bewertung_Stammdaten!F$98,Bewertung_Stammdaten!E$98,Bewertung_Stammdaten!E$99)))))))))</f>
        <v>9</v>
      </c>
      <c r="BQ23" s="32">
        <f ca="1">IF(BN23&lt;Bewertung_Stammdaten!J$90,Bewertung_Stammdaten!I$90,IF(BN23&lt;Bewertung_Stammdaten!J$91,Bewertung_Stammdaten!I$91,IF(BN23&lt;Bewertung_Stammdaten!J$92,Bewertung_Stammdaten!I$92,IF(BN23&lt;Bewertung_Stammdaten!J$93,Bewertung_Stammdaten!I$93,IF(BN23&lt;Bewertung_Stammdaten!J$94,Bewertung_Stammdaten!I$94,IF(BN23&lt;Bewertung_Stammdaten!J$95,Bewertung_Stammdaten!I$95,IF(BN23&lt;Bewertung_Stammdaten!J$96,Bewertung_Stammdaten!I$96,IF(BN23&lt;Bewertung_Stammdaten!J$97,Bewertung_Stammdaten!I$97,IF(BN23&lt;Bewertung_Stammdaten!J$98,Bewertung_Stammdaten!I$98,Bewertung_Stammdaten!I$99)))))))))</f>
        <v>6</v>
      </c>
    </row>
    <row r="24" spans="1:69" x14ac:dyDescent="0.25">
      <c r="A24" s="38" t="s">
        <v>40</v>
      </c>
      <c r="B24" s="38" t="s">
        <v>41</v>
      </c>
      <c r="C24" s="38" t="s">
        <v>296</v>
      </c>
      <c r="D24" s="32">
        <f t="shared" ca="1" si="0"/>
        <v>161.5</v>
      </c>
      <c r="E24" s="43"/>
      <c r="F24" s="66">
        <v>1</v>
      </c>
      <c r="G24" s="11">
        <f ca="1">VLOOKUP(A24,KGV!A$3:R$103,17,FALSE)</f>
        <v>20.236568096626407</v>
      </c>
      <c r="H24" s="11">
        <f>VLOOKUP(A24,KGV!A$3:R$103,16,FALSE)</f>
        <v>18.759689922480618</v>
      </c>
      <c r="I24" s="12">
        <f ca="1">VLOOKUP(A24,KGV!A$3:R$103,18,FALSE)</f>
        <v>7.8726150605292089E-2</v>
      </c>
      <c r="J24" s="16">
        <f t="shared" ca="1" si="1"/>
        <v>24.030924614743856</v>
      </c>
      <c r="K24" s="12">
        <f t="shared" ca="1" si="2"/>
        <v>0.28098730384378423</v>
      </c>
      <c r="L24" s="11">
        <f ca="1">VLOOKUP(A24,KBV!A$3:R$103,17,FALSE)</f>
        <v>6.0730951269915341</v>
      </c>
      <c r="M24" s="11">
        <f>VLOOKUP(A24,KBV!A$3:R$103,16,FALSE)</f>
        <v>5.5219178082191789</v>
      </c>
      <c r="N24" s="12">
        <f ca="1">VLOOKUP(A24,KBV!A$3:R$103,18,FALSE)</f>
        <v>9.9816284471302197E-2</v>
      </c>
      <c r="O24" s="16">
        <f t="shared" ca="1" si="9"/>
        <v>6.5981465788928197</v>
      </c>
      <c r="P24" s="12">
        <f t="shared" ca="1" si="10"/>
        <v>0.19490126583769718</v>
      </c>
      <c r="Q24" s="32">
        <f ca="1">IF(F24=1,IF(I24&lt;Bewertung_Stammdaten!B$12,Bewertung_Stammdaten!A$12,IF(I24&lt;Bewertung_Stammdaten!B$13,Bewertung_Stammdaten!A$13,IF(I24&lt;Bewertung_Stammdaten!B$14,Bewertung_Stammdaten!A$14,IF(I24&lt;Bewertung_Stammdaten!B$15,Bewertung_Stammdaten!A$15,IF(I24&lt;Bewertung_Stammdaten!B$16,Bewertung_Stammdaten!A$16,IF(I24&lt;Bewertung_Stammdaten!B$17,Bewertung_Stammdaten!A$17,IF(I24&lt;Bewertung_Stammdaten!B$18,Bewertung_Stammdaten!A$18,IF(I24&lt;Bewertung_Stammdaten!B$19,Bewertung_Stammdaten!A$19,IF(I24&lt;Bewertung_Stammdaten!B$20,Bewertung_Stammdaten!A$20,Bewertung_Stammdaten!A$21))))))))),IF(N24&lt;Bewertung_Stammdaten!C$12,Bewertung_Stammdaten!A$12,IF(N24&lt;Bewertung_Stammdaten!C$13,Bewertung_Stammdaten!A$13,IF(N24&lt;Bewertung_Stammdaten!C$14,Bewertung_Stammdaten!A$14,IF(N24&lt;Bewertung_Stammdaten!C$15,Bewertung_Stammdaten!A$15,IF(N24&lt;Bewertung_Stammdaten!C$16,Bewertung_Stammdaten!A$16,IF(N24&lt;Bewertung_Stammdaten!C$17,Bewertung_Stammdaten!A$17,IF(N24&lt;Bewertung_Stammdaten!C$18,Bewertung_Stammdaten!A$18,IF(N24&lt;Bewertung_Stammdaten!C$19,Bewertung_Stammdaten!A$19,IF(N24&lt;Bewertung_Stammdaten!C$20,Bewertung_Stammdaten!A$20,Bewertung_Stammdaten!A$21))))))))))</f>
        <v>30</v>
      </c>
      <c r="R24" s="32">
        <f ca="1">IF(F24=1,IF(K24&lt;Bewertung_Stammdaten!F$12,Bewertung_Stammdaten!E$12,IF(K24&lt;Bewertung_Stammdaten!F$13,Bewertung_Stammdaten!E$13,IF(K24&lt;Bewertung_Stammdaten!F$14,Bewertung_Stammdaten!E$14,IF(K24&lt;Bewertung_Stammdaten!F$15,Bewertung_Stammdaten!E$15,IF(K24&lt;Bewertung_Stammdaten!F$16,Bewertung_Stammdaten!E$16,IF(K24&lt;Bewertung_Stammdaten!F$17,Bewertung_Stammdaten!E$17,IF(K24&lt;Bewertung_Stammdaten!F$18,Bewertung_Stammdaten!E$18,IF(K24&lt;Bewertung_Stammdaten!F$19,Bewertung_Stammdaten!E$19,IF(K24&lt;Bewertung_Stammdaten!F$20,Bewertung_Stammdaten!E$20,Bewertung_Stammdaten!E$21))))))))),IF(P24&lt;Bewertung_Stammdaten!G$12,Bewertung_Stammdaten!E$12,IF(P24&lt;Bewertung_Stammdaten!G$13,Bewertung_Stammdaten!E$13,IF(P24&lt;Bewertung_Stammdaten!G$14,Bewertung_Stammdaten!E$14,IF(P24&lt;Bewertung_Stammdaten!G$15,Bewertung_Stammdaten!E$15,IF(P24&lt;Bewertung_Stammdaten!G$16,Bewertung_Stammdaten!E$16,IF(P24&lt;Bewertung_Stammdaten!G$17,Bewertung_Stammdaten!E$17,IF(P24&lt;Bewertung_Stammdaten!G$18,Bewertung_Stammdaten!E$18,IF(P24&lt;Bewertung_Stammdaten!G$19,Bewertung_Stammdaten!E$19,IF(P24&lt;Bewertung_Stammdaten!G$20,Bewertung_Stammdaten!E$20,Bewertung_Stammdaten!E$21))))))))))</f>
        <v>10</v>
      </c>
      <c r="S24" s="43"/>
      <c r="T24" s="11">
        <f ca="1">VLOOKUP(A24,Buchwert_je_Aktie!A$3:AK$103,23,FALSE)</f>
        <v>6.6671111111111108</v>
      </c>
      <c r="U24" s="11">
        <f>VLOOKUP(A24,Buchwert_je_Aktie!A$3:AK$103,19,FALSE)</f>
        <v>5.9369230769230779</v>
      </c>
      <c r="V24" s="12">
        <f ca="1">VLOOKUP(A24,Buchwert_je_Aktie!A$3:AK$103,24,FALSE)</f>
        <v>0.12299098787826424</v>
      </c>
      <c r="W24" s="12">
        <f>VLOOKUP(A24,Buchwert_je_Aktie!A$3:AK$103,37,FALSE)</f>
        <v>-7.9575596816976124E-2</v>
      </c>
      <c r="X24" s="16">
        <f t="shared" ca="1" si="3"/>
        <v>6.136571765399351</v>
      </c>
      <c r="Y24" s="12">
        <f t="shared" ca="1" si="4"/>
        <v>3.3628309797765654E-2</v>
      </c>
      <c r="Z24" s="51">
        <f ca="1">IF(V24&lt;Bewertung_Stammdaten!B$25,Bewertung_Stammdaten!A$25,IF(V24&lt;Bewertung_Stammdaten!B$26,Bewertung_Stammdaten!A$26,IF(V24&lt;Bewertung_Stammdaten!B$27,Bewertung_Stammdaten!A$27,IF(V24&lt;Bewertung_Stammdaten!B$28,Bewertung_Stammdaten!A$28,IF(V24&lt;Bewertung_Stammdaten!B$29,Bewertung_Stammdaten!A$29,IF(V24&lt;Bewertung_Stammdaten!B$30,Bewertung_Stammdaten!A$30,IF(V24&lt;Bewertung_Stammdaten!B$31,Bewertung_Stammdaten!A$31,IF(V24&lt;Bewertung_Stammdaten!B$32,Bewertung_Stammdaten!A$32,IF(V24&lt;Bewertung_Stammdaten!B$33,Bewertung_Stammdaten!A$33,Bewertung_Stammdaten!A$34)))))))))</f>
        <v>6</v>
      </c>
      <c r="AA24" s="51">
        <f>IF(W24&lt;Bewertung_Stammdaten!F$25,Bewertung_Stammdaten!E$25,IF(W24&lt;Bewertung_Stammdaten!F$26,Bewertung_Stammdaten!E$26,IF(W24&lt;Bewertung_Stammdaten!F$27,Bewertung_Stammdaten!E$27,IF(W24&lt;Bewertung_Stammdaten!F$28,Bewertung_Stammdaten!E$28,IF(W24&lt;Bewertung_Stammdaten!F$29,Bewertung_Stammdaten!E$29,IF(W24&lt;Bewertung_Stammdaten!F$30,Bewertung_Stammdaten!E$30,IF(W24&lt;Bewertung_Stammdaten!F$31,Bewertung_Stammdaten!E$31,IF(W24&lt;Bewertung_Stammdaten!F$32,Bewertung_Stammdaten!E$32,IF(W24&lt;Bewertung_Stammdaten!F$33,Bewertung_Stammdaten!E$33,Bewertung_Stammdaten!E$34)))))))))</f>
        <v>9</v>
      </c>
      <c r="AB24" s="51">
        <f ca="1">IF(Y24&lt;Bewertung_Stammdaten!J$25,Bewertung_Stammdaten!I$25,IF(Y24&lt;Bewertung_Stammdaten!J$26,Bewertung_Stammdaten!I$26,IF(Y24&lt;Bewertung_Stammdaten!J$27,Bewertung_Stammdaten!I$27,IF(Y24&lt;Bewertung_Stammdaten!J$28,Bewertung_Stammdaten!I$28,IF(Y24&lt;Bewertung_Stammdaten!J$29,Bewertung_Stammdaten!I$29,IF(Y24&lt;Bewertung_Stammdaten!J$30,Bewertung_Stammdaten!I$30,IF(Y24&lt;Bewertung_Stammdaten!J$31,Bewertung_Stammdaten!I$31,IF(Y24&lt;Bewertung_Stammdaten!J$32,Bewertung_Stammdaten!I$32,IF(Y24&lt;Bewertung_Stammdaten!J$33,Bewertung_Stammdaten!I$33,Bewertung_Stammdaten!I$34)))))))))</f>
        <v>3</v>
      </c>
      <c r="AC24" s="43"/>
      <c r="AD24" s="14">
        <f ca="1">VLOOKUP(A24,Ergebnis_je_Aktie_verwässert!A$3:AK$103,23,FALSE)</f>
        <v>2.0008333333333335</v>
      </c>
      <c r="AE24" s="14">
        <f>VLOOKUP(A24,Ergebnis_je_Aktie_verwässert!A$3:AK$103,19,FALSE)</f>
        <v>1.6615384615384614</v>
      </c>
      <c r="AF24" s="12">
        <f ca="1">VLOOKUP(A24,Ergebnis_je_Aktie_verwässert!A$3:AK$103,24,FALSE)</f>
        <v>0.20420524691358044</v>
      </c>
      <c r="AG24" s="40">
        <f>VLOOKUP(A24,Ergebnis_je_Aktie_verwässert!A$3:AK$103,37,FALSE)</f>
        <v>-0.1578947368421052</v>
      </c>
      <c r="AH24" s="16">
        <f t="shared" ca="1" si="5"/>
        <v>1.6849122807017547</v>
      </c>
      <c r="AI24" s="12">
        <f t="shared" ca="1" si="6"/>
        <v>1.4067576348278266E-2</v>
      </c>
      <c r="AJ24" s="32">
        <f ca="1">IF(AF24&lt;Bewertung_Stammdaten!B$38,Bewertung_Stammdaten!A$38,IF(AF24&lt;Bewertung_Stammdaten!B$39,Bewertung_Stammdaten!A$39,IF(AF24&lt;Bewertung_Stammdaten!B$40,Bewertung_Stammdaten!A$40,IF(AF24&lt;Bewertung_Stammdaten!B$41,Bewertung_Stammdaten!A$41,IF(AF24&lt;Bewertung_Stammdaten!B$42,Bewertung_Stammdaten!A$42,IF(AF24&lt;Bewertung_Stammdaten!B$43,Bewertung_Stammdaten!A$43,IF(AF24&lt;Bewertung_Stammdaten!B$44,Bewertung_Stammdaten!A$44,IF(AF24&lt;Bewertung_Stammdaten!B$45,Bewertung_Stammdaten!A$45,IF(AF24&lt;Bewertung_Stammdaten!B$46,Bewertung_Stammdaten!A$46,Bewertung_Stammdaten!A$47)))))))))</f>
        <v>12</v>
      </c>
      <c r="AK24" s="32">
        <f>IF(AG24&lt;Bewertung_Stammdaten!F$38,Bewertung_Stammdaten!E$38,IF(AG24&lt;Bewertung_Stammdaten!F$39,Bewertung_Stammdaten!E$39,IF(AG24&lt;Bewertung_Stammdaten!F$40,Bewertung_Stammdaten!E$40,IF(AG24&lt;Bewertung_Stammdaten!F$41,Bewertung_Stammdaten!E$41,IF(AG24&lt;Bewertung_Stammdaten!F$42,Bewertung_Stammdaten!E$42,IF(AG24&lt;Bewertung_Stammdaten!F$43,Bewertung_Stammdaten!E$43,IF(AG24&lt;Bewertung_Stammdaten!F$44,Bewertung_Stammdaten!E$44,IF(AG24&lt;Bewertung_Stammdaten!F$45,Bewertung_Stammdaten!E$45,IF(AG24&lt;Bewertung_Stammdaten!F$46,Bewertung_Stammdaten!E$46,Bewertung_Stammdaten!E$47)))))))))</f>
        <v>9</v>
      </c>
      <c r="AL24" s="32">
        <f ca="1">IF(AI24&lt;Bewertung_Stammdaten!J$38,Bewertung_Stammdaten!I$38,IF(AI24&lt;Bewertung_Stammdaten!J$39,Bewertung_Stammdaten!I$39,IF(AI24&lt;Bewertung_Stammdaten!J$40,Bewertung_Stammdaten!I$40,IF(AI24&lt;Bewertung_Stammdaten!J$41,Bewertung_Stammdaten!I$41,IF(AI24&lt;Bewertung_Stammdaten!J$42,Bewertung_Stammdaten!I$42,IF(AI24&lt;Bewertung_Stammdaten!J$43,Bewertung_Stammdaten!I$43,IF(AI24&lt;Bewertung_Stammdaten!J$44,Bewertung_Stammdaten!I$44,IF(AI24&lt;Bewertung_Stammdaten!J$45,Bewertung_Stammdaten!I$45,IF(AI24&lt;Bewertung_Stammdaten!J$46,Bewertung_Stammdaten!I$46,Bewertung_Stammdaten!I$47)))))))))</f>
        <v>4</v>
      </c>
      <c r="AM24" s="43"/>
      <c r="AN24" s="14">
        <f ca="1">VLOOKUP(A24,Dividende_je_Aktie!A$3:AM$103,24,FALSE)</f>
        <v>1.3538888888888889</v>
      </c>
      <c r="AO24" s="14">
        <f>VLOOKUP(A24,Dividende_je_Aktie!A$3:AM$103,20,FALSE)</f>
        <v>0.95571428571428563</v>
      </c>
      <c r="AP24" s="12">
        <f ca="1">VLOOKUP(A24,Dividende_je_Aktie!A$3:AM$103,25,FALSE)</f>
        <v>0.41662514532469697</v>
      </c>
      <c r="AQ24" s="40">
        <f>VLOOKUP(A24,Dividende_je_Aktie!A$3:AM$103,39,FALSE)</f>
        <v>6.8181818181818121E-2</v>
      </c>
      <c r="AR24" s="16">
        <f t="shared" ca="1" si="7"/>
        <v>1.3538888888888889</v>
      </c>
      <c r="AS24" s="12">
        <f t="shared" ca="1" si="8"/>
        <v>0.41662514532469697</v>
      </c>
      <c r="AT24" s="32">
        <f ca="1">IF(AP24&lt;Bewertung_Stammdaten!B$51,Bewertung_Stammdaten!A$51,IF(AP24&lt;Bewertung_Stammdaten!B$52,Bewertung_Stammdaten!A$52,IF(AP24&lt;Bewertung_Stammdaten!B$53,Bewertung_Stammdaten!A$53,IF(AP24&lt;Bewertung_Stammdaten!B$54,Bewertung_Stammdaten!A$54,IF(AP24&lt;Bewertung_Stammdaten!B$55,Bewertung_Stammdaten!A$55,IF(AP24&lt;Bewertung_Stammdaten!B$56,Bewertung_Stammdaten!A$56,IF(AP24&lt;Bewertung_Stammdaten!B$57,Bewertung_Stammdaten!A$57,IF(AP24&lt;Bewertung_Stammdaten!B$58,Bewertung_Stammdaten!A$58,IF(AP24&lt;Bewertung_Stammdaten!B$59,Bewertung_Stammdaten!A$59,Bewertung_Stammdaten!A$60)))))))))</f>
        <v>14</v>
      </c>
      <c r="AU24" s="32">
        <f>IF(AQ24&lt;Bewertung_Stammdaten!F$51,Bewertung_Stammdaten!E$51,IF(AQ24&lt;Bewertung_Stammdaten!F$52,Bewertung_Stammdaten!E$52,IF(AQ24&lt;Bewertung_Stammdaten!F$53,Bewertung_Stammdaten!E$53,IF(AQ24&lt;Bewertung_Stammdaten!F$54,Bewertung_Stammdaten!E$54,IF(AQ24&lt;Bewertung_Stammdaten!F$55,Bewertung_Stammdaten!E$55,IF(AQ24&lt;Bewertung_Stammdaten!F$56,Bewertung_Stammdaten!E$56,IF(AQ24&lt;Bewertung_Stammdaten!F$57,Bewertung_Stammdaten!E$57,IF(AQ24&lt;Bewertung_Stammdaten!F$58,Bewertung_Stammdaten!E$58,IF(AQ24&lt;Bewertung_Stammdaten!F$59,Bewertung_Stammdaten!E$59,Bewertung_Stammdaten!E$60)))))))))</f>
        <v>12</v>
      </c>
      <c r="AV24" s="32">
        <f ca="1">IF(AS24&lt;Bewertung_Stammdaten!J$51,Bewertung_Stammdaten!I$51,IF(AS24&lt;Bewertung_Stammdaten!J$52,Bewertung_Stammdaten!I$52,IF(AS24&lt;Bewertung_Stammdaten!J$53,Bewertung_Stammdaten!I$53,IF(AS24&lt;Bewertung_Stammdaten!J$54,Bewertung_Stammdaten!I$54,IF(AS24&lt;Bewertung_Stammdaten!J$55,Bewertung_Stammdaten!I$55,IF(AS24&lt;Bewertung_Stammdaten!J$56,Bewertung_Stammdaten!I$56,IF(AS24&lt;Bewertung_Stammdaten!J$57,Bewertung_Stammdaten!I$57,IF(AS24&lt;Bewertung_Stammdaten!J$58,Bewertung_Stammdaten!I$58,IF(AS24&lt;Bewertung_Stammdaten!J$59,Bewertung_Stammdaten!I$59,Bewertung_Stammdaten!I$60)))))))))</f>
        <v>8</v>
      </c>
      <c r="AW24" s="43"/>
      <c r="AX24" s="12">
        <f ca="1">VLOOKUP(A24,Dividendenrendite!A$3:R$103,17,FALSE)</f>
        <v>3.3437611481572954E-2</v>
      </c>
      <c r="AY24" s="12">
        <f>VLOOKUP(A24,Dividendenrendite!A$3:R$103,16,FALSE)</f>
        <v>2.8259589601227913E-2</v>
      </c>
      <c r="AZ24" s="12">
        <f ca="1">VLOOKUP(A24,Dividendenrendite!A$3:R$103,18,FALSE)</f>
        <v>0.18323061139288632</v>
      </c>
      <c r="BA24" s="32">
        <f ca="1">IF(AX24&lt;Bewertung_Stammdaten!B$64,Bewertung_Stammdaten!A$64,IF(AX24&lt;Bewertung_Stammdaten!B$65,Bewertung_Stammdaten!A$65,IF(AX24&lt;Bewertung_Stammdaten!B$66,Bewertung_Stammdaten!A$66,IF(AX24&lt;Bewertung_Stammdaten!B$67,Bewertung_Stammdaten!A$67,IF(AX24&lt;Bewertung_Stammdaten!B$68,Bewertung_Stammdaten!A$68,IF(AX24&lt;Bewertung_Stammdaten!B$69,Bewertung_Stammdaten!A$69,IF(AX24&lt;Bewertung_Stammdaten!B$70,Bewertung_Stammdaten!A$70,IF(AX24&lt;Bewertung_Stammdaten!B$71,Bewertung_Stammdaten!A$71,IF(AX24&lt;Bewertung_Stammdaten!B$72,Bewertung_Stammdaten!A$72,Bewertung_Stammdaten!A$73)))))))))</f>
        <v>10.5</v>
      </c>
      <c r="BB24" s="32">
        <f>IF(AY24&lt;Bewertung_Stammdaten!F$64,Bewertung_Stammdaten!E$64,IF(AY24&lt;Bewertung_Stammdaten!F$65,Bewertung_Stammdaten!E$65,IF(AY24&lt;Bewertung_Stammdaten!F$66,Bewertung_Stammdaten!E$66,IF(AY24&lt;Bewertung_Stammdaten!F$67,Bewertung_Stammdaten!E$67,IF(AY24&lt;Bewertung_Stammdaten!F$68,Bewertung_Stammdaten!E$68,IF(AY24&lt;Bewertung_Stammdaten!F$69,Bewertung_Stammdaten!E$69,IF(AY24&lt;Bewertung_Stammdaten!F$70,Bewertung_Stammdaten!E$70,IF(AY24&lt;Bewertung_Stammdaten!F$71,Bewertung_Stammdaten!E$71,IF(AY24&lt;Bewertung_Stammdaten!F$72,Bewertung_Stammdaten!E$72,Bewertung_Stammdaten!E$73)))))))))</f>
        <v>6</v>
      </c>
      <c r="BC24" s="32">
        <f ca="1">IF(AZ24&lt;Bewertung_Stammdaten!J$64,Bewertung_Stammdaten!I$64,IF(AZ24&lt;Bewertung_Stammdaten!J$65,Bewertung_Stammdaten!I$65,IF(AZ24&lt;Bewertung_Stammdaten!J$66,Bewertung_Stammdaten!I$66,IF(AZ24&lt;Bewertung_Stammdaten!J$67,Bewertung_Stammdaten!I$67,IF(AZ24&lt;Bewertung_Stammdaten!J$68,Bewertung_Stammdaten!I$68,IF(AZ24&lt;Bewertung_Stammdaten!J$69,Bewertung_Stammdaten!I$69,IF(AZ24&lt;Bewertung_Stammdaten!J$70,Bewertung_Stammdaten!I$70,IF(AZ24&lt;Bewertung_Stammdaten!J$71,Bewertung_Stammdaten!I$71,IF(AZ24&lt;Bewertung_Stammdaten!J$72,Bewertung_Stammdaten!I$72,Bewertung_Stammdaten!I$73)))))))))</f>
        <v>4.5</v>
      </c>
      <c r="BD24" s="43"/>
      <c r="BE24" s="12">
        <f>VLOOKUP(A24,Aktien_im_Umlauf_splitbereinigt!A$3:Z$103,26,FALSE)</f>
        <v>-8.1781008632439978E-3</v>
      </c>
      <c r="BF24" s="12">
        <f>VLOOKUP(A24,Aktien_im_Umlauf_splitbereinigt!A$3:Y$103,24,FALSE)</f>
        <v>-9.0224997244694825E-3</v>
      </c>
      <c r="BG24" s="12">
        <f>VLOOKUP(A24,Aktien_im_Umlauf_splitbereinigt!A$3:Y$103,25,FALSE)</f>
        <v>-9.3588128236283707E-2</v>
      </c>
      <c r="BH24" s="41">
        <f>IF(BE24&lt;Bewertung_Stammdaten!B$77,Bewertung_Stammdaten!A$77,IF(BE24&lt;Bewertung_Stammdaten!B$78,Bewertung_Stammdaten!A$78,IF(BE24&lt;Bewertung_Stammdaten!B$79,Bewertung_Stammdaten!A$79,IF(BE24&lt;Bewertung_Stammdaten!B$80,Bewertung_Stammdaten!A$80,IF(BE24&lt;Bewertung_Stammdaten!B$81,Bewertung_Stammdaten!A$81,IF(BE24&lt;Bewertung_Stammdaten!B$82,Bewertung_Stammdaten!A$82,IF(BE24&lt;Bewertung_Stammdaten!B$83,Bewertung_Stammdaten!A$83,IF(BE24&lt;Bewertung_Stammdaten!B$84,Bewertung_Stammdaten!A$84,IF(BE24&lt;Bewertung_Stammdaten!B$85,Bewertung_Stammdaten!A$85,Bewertung_Stammdaten!A$86)))))))))</f>
        <v>4</v>
      </c>
      <c r="BI24" s="41">
        <f>IF(BF24&lt;Bewertung_Stammdaten!F$77,Bewertung_Stammdaten!E$77,IF(BF24&lt;Bewertung_Stammdaten!F$78,Bewertung_Stammdaten!E$78,IF(BF24&lt;Bewertung_Stammdaten!F$79,Bewertung_Stammdaten!E$79,IF(BF24&lt;Bewertung_Stammdaten!F$80,Bewertung_Stammdaten!E$80,IF(BF24&lt;Bewertung_Stammdaten!F$81,Bewertung_Stammdaten!E$81,IF(BF24&lt;Bewertung_Stammdaten!F$82,Bewertung_Stammdaten!E$82,IF(BF24&lt;Bewertung_Stammdaten!F$83,Bewertung_Stammdaten!E$83,IF(BF24&lt;Bewertung_Stammdaten!F$84,Bewertung_Stammdaten!E$84,IF(BF24&lt;Bewertung_Stammdaten!F$85,Bewertung_Stammdaten!E$85,Bewertung_Stammdaten!E$86)))))))))</f>
        <v>4</v>
      </c>
      <c r="BJ24" s="41">
        <f>IF(BG24&lt;Bewertung_Stammdaten!J$77,Bewertung_Stammdaten!I$77,IF(BG24&lt;Bewertung_Stammdaten!J$78,Bewertung_Stammdaten!I$78,IF(BG24&lt;Bewertung_Stammdaten!J$79,Bewertung_Stammdaten!I$79,IF(BG24&lt;Bewertung_Stammdaten!J$80,Bewertung_Stammdaten!I$80,IF(BG24&lt;Bewertung_Stammdaten!J$81,Bewertung_Stammdaten!I$81,IF(BG24&lt;Bewertung_Stammdaten!J$82,Bewertung_Stammdaten!I$82,IF(BG24&lt;Bewertung_Stammdaten!J$83,Bewertung_Stammdaten!I$83,IF(BG24&lt;Bewertung_Stammdaten!J$84,Bewertung_Stammdaten!I$84,IF(BG24&lt;Bewertung_Stammdaten!J$85,Bewertung_Stammdaten!I$85,Bewertung_Stammdaten!I$86)))))))))</f>
        <v>2.5</v>
      </c>
      <c r="BK24" s="43"/>
      <c r="BL24" s="12">
        <f ca="1">VLOOKUP(A24,Ausschüttungsquote!A$3:X$103,23,FALSE)</f>
        <v>0.67667480667480662</v>
      </c>
      <c r="BM24" s="12">
        <f>VLOOKUP(A24,Ausschüttungsquote!A$3:X$103,19,FALSE)</f>
        <v>0.58957393090570331</v>
      </c>
      <c r="BN24" s="12">
        <f ca="1">VLOOKUP(A24,Ausschüttungsquote!A$3:X$103,24,FALSE)</f>
        <v>0.14773529018709985</v>
      </c>
      <c r="BO24" s="32">
        <f ca="1">IF(BL24&lt;Bewertung_Stammdaten!B$90,Bewertung_Stammdaten!A$90,IF(BL24&lt;Bewertung_Stammdaten!B$91,Bewertung_Stammdaten!A$91,IF(BL24&lt;Bewertung_Stammdaten!B$92,Bewertung_Stammdaten!A$92,IF(BL24&lt;Bewertung_Stammdaten!B$93,Bewertung_Stammdaten!A$93,IF(BL24&lt;Bewertung_Stammdaten!B$94,Bewertung_Stammdaten!A$94,IF(BL24&lt;Bewertung_Stammdaten!B$95,Bewertung_Stammdaten!A$95,IF(BL24&lt;Bewertung_Stammdaten!B$96,Bewertung_Stammdaten!A$96,IF(BL24&lt;Bewertung_Stammdaten!B$97,Bewertung_Stammdaten!A$97,IF(BL24&lt;Bewertung_Stammdaten!B$98,Bewertung_Stammdaten!A$98,Bewertung_Stammdaten!A$99)))))))))</f>
        <v>4</v>
      </c>
      <c r="BP24" s="41">
        <f>IF(BM24&lt;Bewertung_Stammdaten!F$90,Bewertung_Stammdaten!E$90,IF(BM24&lt;Bewertung_Stammdaten!F$91,Bewertung_Stammdaten!E$91,IF(BM24&lt;Bewertung_Stammdaten!F$92,Bewertung_Stammdaten!E$92,IF(BM24&lt;Bewertung_Stammdaten!F$93,Bewertung_Stammdaten!E$93,IF(BM24&lt;Bewertung_Stammdaten!F$94,Bewertung_Stammdaten!E$94,IF(BM24&lt;Bewertung_Stammdaten!F$95,Bewertung_Stammdaten!E$95,IF(BM24&lt;Bewertung_Stammdaten!F$96,Bewertung_Stammdaten!E$96,IF(BM24&lt;Bewertung_Stammdaten!F$97,Bewertung_Stammdaten!E$97,IF(BM24&lt;Bewertung_Stammdaten!F$98,Bewertung_Stammdaten!E$98,Bewertung_Stammdaten!E$99)))))))))</f>
        <v>6</v>
      </c>
      <c r="BQ24" s="32">
        <f ca="1">IF(BN24&lt;Bewertung_Stammdaten!J$90,Bewertung_Stammdaten!I$90,IF(BN24&lt;Bewertung_Stammdaten!J$91,Bewertung_Stammdaten!I$91,IF(BN24&lt;Bewertung_Stammdaten!J$92,Bewertung_Stammdaten!I$92,IF(BN24&lt;Bewertung_Stammdaten!J$93,Bewertung_Stammdaten!I$93,IF(BN24&lt;Bewertung_Stammdaten!J$94,Bewertung_Stammdaten!I$94,IF(BN24&lt;Bewertung_Stammdaten!J$95,Bewertung_Stammdaten!I$95,IF(BN24&lt;Bewertung_Stammdaten!J$96,Bewertung_Stammdaten!I$96,IF(BN24&lt;Bewertung_Stammdaten!J$97,Bewertung_Stammdaten!I$97,IF(BN24&lt;Bewertung_Stammdaten!J$98,Bewertung_Stammdaten!I$98,Bewertung_Stammdaten!I$99)))))))))</f>
        <v>3</v>
      </c>
    </row>
    <row r="25" spans="1:69" x14ac:dyDescent="0.25">
      <c r="A25" s="38" t="s">
        <v>42</v>
      </c>
      <c r="B25" s="38" t="s">
        <v>43</v>
      </c>
      <c r="C25" s="38" t="s">
        <v>296</v>
      </c>
      <c r="D25" s="32">
        <f t="shared" ca="1" si="0"/>
        <v>152</v>
      </c>
      <c r="E25" s="43"/>
      <c r="F25" s="66">
        <v>1</v>
      </c>
      <c r="G25" s="11">
        <f ca="1">VLOOKUP(A25,KGV!A$3:R$103,17,FALSE)</f>
        <v>23.028141397919743</v>
      </c>
      <c r="H25" s="11">
        <f>VLOOKUP(A25,KGV!A$3:R$103,16,FALSE)</f>
        <v>20.412499999999998</v>
      </c>
      <c r="I25" s="12">
        <f ca="1">VLOOKUP(A25,KGV!A$3:R$103,18,FALSE)</f>
        <v>0.12813919891829739</v>
      </c>
      <c r="J25" s="16">
        <f t="shared" ca="1" si="1"/>
        <v>24.963279330518041</v>
      </c>
      <c r="K25" s="12">
        <f t="shared" ca="1" si="2"/>
        <v>0.22294081227277629</v>
      </c>
      <c r="L25" s="11">
        <f ca="1">VLOOKUP(A25,KBV!A$3:R$103,17,FALSE)</f>
        <v>39.427694471976224</v>
      </c>
      <c r="M25" s="11">
        <f>VLOOKUP(A25,KBV!A$3:R$103,16,FALSE)</f>
        <v>18.938405797101453</v>
      </c>
      <c r="N25" s="12">
        <f ca="1">VLOOKUP(A25,KBV!A$3:R$103,18,FALSE)</f>
        <v>1.0818908885145277</v>
      </c>
      <c r="O25" s="16">
        <f t="shared" ca="1" si="9"/>
        <v>71.124468459251219</v>
      </c>
      <c r="P25" s="12">
        <f t="shared" ca="1" si="10"/>
        <v>2.755567877320324</v>
      </c>
      <c r="Q25" s="32">
        <f ca="1">IF(F25=1,IF(I25&lt;Bewertung_Stammdaten!B$12,Bewertung_Stammdaten!A$12,IF(I25&lt;Bewertung_Stammdaten!B$13,Bewertung_Stammdaten!A$13,IF(I25&lt;Bewertung_Stammdaten!B$14,Bewertung_Stammdaten!A$14,IF(I25&lt;Bewertung_Stammdaten!B$15,Bewertung_Stammdaten!A$15,IF(I25&lt;Bewertung_Stammdaten!B$16,Bewertung_Stammdaten!A$16,IF(I25&lt;Bewertung_Stammdaten!B$17,Bewertung_Stammdaten!A$17,IF(I25&lt;Bewertung_Stammdaten!B$18,Bewertung_Stammdaten!A$18,IF(I25&lt;Bewertung_Stammdaten!B$19,Bewertung_Stammdaten!A$19,IF(I25&lt;Bewertung_Stammdaten!B$20,Bewertung_Stammdaten!A$20,Bewertung_Stammdaten!A$21))))))))),IF(N25&lt;Bewertung_Stammdaten!C$12,Bewertung_Stammdaten!A$12,IF(N25&lt;Bewertung_Stammdaten!C$13,Bewertung_Stammdaten!A$13,IF(N25&lt;Bewertung_Stammdaten!C$14,Bewertung_Stammdaten!A$14,IF(N25&lt;Bewertung_Stammdaten!C$15,Bewertung_Stammdaten!A$15,IF(N25&lt;Bewertung_Stammdaten!C$16,Bewertung_Stammdaten!A$16,IF(N25&lt;Bewertung_Stammdaten!C$17,Bewertung_Stammdaten!A$17,IF(N25&lt;Bewertung_Stammdaten!C$18,Bewertung_Stammdaten!A$18,IF(N25&lt;Bewertung_Stammdaten!C$19,Bewertung_Stammdaten!A$19,IF(N25&lt;Bewertung_Stammdaten!C$20,Bewertung_Stammdaten!A$20,Bewertung_Stammdaten!A$21))))))))))</f>
        <v>24</v>
      </c>
      <c r="R25" s="32">
        <f ca="1">IF(F25=1,IF(K25&lt;Bewertung_Stammdaten!F$12,Bewertung_Stammdaten!E$12,IF(K25&lt;Bewertung_Stammdaten!F$13,Bewertung_Stammdaten!E$13,IF(K25&lt;Bewertung_Stammdaten!F$14,Bewertung_Stammdaten!E$14,IF(K25&lt;Bewertung_Stammdaten!F$15,Bewertung_Stammdaten!E$15,IF(K25&lt;Bewertung_Stammdaten!F$16,Bewertung_Stammdaten!E$16,IF(K25&lt;Bewertung_Stammdaten!F$17,Bewertung_Stammdaten!E$17,IF(K25&lt;Bewertung_Stammdaten!F$18,Bewertung_Stammdaten!E$18,IF(K25&lt;Bewertung_Stammdaten!F$19,Bewertung_Stammdaten!E$19,IF(K25&lt;Bewertung_Stammdaten!F$20,Bewertung_Stammdaten!E$20,Bewertung_Stammdaten!E$21))))))))),IF(P25&lt;Bewertung_Stammdaten!G$12,Bewertung_Stammdaten!E$12,IF(P25&lt;Bewertung_Stammdaten!G$13,Bewertung_Stammdaten!E$13,IF(P25&lt;Bewertung_Stammdaten!G$14,Bewertung_Stammdaten!E$14,IF(P25&lt;Bewertung_Stammdaten!G$15,Bewertung_Stammdaten!E$15,IF(P25&lt;Bewertung_Stammdaten!G$16,Bewertung_Stammdaten!E$16,IF(P25&lt;Bewertung_Stammdaten!G$17,Bewertung_Stammdaten!E$17,IF(P25&lt;Bewertung_Stammdaten!G$18,Bewertung_Stammdaten!E$18,IF(P25&lt;Bewertung_Stammdaten!G$19,Bewertung_Stammdaten!E$19,IF(P25&lt;Bewertung_Stammdaten!G$20,Bewertung_Stammdaten!E$20,Bewertung_Stammdaten!E$21))))))))))</f>
        <v>12.5</v>
      </c>
      <c r="S25" s="43"/>
      <c r="T25" s="11">
        <f ca="1">VLOOKUP(A25,Buchwert_je_Aktie!A$3:AK$103,23,FALSE)</f>
        <v>1.7376111111111108</v>
      </c>
      <c r="U25" s="11">
        <f>VLOOKUP(A25,Buchwert_je_Aktie!A$3:AK$103,19,FALSE)</f>
        <v>2.17</v>
      </c>
      <c r="V25" s="12">
        <f ca="1">VLOOKUP(A25,Buchwert_je_Aktie!A$3:AK$103,24,FALSE)</f>
        <v>-0.19925755248335908</v>
      </c>
      <c r="W25" s="12">
        <f>VLOOKUP(A25,Buchwert_je_Aktie!A$3:AK$103,37,FALSE)</f>
        <v>-0.44565217391304346</v>
      </c>
      <c r="X25" s="16">
        <f t="shared" ca="1" si="3"/>
        <v>0.96324094202898536</v>
      </c>
      <c r="Y25" s="12">
        <f t="shared" ca="1" si="4"/>
        <v>-0.55611016496360122</v>
      </c>
      <c r="Z25" s="51">
        <f ca="1">IF(V25&lt;Bewertung_Stammdaten!B$25,Bewertung_Stammdaten!A$25,IF(V25&lt;Bewertung_Stammdaten!B$26,Bewertung_Stammdaten!A$26,IF(V25&lt;Bewertung_Stammdaten!B$27,Bewertung_Stammdaten!A$27,IF(V25&lt;Bewertung_Stammdaten!B$28,Bewertung_Stammdaten!A$28,IF(V25&lt;Bewertung_Stammdaten!B$29,Bewertung_Stammdaten!A$29,IF(V25&lt;Bewertung_Stammdaten!B$30,Bewertung_Stammdaten!A$30,IF(V25&lt;Bewertung_Stammdaten!B$31,Bewertung_Stammdaten!A$31,IF(V25&lt;Bewertung_Stammdaten!B$32,Bewertung_Stammdaten!A$32,IF(V25&lt;Bewertung_Stammdaten!B$33,Bewertung_Stammdaten!A$33,Bewertung_Stammdaten!A$34)))))))))</f>
        <v>1.5</v>
      </c>
      <c r="AA25" s="51">
        <f>IF(W25&lt;Bewertung_Stammdaten!F$25,Bewertung_Stammdaten!E$25,IF(W25&lt;Bewertung_Stammdaten!F$26,Bewertung_Stammdaten!E$26,IF(W25&lt;Bewertung_Stammdaten!F$27,Bewertung_Stammdaten!E$27,IF(W25&lt;Bewertung_Stammdaten!F$28,Bewertung_Stammdaten!E$28,IF(W25&lt;Bewertung_Stammdaten!F$29,Bewertung_Stammdaten!E$29,IF(W25&lt;Bewertung_Stammdaten!F$30,Bewertung_Stammdaten!E$30,IF(W25&lt;Bewertung_Stammdaten!F$31,Bewertung_Stammdaten!E$31,IF(W25&lt;Bewertung_Stammdaten!F$32,Bewertung_Stammdaten!E$32,IF(W25&lt;Bewertung_Stammdaten!F$33,Bewertung_Stammdaten!E$33,Bewertung_Stammdaten!E$34)))))))))</f>
        <v>1.5</v>
      </c>
      <c r="AB25" s="51">
        <f ca="1">IF(Y25&lt;Bewertung_Stammdaten!J$25,Bewertung_Stammdaten!I$25,IF(Y25&lt;Bewertung_Stammdaten!J$26,Bewertung_Stammdaten!I$26,IF(Y25&lt;Bewertung_Stammdaten!J$27,Bewertung_Stammdaten!I$27,IF(Y25&lt;Bewertung_Stammdaten!J$28,Bewertung_Stammdaten!I$28,IF(Y25&lt;Bewertung_Stammdaten!J$29,Bewertung_Stammdaten!I$29,IF(Y25&lt;Bewertung_Stammdaten!J$30,Bewertung_Stammdaten!I$30,IF(Y25&lt;Bewertung_Stammdaten!J$31,Bewertung_Stammdaten!I$31,IF(Y25&lt;Bewertung_Stammdaten!J$32,Bewertung_Stammdaten!I$32,IF(Y25&lt;Bewertung_Stammdaten!J$33,Bewertung_Stammdaten!I$33,Bewertung_Stammdaten!I$34)))))))))</f>
        <v>1</v>
      </c>
      <c r="AC25" s="43"/>
      <c r="AD25" s="14">
        <f ca="1">VLOOKUP(A25,Ergebnis_je_Aktie_verwässert!A$3:AK$103,23,FALSE)</f>
        <v>2.9750555555555556</v>
      </c>
      <c r="AE25" s="14">
        <f>VLOOKUP(A25,Ergebnis_je_Aktie_verwässert!A$3:AK$103,19,FALSE)</f>
        <v>2.2746153846153843</v>
      </c>
      <c r="AF25" s="12">
        <f ca="1">VLOOKUP(A25,Ergebnis_je_Aktie_verwässert!A$3:AK$103,24,FALSE)</f>
        <v>0.30793784992297013</v>
      </c>
      <c r="AG25" s="40">
        <f>VLOOKUP(A25,Ergebnis_je_Aktie_verwässert!A$3:AK$103,37,FALSE)</f>
        <v>-7.7519379844961267E-2</v>
      </c>
      <c r="AH25" s="16">
        <f t="shared" ca="1" si="5"/>
        <v>2.7444310938845824</v>
      </c>
      <c r="AI25" s="12">
        <f t="shared" ca="1" si="6"/>
        <v>0.20654731892118972</v>
      </c>
      <c r="AJ25" s="32">
        <f ca="1">IF(AF25&lt;Bewertung_Stammdaten!B$38,Bewertung_Stammdaten!A$38,IF(AF25&lt;Bewertung_Stammdaten!B$39,Bewertung_Stammdaten!A$39,IF(AF25&lt;Bewertung_Stammdaten!B$40,Bewertung_Stammdaten!A$40,IF(AF25&lt;Bewertung_Stammdaten!B$41,Bewertung_Stammdaten!A$41,IF(AF25&lt;Bewertung_Stammdaten!B$42,Bewertung_Stammdaten!A$42,IF(AF25&lt;Bewertung_Stammdaten!B$43,Bewertung_Stammdaten!A$43,IF(AF25&lt;Bewertung_Stammdaten!B$44,Bewertung_Stammdaten!A$44,IF(AF25&lt;Bewertung_Stammdaten!B$45,Bewertung_Stammdaten!A$45,IF(AF25&lt;Bewertung_Stammdaten!B$46,Bewertung_Stammdaten!A$46,Bewertung_Stammdaten!A$47)))))))))</f>
        <v>14</v>
      </c>
      <c r="AK25" s="32">
        <f>IF(AG25&lt;Bewertung_Stammdaten!F$38,Bewertung_Stammdaten!E$38,IF(AG25&lt;Bewertung_Stammdaten!F$39,Bewertung_Stammdaten!E$39,IF(AG25&lt;Bewertung_Stammdaten!F$40,Bewertung_Stammdaten!E$40,IF(AG25&lt;Bewertung_Stammdaten!F$41,Bewertung_Stammdaten!E$41,IF(AG25&lt;Bewertung_Stammdaten!F$42,Bewertung_Stammdaten!E$42,IF(AG25&lt;Bewertung_Stammdaten!F$43,Bewertung_Stammdaten!E$43,IF(AG25&lt;Bewertung_Stammdaten!F$44,Bewertung_Stammdaten!E$44,IF(AG25&lt;Bewertung_Stammdaten!F$45,Bewertung_Stammdaten!E$45,IF(AG25&lt;Bewertung_Stammdaten!F$46,Bewertung_Stammdaten!E$46,Bewertung_Stammdaten!E$47)))))))))</f>
        <v>10.5</v>
      </c>
      <c r="AL25" s="32">
        <f ca="1">IF(AI25&lt;Bewertung_Stammdaten!J$38,Bewertung_Stammdaten!I$38,IF(AI25&lt;Bewertung_Stammdaten!J$39,Bewertung_Stammdaten!I$39,IF(AI25&lt;Bewertung_Stammdaten!J$40,Bewertung_Stammdaten!I$40,IF(AI25&lt;Bewertung_Stammdaten!J$41,Bewertung_Stammdaten!I$41,IF(AI25&lt;Bewertung_Stammdaten!J$42,Bewertung_Stammdaten!I$42,IF(AI25&lt;Bewertung_Stammdaten!J$43,Bewertung_Stammdaten!I$43,IF(AI25&lt;Bewertung_Stammdaten!J$44,Bewertung_Stammdaten!I$44,IF(AI25&lt;Bewertung_Stammdaten!J$45,Bewertung_Stammdaten!I$45,IF(AI25&lt;Bewertung_Stammdaten!J$46,Bewertung_Stammdaten!I$46,Bewertung_Stammdaten!I$47)))))))))</f>
        <v>6</v>
      </c>
      <c r="AM25" s="43"/>
      <c r="AN25" s="14">
        <f ca="1">VLOOKUP(A25,Dividende_je_Aktie!A$3:AM$103,24,FALSE)</f>
        <v>1.5606666666666666</v>
      </c>
      <c r="AO25" s="14">
        <f>VLOOKUP(A25,Dividende_je_Aktie!A$3:AM$103,20,FALSE)</f>
        <v>1.0764285714285715</v>
      </c>
      <c r="AP25" s="12">
        <f ca="1">VLOOKUP(A25,Dividende_je_Aktie!A$3:AM$103,25,FALSE)</f>
        <v>0.44985622649856216</v>
      </c>
      <c r="AQ25" s="40">
        <f>VLOOKUP(A25,Dividende_je_Aktie!A$3:AM$103,39,FALSE)</f>
        <v>6.7669172932330657E-2</v>
      </c>
      <c r="AR25" s="16">
        <f t="shared" ca="1" si="7"/>
        <v>1.5606666666666666</v>
      </c>
      <c r="AS25" s="12">
        <f t="shared" ca="1" si="8"/>
        <v>0.44985622649856216</v>
      </c>
      <c r="AT25" s="32">
        <f ca="1">IF(AP25&lt;Bewertung_Stammdaten!B$51,Bewertung_Stammdaten!A$51,IF(AP25&lt;Bewertung_Stammdaten!B$52,Bewertung_Stammdaten!A$52,IF(AP25&lt;Bewertung_Stammdaten!B$53,Bewertung_Stammdaten!A$53,IF(AP25&lt;Bewertung_Stammdaten!B$54,Bewertung_Stammdaten!A$54,IF(AP25&lt;Bewertung_Stammdaten!B$55,Bewertung_Stammdaten!A$55,IF(AP25&lt;Bewertung_Stammdaten!B$56,Bewertung_Stammdaten!A$56,IF(AP25&lt;Bewertung_Stammdaten!B$57,Bewertung_Stammdaten!A$57,IF(AP25&lt;Bewertung_Stammdaten!B$58,Bewertung_Stammdaten!A$58,IF(AP25&lt;Bewertung_Stammdaten!B$59,Bewertung_Stammdaten!A$59,Bewertung_Stammdaten!A$60)))))))))</f>
        <v>14</v>
      </c>
      <c r="AU25" s="32">
        <f>IF(AQ25&lt;Bewertung_Stammdaten!F$51,Bewertung_Stammdaten!E$51,IF(AQ25&lt;Bewertung_Stammdaten!F$52,Bewertung_Stammdaten!E$52,IF(AQ25&lt;Bewertung_Stammdaten!F$53,Bewertung_Stammdaten!E$53,IF(AQ25&lt;Bewertung_Stammdaten!F$54,Bewertung_Stammdaten!E$54,IF(AQ25&lt;Bewertung_Stammdaten!F$55,Bewertung_Stammdaten!E$55,IF(AQ25&lt;Bewertung_Stammdaten!F$56,Bewertung_Stammdaten!E$56,IF(AQ25&lt;Bewertung_Stammdaten!F$57,Bewertung_Stammdaten!E$57,IF(AQ25&lt;Bewertung_Stammdaten!F$58,Bewertung_Stammdaten!E$58,IF(AQ25&lt;Bewertung_Stammdaten!F$59,Bewertung_Stammdaten!E$59,Bewertung_Stammdaten!E$60)))))))))</f>
        <v>12</v>
      </c>
      <c r="AV25" s="32">
        <f ca="1">IF(AS25&lt;Bewertung_Stammdaten!J$51,Bewertung_Stammdaten!I$51,IF(AS25&lt;Bewertung_Stammdaten!J$52,Bewertung_Stammdaten!I$52,IF(AS25&lt;Bewertung_Stammdaten!J$53,Bewertung_Stammdaten!I$53,IF(AS25&lt;Bewertung_Stammdaten!J$54,Bewertung_Stammdaten!I$54,IF(AS25&lt;Bewertung_Stammdaten!J$55,Bewertung_Stammdaten!I$55,IF(AS25&lt;Bewertung_Stammdaten!J$56,Bewertung_Stammdaten!I$56,IF(AS25&lt;Bewertung_Stammdaten!J$57,Bewertung_Stammdaten!I$57,IF(AS25&lt;Bewertung_Stammdaten!J$58,Bewertung_Stammdaten!I$58,IF(AS25&lt;Bewertung_Stammdaten!J$59,Bewertung_Stammdaten!I$59,Bewertung_Stammdaten!I$60)))))))))</f>
        <v>8</v>
      </c>
      <c r="AW25" s="43"/>
      <c r="AX25" s="12">
        <f ca="1">VLOOKUP(A25,Dividendenrendite!A$3:R$103,17,FALSE)</f>
        <v>2.2780129421495644E-2</v>
      </c>
      <c r="AY25" s="12">
        <f>VLOOKUP(A25,Dividendenrendite!A$3:R$103,16,FALSE)</f>
        <v>2.2103642533324672E-2</v>
      </c>
      <c r="AZ25" s="12">
        <f ca="1">VLOOKUP(A25,Dividendenrendite!A$3:R$103,18,FALSE)</f>
        <v>3.0605222064691961E-2</v>
      </c>
      <c r="BA25" s="32">
        <f ca="1">IF(AX25&lt;Bewertung_Stammdaten!B$64,Bewertung_Stammdaten!A$64,IF(AX25&lt;Bewertung_Stammdaten!B$65,Bewertung_Stammdaten!A$65,IF(AX25&lt;Bewertung_Stammdaten!B$66,Bewertung_Stammdaten!A$66,IF(AX25&lt;Bewertung_Stammdaten!B$67,Bewertung_Stammdaten!A$67,IF(AX25&lt;Bewertung_Stammdaten!B$68,Bewertung_Stammdaten!A$68,IF(AX25&lt;Bewertung_Stammdaten!B$69,Bewertung_Stammdaten!A$69,IF(AX25&lt;Bewertung_Stammdaten!B$70,Bewertung_Stammdaten!A$70,IF(AX25&lt;Bewertung_Stammdaten!B$71,Bewertung_Stammdaten!A$71,IF(AX25&lt;Bewertung_Stammdaten!B$72,Bewertung_Stammdaten!A$72,Bewertung_Stammdaten!A$73)))))))))</f>
        <v>7.5</v>
      </c>
      <c r="BB25" s="32">
        <f>IF(AY25&lt;Bewertung_Stammdaten!F$64,Bewertung_Stammdaten!E$64,IF(AY25&lt;Bewertung_Stammdaten!F$65,Bewertung_Stammdaten!E$65,IF(AY25&lt;Bewertung_Stammdaten!F$66,Bewertung_Stammdaten!E$66,IF(AY25&lt;Bewertung_Stammdaten!F$67,Bewertung_Stammdaten!E$67,IF(AY25&lt;Bewertung_Stammdaten!F$68,Bewertung_Stammdaten!E$68,IF(AY25&lt;Bewertung_Stammdaten!F$69,Bewertung_Stammdaten!E$69,IF(AY25&lt;Bewertung_Stammdaten!F$70,Bewertung_Stammdaten!E$70,IF(AY25&lt;Bewertung_Stammdaten!F$71,Bewertung_Stammdaten!E$71,IF(AY25&lt;Bewertung_Stammdaten!F$72,Bewertung_Stammdaten!E$72,Bewertung_Stammdaten!E$73)))))))))</f>
        <v>5</v>
      </c>
      <c r="BC25" s="32">
        <f ca="1">IF(AZ25&lt;Bewertung_Stammdaten!J$64,Bewertung_Stammdaten!I$64,IF(AZ25&lt;Bewertung_Stammdaten!J$65,Bewertung_Stammdaten!I$65,IF(AZ25&lt;Bewertung_Stammdaten!J$66,Bewertung_Stammdaten!I$66,IF(AZ25&lt;Bewertung_Stammdaten!J$67,Bewertung_Stammdaten!I$67,IF(AZ25&lt;Bewertung_Stammdaten!J$68,Bewertung_Stammdaten!I$68,IF(AZ25&lt;Bewertung_Stammdaten!J$69,Bewertung_Stammdaten!I$69,IF(AZ25&lt;Bewertung_Stammdaten!J$70,Bewertung_Stammdaten!I$70,IF(AZ25&lt;Bewertung_Stammdaten!J$71,Bewertung_Stammdaten!I$71,IF(AZ25&lt;Bewertung_Stammdaten!J$72,Bewertung_Stammdaten!I$72,Bewertung_Stammdaten!I$73)))))))))</f>
        <v>3</v>
      </c>
      <c r="BD25" s="43"/>
      <c r="BE25" s="12">
        <f>VLOOKUP(A25,Aktien_im_Umlauf_splitbereinigt!A$3:Z$103,26,FALSE)</f>
        <v>-1.290617450540843E-2</v>
      </c>
      <c r="BF25" s="12">
        <f>VLOOKUP(A25,Aktien_im_Umlauf_splitbereinigt!A$3:Y$103,24,FALSE)</f>
        <v>-1.4195960454157719E-2</v>
      </c>
      <c r="BG25" s="12">
        <f>VLOOKUP(A25,Aktien_im_Umlauf_splitbereinigt!A$3:Y$103,25,FALSE)</f>
        <v>-9.0855842612011184E-2</v>
      </c>
      <c r="BH25" s="41">
        <f>IF(BE25&lt;Bewertung_Stammdaten!B$77,Bewertung_Stammdaten!A$77,IF(BE25&lt;Bewertung_Stammdaten!B$78,Bewertung_Stammdaten!A$78,IF(BE25&lt;Bewertung_Stammdaten!B$79,Bewertung_Stammdaten!A$79,IF(BE25&lt;Bewertung_Stammdaten!B$80,Bewertung_Stammdaten!A$80,IF(BE25&lt;Bewertung_Stammdaten!B$81,Bewertung_Stammdaten!A$81,IF(BE25&lt;Bewertung_Stammdaten!B$82,Bewertung_Stammdaten!A$82,IF(BE25&lt;Bewertung_Stammdaten!B$83,Bewertung_Stammdaten!A$83,IF(BE25&lt;Bewertung_Stammdaten!B$84,Bewertung_Stammdaten!A$84,IF(BE25&lt;Bewertung_Stammdaten!B$85,Bewertung_Stammdaten!A$85,Bewertung_Stammdaten!A$86)))))))))</f>
        <v>5</v>
      </c>
      <c r="BI25" s="41">
        <f>IF(BF25&lt;Bewertung_Stammdaten!F$77,Bewertung_Stammdaten!E$77,IF(BF25&lt;Bewertung_Stammdaten!F$78,Bewertung_Stammdaten!E$78,IF(BF25&lt;Bewertung_Stammdaten!F$79,Bewertung_Stammdaten!E$79,IF(BF25&lt;Bewertung_Stammdaten!F$80,Bewertung_Stammdaten!E$80,IF(BF25&lt;Bewertung_Stammdaten!F$81,Bewertung_Stammdaten!E$81,IF(BF25&lt;Bewertung_Stammdaten!F$82,Bewertung_Stammdaten!E$82,IF(BF25&lt;Bewertung_Stammdaten!F$83,Bewertung_Stammdaten!E$83,IF(BF25&lt;Bewertung_Stammdaten!F$84,Bewertung_Stammdaten!E$84,IF(BF25&lt;Bewertung_Stammdaten!F$85,Bewertung_Stammdaten!E$85,Bewertung_Stammdaten!E$86)))))))))</f>
        <v>5</v>
      </c>
      <c r="BJ25" s="41">
        <f>IF(BG25&lt;Bewertung_Stammdaten!J$77,Bewertung_Stammdaten!I$77,IF(BG25&lt;Bewertung_Stammdaten!J$78,Bewertung_Stammdaten!I$78,IF(BG25&lt;Bewertung_Stammdaten!J$79,Bewertung_Stammdaten!I$79,IF(BG25&lt;Bewertung_Stammdaten!J$80,Bewertung_Stammdaten!I$80,IF(BG25&lt;Bewertung_Stammdaten!J$81,Bewertung_Stammdaten!I$81,IF(BG25&lt;Bewertung_Stammdaten!J$82,Bewertung_Stammdaten!I$82,IF(BG25&lt;Bewertung_Stammdaten!J$83,Bewertung_Stammdaten!I$83,IF(BG25&lt;Bewertung_Stammdaten!J$84,Bewertung_Stammdaten!I$84,IF(BG25&lt;Bewertung_Stammdaten!J$85,Bewertung_Stammdaten!I$85,Bewertung_Stammdaten!I$86)))))))))</f>
        <v>2.5</v>
      </c>
      <c r="BK25" s="43"/>
      <c r="BL25" s="12">
        <f ca="1">VLOOKUP(A25,Ausschüttungsquote!A$3:X$103,23,FALSE)</f>
        <v>0.52490838744865442</v>
      </c>
      <c r="BM25" s="12">
        <f>VLOOKUP(A25,Ausschüttungsquote!A$3:X$103,19,FALSE)</f>
        <v>0.48806078114908702</v>
      </c>
      <c r="BN25" s="12">
        <f ca="1">VLOOKUP(A25,Ausschüttungsquote!A$3:X$103,24,FALSE)</f>
        <v>7.5497986568012321E-2</v>
      </c>
      <c r="BO25" s="32">
        <f ca="1">IF(BL25&lt;Bewertung_Stammdaten!B$90,Bewertung_Stammdaten!A$90,IF(BL25&lt;Bewertung_Stammdaten!B$91,Bewertung_Stammdaten!A$91,IF(BL25&lt;Bewertung_Stammdaten!B$92,Bewertung_Stammdaten!A$92,IF(BL25&lt;Bewertung_Stammdaten!B$93,Bewertung_Stammdaten!A$93,IF(BL25&lt;Bewertung_Stammdaten!B$94,Bewertung_Stammdaten!A$94,IF(BL25&lt;Bewertung_Stammdaten!B$95,Bewertung_Stammdaten!A$95,IF(BL25&lt;Bewertung_Stammdaten!B$96,Bewertung_Stammdaten!A$96,IF(BL25&lt;Bewertung_Stammdaten!B$97,Bewertung_Stammdaten!A$97,IF(BL25&lt;Bewertung_Stammdaten!B$98,Bewertung_Stammdaten!A$98,Bewertung_Stammdaten!A$99)))))))))</f>
        <v>7</v>
      </c>
      <c r="BP25" s="41">
        <f>IF(BM25&lt;Bewertung_Stammdaten!F$90,Bewertung_Stammdaten!E$90,IF(BM25&lt;Bewertung_Stammdaten!F$91,Bewertung_Stammdaten!E$91,IF(BM25&lt;Bewertung_Stammdaten!F$92,Bewertung_Stammdaten!E$92,IF(BM25&lt;Bewertung_Stammdaten!F$93,Bewertung_Stammdaten!E$93,IF(BM25&lt;Bewertung_Stammdaten!F$94,Bewertung_Stammdaten!E$94,IF(BM25&lt;Bewertung_Stammdaten!F$95,Bewertung_Stammdaten!E$95,IF(BM25&lt;Bewertung_Stammdaten!F$96,Bewertung_Stammdaten!E$96,IF(BM25&lt;Bewertung_Stammdaten!F$97,Bewertung_Stammdaten!E$97,IF(BM25&lt;Bewertung_Stammdaten!F$98,Bewertung_Stammdaten!E$98,Bewertung_Stammdaten!E$99)))))))))</f>
        <v>8</v>
      </c>
      <c r="BQ25" s="32">
        <f ca="1">IF(BN25&lt;Bewertung_Stammdaten!J$90,Bewertung_Stammdaten!I$90,IF(BN25&lt;Bewertung_Stammdaten!J$91,Bewertung_Stammdaten!I$91,IF(BN25&lt;Bewertung_Stammdaten!J$92,Bewertung_Stammdaten!I$92,IF(BN25&lt;Bewertung_Stammdaten!J$93,Bewertung_Stammdaten!I$93,IF(BN25&lt;Bewertung_Stammdaten!J$94,Bewertung_Stammdaten!I$94,IF(BN25&lt;Bewertung_Stammdaten!J$95,Bewertung_Stammdaten!I$95,IF(BN25&lt;Bewertung_Stammdaten!J$96,Bewertung_Stammdaten!I$96,IF(BN25&lt;Bewertung_Stammdaten!J$97,Bewertung_Stammdaten!I$97,IF(BN25&lt;Bewertung_Stammdaten!J$98,Bewertung_Stammdaten!I$98,Bewertung_Stammdaten!I$99)))))))))</f>
        <v>4</v>
      </c>
    </row>
    <row r="26" spans="1:69" x14ac:dyDescent="0.25">
      <c r="A26" s="38" t="s">
        <v>44</v>
      </c>
      <c r="B26" s="38" t="s">
        <v>45</v>
      </c>
      <c r="C26" s="38" t="s">
        <v>296</v>
      </c>
      <c r="D26" s="32">
        <f t="shared" ca="1" si="0"/>
        <v>71</v>
      </c>
      <c r="E26" s="43"/>
      <c r="F26" s="66">
        <v>1</v>
      </c>
      <c r="G26" s="11">
        <f ca="1">VLOOKUP(A26,KGV!A$3:R$103,17,FALSE)</f>
        <v>28.988764044943824</v>
      </c>
      <c r="H26" s="11">
        <f>VLOOKUP(A26,KGV!A$3:R$103,16,FALSE)</f>
        <v>17.208294930875574</v>
      </c>
      <c r="I26" s="12">
        <f ca="1">VLOOKUP(A26,KGV!A$3:R$103,18,FALSE)</f>
        <v>0.68458084670151864</v>
      </c>
      <c r="J26" s="16">
        <f t="shared" ca="1" si="1"/>
        <v>65.88355464759961</v>
      </c>
      <c r="K26" s="12">
        <f t="shared" ca="1" si="2"/>
        <v>2.8285928334125425</v>
      </c>
      <c r="L26" s="11">
        <f ca="1">VLOOKUP(A26,KBV!A$3:R$103,17,FALSE)</f>
        <v>2.5008718842958251</v>
      </c>
      <c r="M26" s="11">
        <f>VLOOKUP(A26,KBV!A$3:R$103,16,FALSE)</f>
        <v>2.3183486238532107</v>
      </c>
      <c r="N26" s="12">
        <f ca="1">VLOOKUP(A26,KBV!A$3:R$103,18,FALSE)</f>
        <v>7.8729859074970099E-2</v>
      </c>
      <c r="O26" s="16">
        <f t="shared" ca="1" si="9"/>
        <v>2.9230374133879642</v>
      </c>
      <c r="P26" s="12">
        <f t="shared" ca="1" si="10"/>
        <v>0.2608273765701945</v>
      </c>
      <c r="Q26" s="32">
        <f ca="1">IF(F26=1,IF(I26&lt;Bewertung_Stammdaten!B$12,Bewertung_Stammdaten!A$12,IF(I26&lt;Bewertung_Stammdaten!B$13,Bewertung_Stammdaten!A$13,IF(I26&lt;Bewertung_Stammdaten!B$14,Bewertung_Stammdaten!A$14,IF(I26&lt;Bewertung_Stammdaten!B$15,Bewertung_Stammdaten!A$15,IF(I26&lt;Bewertung_Stammdaten!B$16,Bewertung_Stammdaten!A$16,IF(I26&lt;Bewertung_Stammdaten!B$17,Bewertung_Stammdaten!A$17,IF(I26&lt;Bewertung_Stammdaten!B$18,Bewertung_Stammdaten!A$18,IF(I26&lt;Bewertung_Stammdaten!B$19,Bewertung_Stammdaten!A$19,IF(I26&lt;Bewertung_Stammdaten!B$20,Bewertung_Stammdaten!A$20,Bewertung_Stammdaten!A$21))))))))),IF(N26&lt;Bewertung_Stammdaten!C$12,Bewertung_Stammdaten!A$12,IF(N26&lt;Bewertung_Stammdaten!C$13,Bewertung_Stammdaten!A$13,IF(N26&lt;Bewertung_Stammdaten!C$14,Bewertung_Stammdaten!A$14,IF(N26&lt;Bewertung_Stammdaten!C$15,Bewertung_Stammdaten!A$15,IF(N26&lt;Bewertung_Stammdaten!C$16,Bewertung_Stammdaten!A$16,IF(N26&lt;Bewertung_Stammdaten!C$17,Bewertung_Stammdaten!A$17,IF(N26&lt;Bewertung_Stammdaten!C$18,Bewertung_Stammdaten!A$18,IF(N26&lt;Bewertung_Stammdaten!C$19,Bewertung_Stammdaten!A$19,IF(N26&lt;Bewertung_Stammdaten!C$20,Bewertung_Stammdaten!A$20,Bewertung_Stammdaten!A$21))))))))))</f>
        <v>6</v>
      </c>
      <c r="R26" s="32">
        <f ca="1">IF(F26=1,IF(K26&lt;Bewertung_Stammdaten!F$12,Bewertung_Stammdaten!E$12,IF(K26&lt;Bewertung_Stammdaten!F$13,Bewertung_Stammdaten!E$13,IF(K26&lt;Bewertung_Stammdaten!F$14,Bewertung_Stammdaten!E$14,IF(K26&lt;Bewertung_Stammdaten!F$15,Bewertung_Stammdaten!E$15,IF(K26&lt;Bewertung_Stammdaten!F$16,Bewertung_Stammdaten!E$16,IF(K26&lt;Bewertung_Stammdaten!F$17,Bewertung_Stammdaten!E$17,IF(K26&lt;Bewertung_Stammdaten!F$18,Bewertung_Stammdaten!E$18,IF(K26&lt;Bewertung_Stammdaten!F$19,Bewertung_Stammdaten!E$19,IF(K26&lt;Bewertung_Stammdaten!F$20,Bewertung_Stammdaten!E$20,Bewertung_Stammdaten!E$21))))))))),IF(P26&lt;Bewertung_Stammdaten!G$12,Bewertung_Stammdaten!E$12,IF(P26&lt;Bewertung_Stammdaten!G$13,Bewertung_Stammdaten!E$13,IF(P26&lt;Bewertung_Stammdaten!G$14,Bewertung_Stammdaten!E$14,IF(P26&lt;Bewertung_Stammdaten!G$15,Bewertung_Stammdaten!E$15,IF(P26&lt;Bewertung_Stammdaten!G$16,Bewertung_Stammdaten!E$16,IF(P26&lt;Bewertung_Stammdaten!G$17,Bewertung_Stammdaten!E$17,IF(P26&lt;Bewertung_Stammdaten!G$18,Bewertung_Stammdaten!E$18,IF(P26&lt;Bewertung_Stammdaten!G$19,Bewertung_Stammdaten!E$19,IF(P26&lt;Bewertung_Stammdaten!G$20,Bewertung_Stammdaten!E$20,Bewertung_Stammdaten!E$21))))))))))</f>
        <v>2.5</v>
      </c>
      <c r="S26" s="43"/>
      <c r="T26" s="11">
        <f ca="1">VLOOKUP(A26,Buchwert_je_Aktie!A$3:AK$103,23,FALSE)</f>
        <v>10.832222222222223</v>
      </c>
      <c r="U26" s="11">
        <f>VLOOKUP(A26,Buchwert_je_Aktie!A$3:AK$103,19,FALSE)</f>
        <v>11.142307692307694</v>
      </c>
      <c r="V26" s="12">
        <f ca="1">VLOOKUP(A26,Buchwert_je_Aktie!A$3:AK$103,24,FALSE)</f>
        <v>-2.7829555478848023E-2</v>
      </c>
      <c r="W26" s="12">
        <f>VLOOKUP(A26,Buchwert_je_Aktie!A$3:AK$103,37,FALSE)</f>
        <v>-0.14442700156985866</v>
      </c>
      <c r="X26" s="16">
        <f t="shared" ca="1" si="3"/>
        <v>9.2677568463282753</v>
      </c>
      <c r="Y26" s="12">
        <f t="shared" ca="1" si="4"/>
        <v>-0.16823721779587464</v>
      </c>
      <c r="Z26" s="51">
        <f ca="1">IF(V26&lt;Bewertung_Stammdaten!B$25,Bewertung_Stammdaten!A$25,IF(V26&lt;Bewertung_Stammdaten!B$26,Bewertung_Stammdaten!A$26,IF(V26&lt;Bewertung_Stammdaten!B$27,Bewertung_Stammdaten!A$27,IF(V26&lt;Bewertung_Stammdaten!B$28,Bewertung_Stammdaten!A$28,IF(V26&lt;Bewertung_Stammdaten!B$29,Bewertung_Stammdaten!A$29,IF(V26&lt;Bewertung_Stammdaten!B$30,Bewertung_Stammdaten!A$30,IF(V26&lt;Bewertung_Stammdaten!B$31,Bewertung_Stammdaten!A$31,IF(V26&lt;Bewertung_Stammdaten!B$32,Bewertung_Stammdaten!A$32,IF(V26&lt;Bewertung_Stammdaten!B$33,Bewertung_Stammdaten!A$33,Bewertung_Stammdaten!A$34)))))))))</f>
        <v>3</v>
      </c>
      <c r="AA26" s="51">
        <f>IF(W26&lt;Bewertung_Stammdaten!F$25,Bewertung_Stammdaten!E$25,IF(W26&lt;Bewertung_Stammdaten!F$26,Bewertung_Stammdaten!E$26,IF(W26&lt;Bewertung_Stammdaten!F$27,Bewertung_Stammdaten!E$27,IF(W26&lt;Bewertung_Stammdaten!F$28,Bewertung_Stammdaten!E$28,IF(W26&lt;Bewertung_Stammdaten!F$29,Bewertung_Stammdaten!E$29,IF(W26&lt;Bewertung_Stammdaten!F$30,Bewertung_Stammdaten!E$30,IF(W26&lt;Bewertung_Stammdaten!F$31,Bewertung_Stammdaten!E$31,IF(W26&lt;Bewertung_Stammdaten!F$32,Bewertung_Stammdaten!E$32,IF(W26&lt;Bewertung_Stammdaten!F$33,Bewertung_Stammdaten!E$33,Bewertung_Stammdaten!E$34)))))))))</f>
        <v>7.5</v>
      </c>
      <c r="AB26" s="51">
        <f ca="1">IF(Y26&lt;Bewertung_Stammdaten!J$25,Bewertung_Stammdaten!I$25,IF(Y26&lt;Bewertung_Stammdaten!J$26,Bewertung_Stammdaten!I$26,IF(Y26&lt;Bewertung_Stammdaten!J$27,Bewertung_Stammdaten!I$27,IF(Y26&lt;Bewertung_Stammdaten!J$28,Bewertung_Stammdaten!I$28,IF(Y26&lt;Bewertung_Stammdaten!J$29,Bewertung_Stammdaten!I$29,IF(Y26&lt;Bewertung_Stammdaten!J$30,Bewertung_Stammdaten!I$30,IF(Y26&lt;Bewertung_Stammdaten!J$31,Bewertung_Stammdaten!I$31,IF(Y26&lt;Bewertung_Stammdaten!J$32,Bewertung_Stammdaten!I$32,IF(Y26&lt;Bewertung_Stammdaten!J$33,Bewertung_Stammdaten!I$33,Bewertung_Stammdaten!I$34)))))))))</f>
        <v>1</v>
      </c>
      <c r="AC26" s="43"/>
      <c r="AD26" s="14">
        <f ca="1">VLOOKUP(A26,Ergebnis_je_Aktie_verwässert!A$3:AK$103,23,FALSE)</f>
        <v>0.93449999999999989</v>
      </c>
      <c r="AE26" s="14">
        <f>VLOOKUP(A26,Ergebnis_je_Aktie_verwässert!A$3:AK$103,19,FALSE)</f>
        <v>1.4323076923076921</v>
      </c>
      <c r="AF26" s="12">
        <f ca="1">VLOOKUP(A26,Ergebnis_je_Aktie_verwässert!A$3:AK$103,24,FALSE)</f>
        <v>-0.34755639097744362</v>
      </c>
      <c r="AG26" s="40">
        <f>VLOOKUP(A26,Ergebnis_je_Aktie_verwässert!A$3:AK$103,37,FALSE)</f>
        <v>-0.56000000000000005</v>
      </c>
      <c r="AH26" s="16">
        <f t="shared" ca="1" si="5"/>
        <v>0.41117999999999988</v>
      </c>
      <c r="AI26" s="12">
        <f t="shared" ca="1" si="6"/>
        <v>-0.71292481203007529</v>
      </c>
      <c r="AJ26" s="32">
        <f ca="1">IF(AF26&lt;Bewertung_Stammdaten!B$38,Bewertung_Stammdaten!A$38,IF(AF26&lt;Bewertung_Stammdaten!B$39,Bewertung_Stammdaten!A$39,IF(AF26&lt;Bewertung_Stammdaten!B$40,Bewertung_Stammdaten!A$40,IF(AF26&lt;Bewertung_Stammdaten!B$41,Bewertung_Stammdaten!A$41,IF(AF26&lt;Bewertung_Stammdaten!B$42,Bewertung_Stammdaten!A$42,IF(AF26&lt;Bewertung_Stammdaten!B$43,Bewertung_Stammdaten!A$43,IF(AF26&lt;Bewertung_Stammdaten!B$44,Bewertung_Stammdaten!A$44,IF(AF26&lt;Bewertung_Stammdaten!B$45,Bewertung_Stammdaten!A$45,IF(AF26&lt;Bewertung_Stammdaten!B$46,Bewertung_Stammdaten!A$46,Bewertung_Stammdaten!A$47)))))))))</f>
        <v>2</v>
      </c>
      <c r="AK26" s="32">
        <f>IF(AG26&lt;Bewertung_Stammdaten!F$38,Bewertung_Stammdaten!E$38,IF(AG26&lt;Bewertung_Stammdaten!F$39,Bewertung_Stammdaten!E$39,IF(AG26&lt;Bewertung_Stammdaten!F$40,Bewertung_Stammdaten!E$40,IF(AG26&lt;Bewertung_Stammdaten!F$41,Bewertung_Stammdaten!E$41,IF(AG26&lt;Bewertung_Stammdaten!F$42,Bewertung_Stammdaten!E$42,IF(AG26&lt;Bewertung_Stammdaten!F$43,Bewertung_Stammdaten!E$43,IF(AG26&lt;Bewertung_Stammdaten!F$44,Bewertung_Stammdaten!E$44,IF(AG26&lt;Bewertung_Stammdaten!F$45,Bewertung_Stammdaten!E$45,IF(AG26&lt;Bewertung_Stammdaten!F$46,Bewertung_Stammdaten!E$46,Bewertung_Stammdaten!E$47)))))))))</f>
        <v>3</v>
      </c>
      <c r="AL26" s="32">
        <f ca="1">IF(AI26&lt;Bewertung_Stammdaten!J$38,Bewertung_Stammdaten!I$38,IF(AI26&lt;Bewertung_Stammdaten!J$39,Bewertung_Stammdaten!I$39,IF(AI26&lt;Bewertung_Stammdaten!J$40,Bewertung_Stammdaten!I$40,IF(AI26&lt;Bewertung_Stammdaten!J$41,Bewertung_Stammdaten!I$41,IF(AI26&lt;Bewertung_Stammdaten!J$42,Bewertung_Stammdaten!I$42,IF(AI26&lt;Bewertung_Stammdaten!J$43,Bewertung_Stammdaten!I$43,IF(AI26&lt;Bewertung_Stammdaten!J$44,Bewertung_Stammdaten!I$44,IF(AI26&lt;Bewertung_Stammdaten!J$45,Bewertung_Stammdaten!I$45,IF(AI26&lt;Bewertung_Stammdaten!J$46,Bewertung_Stammdaten!I$46,Bewertung_Stammdaten!I$47)))))))))</f>
        <v>1</v>
      </c>
      <c r="AM26" s="43"/>
      <c r="AN26" s="14">
        <f ca="1">VLOOKUP(A26,Dividende_je_Aktie!A$3:AM$103,24,FALSE)</f>
        <v>0.94355555555555548</v>
      </c>
      <c r="AO26" s="14">
        <f>VLOOKUP(A26,Dividende_je_Aktie!A$3:AM$103,20,FALSE)</f>
        <v>0.86642857142857144</v>
      </c>
      <c r="AP26" s="12">
        <f ca="1">VLOOKUP(A26,Dividende_je_Aktie!A$3:AM$103,25,FALSE)</f>
        <v>8.901712924796179E-2</v>
      </c>
      <c r="AQ26" s="40">
        <f>VLOOKUP(A26,Dividende_je_Aktie!A$3:AM$103,39,FALSE)</f>
        <v>-0.50806451612903225</v>
      </c>
      <c r="AR26" s="16">
        <f t="shared" ca="1" si="7"/>
        <v>0.46416845878136198</v>
      </c>
      <c r="AS26" s="12">
        <f t="shared" ca="1" si="8"/>
        <v>-0.46427383157963165</v>
      </c>
      <c r="AT26" s="32">
        <f ca="1">IF(AP26&lt;Bewertung_Stammdaten!B$51,Bewertung_Stammdaten!A$51,IF(AP26&lt;Bewertung_Stammdaten!B$52,Bewertung_Stammdaten!A$52,IF(AP26&lt;Bewertung_Stammdaten!B$53,Bewertung_Stammdaten!A$53,IF(AP26&lt;Bewertung_Stammdaten!B$54,Bewertung_Stammdaten!A$54,IF(AP26&lt;Bewertung_Stammdaten!B$55,Bewertung_Stammdaten!A$55,IF(AP26&lt;Bewertung_Stammdaten!B$56,Bewertung_Stammdaten!A$56,IF(AP26&lt;Bewertung_Stammdaten!B$57,Bewertung_Stammdaten!A$57,IF(AP26&lt;Bewertung_Stammdaten!B$58,Bewertung_Stammdaten!A$58,IF(AP26&lt;Bewertung_Stammdaten!B$59,Bewertung_Stammdaten!A$59,Bewertung_Stammdaten!A$60)))))))))</f>
        <v>6</v>
      </c>
      <c r="AU26" s="32">
        <f>IF(AQ26&lt;Bewertung_Stammdaten!F$51,Bewertung_Stammdaten!E$51,IF(AQ26&lt;Bewertung_Stammdaten!F$52,Bewertung_Stammdaten!E$52,IF(AQ26&lt;Bewertung_Stammdaten!F$53,Bewertung_Stammdaten!E$53,IF(AQ26&lt;Bewertung_Stammdaten!F$54,Bewertung_Stammdaten!E$54,IF(AQ26&lt;Bewertung_Stammdaten!F$55,Bewertung_Stammdaten!E$55,IF(AQ26&lt;Bewertung_Stammdaten!F$56,Bewertung_Stammdaten!E$56,IF(AQ26&lt;Bewertung_Stammdaten!F$57,Bewertung_Stammdaten!E$57,IF(AQ26&lt;Bewertung_Stammdaten!F$58,Bewertung_Stammdaten!E$58,IF(AQ26&lt;Bewertung_Stammdaten!F$59,Bewertung_Stammdaten!E$59,Bewertung_Stammdaten!E$60)))))))))</f>
        <v>3</v>
      </c>
      <c r="AV26" s="32">
        <f ca="1">IF(AS26&lt;Bewertung_Stammdaten!J$51,Bewertung_Stammdaten!I$51,IF(AS26&lt;Bewertung_Stammdaten!J$52,Bewertung_Stammdaten!I$52,IF(AS26&lt;Bewertung_Stammdaten!J$53,Bewertung_Stammdaten!I$53,IF(AS26&lt;Bewertung_Stammdaten!J$54,Bewertung_Stammdaten!I$54,IF(AS26&lt;Bewertung_Stammdaten!J$55,Bewertung_Stammdaten!I$55,IF(AS26&lt;Bewertung_Stammdaten!J$56,Bewertung_Stammdaten!I$56,IF(AS26&lt;Bewertung_Stammdaten!J$57,Bewertung_Stammdaten!I$57,IF(AS26&lt;Bewertung_Stammdaten!J$58,Bewertung_Stammdaten!I$58,IF(AS26&lt;Bewertung_Stammdaten!J$59,Bewertung_Stammdaten!I$59,Bewertung_Stammdaten!I$60)))))))))</f>
        <v>1</v>
      </c>
      <c r="AW26" s="43"/>
      <c r="AX26" s="12">
        <f ca="1">VLOOKUP(A26,Dividendenrendite!A$3:R$103,17,FALSE)</f>
        <v>3.4830400721873586E-2</v>
      </c>
      <c r="AY26" s="12">
        <f>VLOOKUP(A26,Dividendenrendite!A$3:R$103,16,FALSE)</f>
        <v>3.4614880685506208E-2</v>
      </c>
      <c r="AZ26" s="12">
        <f ca="1">VLOOKUP(A26,Dividendenrendite!A$3:R$103,18,FALSE)</f>
        <v>6.2262250251701179E-3</v>
      </c>
      <c r="BA26" s="32">
        <f ca="1">IF(AX26&lt;Bewertung_Stammdaten!B$64,Bewertung_Stammdaten!A$64,IF(AX26&lt;Bewertung_Stammdaten!B$65,Bewertung_Stammdaten!A$65,IF(AX26&lt;Bewertung_Stammdaten!B$66,Bewertung_Stammdaten!A$66,IF(AX26&lt;Bewertung_Stammdaten!B$67,Bewertung_Stammdaten!A$67,IF(AX26&lt;Bewertung_Stammdaten!B$68,Bewertung_Stammdaten!A$68,IF(AX26&lt;Bewertung_Stammdaten!B$69,Bewertung_Stammdaten!A$69,IF(AX26&lt;Bewertung_Stammdaten!B$70,Bewertung_Stammdaten!A$70,IF(AX26&lt;Bewertung_Stammdaten!B$71,Bewertung_Stammdaten!A$71,IF(AX26&lt;Bewertung_Stammdaten!B$72,Bewertung_Stammdaten!A$72,Bewertung_Stammdaten!A$73)))))))))</f>
        <v>10.5</v>
      </c>
      <c r="BB26" s="32">
        <f>IF(AY26&lt;Bewertung_Stammdaten!F$64,Bewertung_Stammdaten!E$64,IF(AY26&lt;Bewertung_Stammdaten!F$65,Bewertung_Stammdaten!E$65,IF(AY26&lt;Bewertung_Stammdaten!F$66,Bewertung_Stammdaten!E$66,IF(AY26&lt;Bewertung_Stammdaten!F$67,Bewertung_Stammdaten!E$67,IF(AY26&lt;Bewertung_Stammdaten!F$68,Bewertung_Stammdaten!E$68,IF(AY26&lt;Bewertung_Stammdaten!F$69,Bewertung_Stammdaten!E$69,IF(AY26&lt;Bewertung_Stammdaten!F$70,Bewertung_Stammdaten!E$70,IF(AY26&lt;Bewertung_Stammdaten!F$71,Bewertung_Stammdaten!E$71,IF(AY26&lt;Bewertung_Stammdaten!F$72,Bewertung_Stammdaten!E$72,Bewertung_Stammdaten!E$73)))))))))</f>
        <v>7</v>
      </c>
      <c r="BC26" s="32">
        <f ca="1">IF(AZ26&lt;Bewertung_Stammdaten!J$64,Bewertung_Stammdaten!I$64,IF(AZ26&lt;Bewertung_Stammdaten!J$65,Bewertung_Stammdaten!I$65,IF(AZ26&lt;Bewertung_Stammdaten!J$66,Bewertung_Stammdaten!I$66,IF(AZ26&lt;Bewertung_Stammdaten!J$67,Bewertung_Stammdaten!I$67,IF(AZ26&lt;Bewertung_Stammdaten!J$68,Bewertung_Stammdaten!I$68,IF(AZ26&lt;Bewertung_Stammdaten!J$69,Bewertung_Stammdaten!I$69,IF(AZ26&lt;Bewertung_Stammdaten!J$70,Bewertung_Stammdaten!I$70,IF(AZ26&lt;Bewertung_Stammdaten!J$71,Bewertung_Stammdaten!I$71,IF(AZ26&lt;Bewertung_Stammdaten!J$72,Bewertung_Stammdaten!I$72,Bewertung_Stammdaten!I$73)))))))))</f>
        <v>3</v>
      </c>
      <c r="BD26" s="43"/>
      <c r="BE26" s="12">
        <f>VLOOKUP(A26,Aktien_im_Umlauf_splitbereinigt!A$3:Z$103,26,FALSE)</f>
        <v>-3.9757479375812643E-4</v>
      </c>
      <c r="BF26" s="12">
        <f>VLOOKUP(A26,Aktien_im_Umlauf_splitbereinigt!A$3:Y$103,24,FALSE)</f>
        <v>-4.3051426439918196E-3</v>
      </c>
      <c r="BG26" s="12">
        <f>VLOOKUP(A26,Aktien_im_Umlauf_splitbereinigt!A$3:Y$103,25,FALSE)</f>
        <v>-0.90765119146215167</v>
      </c>
      <c r="BH26" s="41">
        <f>IF(BE26&lt;Bewertung_Stammdaten!B$77,Bewertung_Stammdaten!A$77,IF(BE26&lt;Bewertung_Stammdaten!B$78,Bewertung_Stammdaten!A$78,IF(BE26&lt;Bewertung_Stammdaten!B$79,Bewertung_Stammdaten!A$79,IF(BE26&lt;Bewertung_Stammdaten!B$80,Bewertung_Stammdaten!A$80,IF(BE26&lt;Bewertung_Stammdaten!B$81,Bewertung_Stammdaten!A$81,IF(BE26&lt;Bewertung_Stammdaten!B$82,Bewertung_Stammdaten!A$82,IF(BE26&lt;Bewertung_Stammdaten!B$83,Bewertung_Stammdaten!A$83,IF(BE26&lt;Bewertung_Stammdaten!B$84,Bewertung_Stammdaten!A$84,IF(BE26&lt;Bewertung_Stammdaten!B$85,Bewertung_Stammdaten!A$85,Bewertung_Stammdaten!A$86)))))))))</f>
        <v>3</v>
      </c>
      <c r="BI26" s="41">
        <f>IF(BF26&lt;Bewertung_Stammdaten!F$77,Bewertung_Stammdaten!E$77,IF(BF26&lt;Bewertung_Stammdaten!F$78,Bewertung_Stammdaten!E$78,IF(BF26&lt;Bewertung_Stammdaten!F$79,Bewertung_Stammdaten!E$79,IF(BF26&lt;Bewertung_Stammdaten!F$80,Bewertung_Stammdaten!E$80,IF(BF26&lt;Bewertung_Stammdaten!F$81,Bewertung_Stammdaten!E$81,IF(BF26&lt;Bewertung_Stammdaten!F$82,Bewertung_Stammdaten!E$82,IF(BF26&lt;Bewertung_Stammdaten!F$83,Bewertung_Stammdaten!E$83,IF(BF26&lt;Bewertung_Stammdaten!F$84,Bewertung_Stammdaten!E$84,IF(BF26&lt;Bewertung_Stammdaten!F$85,Bewertung_Stammdaten!E$85,Bewertung_Stammdaten!E$86)))))))))</f>
        <v>3</v>
      </c>
      <c r="BJ26" s="41">
        <f>IF(BG26&lt;Bewertung_Stammdaten!J$77,Bewertung_Stammdaten!I$77,IF(BG26&lt;Bewertung_Stammdaten!J$78,Bewertung_Stammdaten!I$78,IF(BG26&lt;Bewertung_Stammdaten!J$79,Bewertung_Stammdaten!I$79,IF(BG26&lt;Bewertung_Stammdaten!J$80,Bewertung_Stammdaten!I$80,IF(BG26&lt;Bewertung_Stammdaten!J$81,Bewertung_Stammdaten!I$81,IF(BG26&lt;Bewertung_Stammdaten!J$82,Bewertung_Stammdaten!I$82,IF(BG26&lt;Bewertung_Stammdaten!J$83,Bewertung_Stammdaten!I$83,IF(BG26&lt;Bewertung_Stammdaten!J$84,Bewertung_Stammdaten!I$84,IF(BG26&lt;Bewertung_Stammdaten!J$85,Bewertung_Stammdaten!I$85,Bewertung_Stammdaten!I$86)))))))))</f>
        <v>1.5</v>
      </c>
      <c r="BK26" s="43"/>
      <c r="BL26" s="12">
        <f ca="1">VLOOKUP(A26,Ausschüttungsquote!A$3:X$103,23,FALSE)</f>
        <v>1.1551862159005015</v>
      </c>
      <c r="BM26" s="12">
        <f>VLOOKUP(A26,Ausschüttungsquote!A$3:X$103,19,FALSE)</f>
        <v>0.63981707315921177</v>
      </c>
      <c r="BN26" s="12">
        <f ca="1">VLOOKUP(A26,Ausschüttungsquote!A$3:X$103,24,FALSE)</f>
        <v>0.80549451454391807</v>
      </c>
      <c r="BO26" s="32">
        <f ca="1">IF(BL26&lt;Bewertung_Stammdaten!B$90,Bewertung_Stammdaten!A$90,IF(BL26&lt;Bewertung_Stammdaten!B$91,Bewertung_Stammdaten!A$91,IF(BL26&lt;Bewertung_Stammdaten!B$92,Bewertung_Stammdaten!A$92,IF(BL26&lt;Bewertung_Stammdaten!B$93,Bewertung_Stammdaten!A$93,IF(BL26&lt;Bewertung_Stammdaten!B$94,Bewertung_Stammdaten!A$94,IF(BL26&lt;Bewertung_Stammdaten!B$95,Bewertung_Stammdaten!A$95,IF(BL26&lt;Bewertung_Stammdaten!B$96,Bewertung_Stammdaten!A$96,IF(BL26&lt;Bewertung_Stammdaten!B$97,Bewertung_Stammdaten!A$97,IF(BL26&lt;Bewertung_Stammdaten!B$98,Bewertung_Stammdaten!A$98,Bewertung_Stammdaten!A$99)))))))))</f>
        <v>1</v>
      </c>
      <c r="BP26" s="41">
        <f>IF(BM26&lt;Bewertung_Stammdaten!F$90,Bewertung_Stammdaten!E$90,IF(BM26&lt;Bewertung_Stammdaten!F$91,Bewertung_Stammdaten!E$91,IF(BM26&lt;Bewertung_Stammdaten!F$92,Bewertung_Stammdaten!E$92,IF(BM26&lt;Bewertung_Stammdaten!F$93,Bewertung_Stammdaten!E$93,IF(BM26&lt;Bewertung_Stammdaten!F$94,Bewertung_Stammdaten!E$94,IF(BM26&lt;Bewertung_Stammdaten!F$95,Bewertung_Stammdaten!E$95,IF(BM26&lt;Bewertung_Stammdaten!F$96,Bewertung_Stammdaten!E$96,IF(BM26&lt;Bewertung_Stammdaten!F$97,Bewertung_Stammdaten!E$97,IF(BM26&lt;Bewertung_Stammdaten!F$98,Bewertung_Stammdaten!E$98,Bewertung_Stammdaten!E$99)))))))))</f>
        <v>5</v>
      </c>
      <c r="BQ26" s="32">
        <f ca="1">IF(BN26&lt;Bewertung_Stammdaten!J$90,Bewertung_Stammdaten!I$90,IF(BN26&lt;Bewertung_Stammdaten!J$91,Bewertung_Stammdaten!I$91,IF(BN26&lt;Bewertung_Stammdaten!J$92,Bewertung_Stammdaten!I$92,IF(BN26&lt;Bewertung_Stammdaten!J$93,Bewertung_Stammdaten!I$93,IF(BN26&lt;Bewertung_Stammdaten!J$94,Bewertung_Stammdaten!I$94,IF(BN26&lt;Bewertung_Stammdaten!J$95,Bewertung_Stammdaten!I$95,IF(BN26&lt;Bewertung_Stammdaten!J$96,Bewertung_Stammdaten!I$96,IF(BN26&lt;Bewertung_Stammdaten!J$97,Bewertung_Stammdaten!I$97,IF(BN26&lt;Bewertung_Stammdaten!J$98,Bewertung_Stammdaten!I$98,Bewertung_Stammdaten!I$99)))))))))</f>
        <v>1</v>
      </c>
    </row>
    <row r="27" spans="1:69" x14ac:dyDescent="0.25">
      <c r="A27" s="38" t="s">
        <v>46</v>
      </c>
      <c r="B27" s="38" t="s">
        <v>47</v>
      </c>
      <c r="C27" s="38" t="s">
        <v>296</v>
      </c>
      <c r="D27" s="32">
        <f t="shared" ca="1" si="0"/>
        <v>198</v>
      </c>
      <c r="E27" s="43"/>
      <c r="F27" s="66">
        <v>1</v>
      </c>
      <c r="G27" s="11">
        <f ca="1">VLOOKUP(A27,KGV!A$3:R$103,17,FALSE)</f>
        <v>11.806830148939371</v>
      </c>
      <c r="H27" s="11">
        <f>VLOOKUP(A27,KGV!A$3:R$103,16,FALSE)</f>
        <v>12.031430404105196</v>
      </c>
      <c r="I27" s="12">
        <f ca="1">VLOOKUP(A27,KGV!A$3:R$103,18,FALSE)</f>
        <v>-1.8667793240044861E-2</v>
      </c>
      <c r="J27" s="16">
        <f t="shared" ca="1" si="1"/>
        <v>12.69437807048033</v>
      </c>
      <c r="K27" s="12">
        <f t="shared" ca="1" si="2"/>
        <v>5.5101317475013678E-2</v>
      </c>
      <c r="L27" s="11">
        <f ca="1">VLOOKUP(A27,KBV!A$3:R$103,17,FALSE)</f>
        <v>8.174361378017343</v>
      </c>
      <c r="M27" s="11">
        <f>VLOOKUP(A27,KBV!A$3:R$103,16,FALSE)</f>
        <v>6.8894736842105262</v>
      </c>
      <c r="N27" s="12">
        <f ca="1">VLOOKUP(A27,KBV!A$3:R$103,18,FALSE)</f>
        <v>0.18650012362360213</v>
      </c>
      <c r="O27" s="16">
        <f t="shared" ca="1" si="9"/>
        <v>16.698123888494674</v>
      </c>
      <c r="P27" s="12">
        <f t="shared" ca="1" si="10"/>
        <v>1.4237154612788299</v>
      </c>
      <c r="Q27" s="32">
        <f ca="1">IF(F27=1,IF(I27&lt;Bewertung_Stammdaten!B$12,Bewertung_Stammdaten!A$12,IF(I27&lt;Bewertung_Stammdaten!B$13,Bewertung_Stammdaten!A$13,IF(I27&lt;Bewertung_Stammdaten!B$14,Bewertung_Stammdaten!A$14,IF(I27&lt;Bewertung_Stammdaten!B$15,Bewertung_Stammdaten!A$15,IF(I27&lt;Bewertung_Stammdaten!B$16,Bewertung_Stammdaten!A$16,IF(I27&lt;Bewertung_Stammdaten!B$17,Bewertung_Stammdaten!A$17,IF(I27&lt;Bewertung_Stammdaten!B$18,Bewertung_Stammdaten!A$18,IF(I27&lt;Bewertung_Stammdaten!B$19,Bewertung_Stammdaten!A$19,IF(I27&lt;Bewertung_Stammdaten!B$20,Bewertung_Stammdaten!A$20,Bewertung_Stammdaten!A$21))))))))),IF(N27&lt;Bewertung_Stammdaten!C$12,Bewertung_Stammdaten!A$12,IF(N27&lt;Bewertung_Stammdaten!C$13,Bewertung_Stammdaten!A$13,IF(N27&lt;Bewertung_Stammdaten!C$14,Bewertung_Stammdaten!A$14,IF(N27&lt;Bewertung_Stammdaten!C$15,Bewertung_Stammdaten!A$15,IF(N27&lt;Bewertung_Stammdaten!C$16,Bewertung_Stammdaten!A$16,IF(N27&lt;Bewertung_Stammdaten!C$17,Bewertung_Stammdaten!A$17,IF(N27&lt;Bewertung_Stammdaten!C$18,Bewertung_Stammdaten!A$18,IF(N27&lt;Bewertung_Stammdaten!C$19,Bewertung_Stammdaten!A$19,IF(N27&lt;Bewertung_Stammdaten!C$20,Bewertung_Stammdaten!A$20,Bewertung_Stammdaten!A$21))))))))))</f>
        <v>42</v>
      </c>
      <c r="R27" s="32">
        <f ca="1">IF(F27=1,IF(K27&lt;Bewertung_Stammdaten!F$12,Bewertung_Stammdaten!E$12,IF(K27&lt;Bewertung_Stammdaten!F$13,Bewertung_Stammdaten!E$13,IF(K27&lt;Bewertung_Stammdaten!F$14,Bewertung_Stammdaten!E$14,IF(K27&lt;Bewertung_Stammdaten!F$15,Bewertung_Stammdaten!E$15,IF(K27&lt;Bewertung_Stammdaten!F$16,Bewertung_Stammdaten!E$16,IF(K27&lt;Bewertung_Stammdaten!F$17,Bewertung_Stammdaten!E$17,IF(K27&lt;Bewertung_Stammdaten!F$18,Bewertung_Stammdaten!E$18,IF(K27&lt;Bewertung_Stammdaten!F$19,Bewertung_Stammdaten!E$19,IF(K27&lt;Bewertung_Stammdaten!F$20,Bewertung_Stammdaten!E$20,Bewertung_Stammdaten!E$21))))))))),IF(P27&lt;Bewertung_Stammdaten!G$12,Bewertung_Stammdaten!E$12,IF(P27&lt;Bewertung_Stammdaten!G$13,Bewertung_Stammdaten!E$13,IF(P27&lt;Bewertung_Stammdaten!G$14,Bewertung_Stammdaten!E$14,IF(P27&lt;Bewertung_Stammdaten!G$15,Bewertung_Stammdaten!E$15,IF(P27&lt;Bewertung_Stammdaten!G$16,Bewertung_Stammdaten!E$16,IF(P27&lt;Bewertung_Stammdaten!G$17,Bewertung_Stammdaten!E$17,IF(P27&lt;Bewertung_Stammdaten!G$18,Bewertung_Stammdaten!E$18,IF(P27&lt;Bewertung_Stammdaten!G$19,Bewertung_Stammdaten!E$19,IF(P27&lt;Bewertung_Stammdaten!G$20,Bewertung_Stammdaten!E$20,Bewertung_Stammdaten!E$21))))))))))</f>
        <v>20</v>
      </c>
      <c r="S27" s="43"/>
      <c r="T27" s="11">
        <f ca="1">VLOOKUP(A27,Buchwert_je_Aktie!A$3:AK$103,23,FALSE)</f>
        <v>21.335000000000001</v>
      </c>
      <c r="U27" s="11">
        <f>VLOOKUP(A27,Buchwert_je_Aktie!A$3:AK$103,19,FALSE)</f>
        <v>19.404615384615386</v>
      </c>
      <c r="V27" s="12">
        <f ca="1">VLOOKUP(A27,Buchwert_je_Aktie!A$3:AK$103,24,FALSE)</f>
        <v>9.9480694521525415E-2</v>
      </c>
      <c r="W27" s="12">
        <f>VLOOKUP(A27,Buchwert_je_Aktie!A$3:AK$103,37,FALSE)</f>
        <v>-0.51046228710462294</v>
      </c>
      <c r="X27" s="16">
        <f t="shared" ca="1" si="3"/>
        <v>10.44428710462287</v>
      </c>
      <c r="Y27" s="12">
        <f t="shared" ca="1" si="4"/>
        <v>-0.46176273543131174</v>
      </c>
      <c r="Z27" s="51">
        <f ca="1">IF(V27&lt;Bewertung_Stammdaten!B$25,Bewertung_Stammdaten!A$25,IF(V27&lt;Bewertung_Stammdaten!B$26,Bewertung_Stammdaten!A$26,IF(V27&lt;Bewertung_Stammdaten!B$27,Bewertung_Stammdaten!A$27,IF(V27&lt;Bewertung_Stammdaten!B$28,Bewertung_Stammdaten!A$28,IF(V27&lt;Bewertung_Stammdaten!B$29,Bewertung_Stammdaten!A$29,IF(V27&lt;Bewertung_Stammdaten!B$30,Bewertung_Stammdaten!A$30,IF(V27&lt;Bewertung_Stammdaten!B$31,Bewertung_Stammdaten!A$31,IF(V27&lt;Bewertung_Stammdaten!B$32,Bewertung_Stammdaten!A$32,IF(V27&lt;Bewertung_Stammdaten!B$33,Bewertung_Stammdaten!A$33,Bewertung_Stammdaten!A$34)))))))))</f>
        <v>4.5</v>
      </c>
      <c r="AA27" s="51">
        <f>IF(W27&lt;Bewertung_Stammdaten!F$25,Bewertung_Stammdaten!E$25,IF(W27&lt;Bewertung_Stammdaten!F$26,Bewertung_Stammdaten!E$26,IF(W27&lt;Bewertung_Stammdaten!F$27,Bewertung_Stammdaten!E$27,IF(W27&lt;Bewertung_Stammdaten!F$28,Bewertung_Stammdaten!E$28,IF(W27&lt;Bewertung_Stammdaten!F$29,Bewertung_Stammdaten!E$29,IF(W27&lt;Bewertung_Stammdaten!F$30,Bewertung_Stammdaten!E$30,IF(W27&lt;Bewertung_Stammdaten!F$31,Bewertung_Stammdaten!E$31,IF(W27&lt;Bewertung_Stammdaten!F$32,Bewertung_Stammdaten!E$32,IF(W27&lt;Bewertung_Stammdaten!F$33,Bewertung_Stammdaten!E$33,Bewertung_Stammdaten!E$34)))))))))</f>
        <v>1.5</v>
      </c>
      <c r="AB27" s="51">
        <f ca="1">IF(Y27&lt;Bewertung_Stammdaten!J$25,Bewertung_Stammdaten!I$25,IF(Y27&lt;Bewertung_Stammdaten!J$26,Bewertung_Stammdaten!I$26,IF(Y27&lt;Bewertung_Stammdaten!J$27,Bewertung_Stammdaten!I$27,IF(Y27&lt;Bewertung_Stammdaten!J$28,Bewertung_Stammdaten!I$28,IF(Y27&lt;Bewertung_Stammdaten!J$29,Bewertung_Stammdaten!I$29,IF(Y27&lt;Bewertung_Stammdaten!J$30,Bewertung_Stammdaten!I$30,IF(Y27&lt;Bewertung_Stammdaten!J$31,Bewertung_Stammdaten!I$31,IF(Y27&lt;Bewertung_Stammdaten!J$32,Bewertung_Stammdaten!I$32,IF(Y27&lt;Bewertung_Stammdaten!J$33,Bewertung_Stammdaten!I$33,Bewertung_Stammdaten!I$34)))))))))</f>
        <v>1</v>
      </c>
      <c r="AC27" s="43"/>
      <c r="AD27" s="14">
        <f ca="1">VLOOKUP(A27,Ergebnis_je_Aktie_verwässert!A$3:AK$103,23,FALSE)</f>
        <v>14.771111111111113</v>
      </c>
      <c r="AE27" s="14">
        <f>VLOOKUP(A27,Ergebnis_je_Aktie_verwässert!A$3:AK$103,19,FALSE)</f>
        <v>11.783846153846156</v>
      </c>
      <c r="AF27" s="12">
        <f ca="1">VLOOKUP(A27,Ergebnis_je_Aktie_verwässert!A$3:AK$103,24,FALSE)</f>
        <v>0.25350508808959082</v>
      </c>
      <c r="AG27" s="40">
        <f>VLOOKUP(A27,Ergebnis_je_Aktie_verwässert!A$3:AK$103,37,FALSE)</f>
        <v>-6.9916613213598433E-2</v>
      </c>
      <c r="AH27" s="16">
        <f t="shared" ca="1" si="5"/>
        <v>13.738365048820471</v>
      </c>
      <c r="AI27" s="12">
        <f t="shared" ca="1" si="6"/>
        <v>0.16586425768435342</v>
      </c>
      <c r="AJ27" s="32">
        <f ca="1">IF(AF27&lt;Bewertung_Stammdaten!B$38,Bewertung_Stammdaten!A$38,IF(AF27&lt;Bewertung_Stammdaten!B$39,Bewertung_Stammdaten!A$39,IF(AF27&lt;Bewertung_Stammdaten!B$40,Bewertung_Stammdaten!A$40,IF(AF27&lt;Bewertung_Stammdaten!B$41,Bewertung_Stammdaten!A$41,IF(AF27&lt;Bewertung_Stammdaten!B$42,Bewertung_Stammdaten!A$42,IF(AF27&lt;Bewertung_Stammdaten!B$43,Bewertung_Stammdaten!A$43,IF(AF27&lt;Bewertung_Stammdaten!B$44,Bewertung_Stammdaten!A$44,IF(AF27&lt;Bewertung_Stammdaten!B$45,Bewertung_Stammdaten!A$45,IF(AF27&lt;Bewertung_Stammdaten!B$46,Bewertung_Stammdaten!A$46,Bewertung_Stammdaten!A$47)))))))))</f>
        <v>12</v>
      </c>
      <c r="AK27" s="32">
        <f>IF(AG27&lt;Bewertung_Stammdaten!F$38,Bewertung_Stammdaten!E$38,IF(AG27&lt;Bewertung_Stammdaten!F$39,Bewertung_Stammdaten!E$39,IF(AG27&lt;Bewertung_Stammdaten!F$40,Bewertung_Stammdaten!E$40,IF(AG27&lt;Bewertung_Stammdaten!F$41,Bewertung_Stammdaten!E$41,IF(AG27&lt;Bewertung_Stammdaten!F$42,Bewertung_Stammdaten!E$42,IF(AG27&lt;Bewertung_Stammdaten!F$43,Bewertung_Stammdaten!E$43,IF(AG27&lt;Bewertung_Stammdaten!F$44,Bewertung_Stammdaten!E$44,IF(AG27&lt;Bewertung_Stammdaten!F$45,Bewertung_Stammdaten!E$45,IF(AG27&lt;Bewertung_Stammdaten!F$46,Bewertung_Stammdaten!E$46,Bewertung_Stammdaten!E$47)))))))))</f>
        <v>10.5</v>
      </c>
      <c r="AL27" s="32">
        <f ca="1">IF(AI27&lt;Bewertung_Stammdaten!J$38,Bewertung_Stammdaten!I$38,IF(AI27&lt;Bewertung_Stammdaten!J$39,Bewertung_Stammdaten!I$39,IF(AI27&lt;Bewertung_Stammdaten!J$40,Bewertung_Stammdaten!I$40,IF(AI27&lt;Bewertung_Stammdaten!J$41,Bewertung_Stammdaten!I$41,IF(AI27&lt;Bewertung_Stammdaten!J$42,Bewertung_Stammdaten!I$42,IF(AI27&lt;Bewertung_Stammdaten!J$43,Bewertung_Stammdaten!I$43,IF(AI27&lt;Bewertung_Stammdaten!J$44,Bewertung_Stammdaten!I$44,IF(AI27&lt;Bewertung_Stammdaten!J$45,Bewertung_Stammdaten!I$45,IF(AI27&lt;Bewertung_Stammdaten!J$46,Bewertung_Stammdaten!I$46,Bewertung_Stammdaten!I$47)))))))))</f>
        <v>6</v>
      </c>
      <c r="AM27" s="43"/>
      <c r="AN27" s="14">
        <f ca="1">VLOOKUP(A27,Dividende_je_Aktie!A$3:AM$103,24,FALSE)</f>
        <v>4.6616666666666671</v>
      </c>
      <c r="AO27" s="14">
        <f>VLOOKUP(A27,Dividende_je_Aktie!A$3:AM$103,20,FALSE)</f>
        <v>2.7814285714285716</v>
      </c>
      <c r="AP27" s="12">
        <f ca="1">VLOOKUP(A27,Dividende_je_Aktie!A$3:AM$103,25,FALSE)</f>
        <v>0.67599726074302358</v>
      </c>
      <c r="AQ27" s="40">
        <f>VLOOKUP(A27,Dividende_je_Aktie!A$3:AM$103,39,FALSE)</f>
        <v>-2.4691358024691357E-2</v>
      </c>
      <c r="AR27" s="16">
        <f t="shared" ca="1" si="7"/>
        <v>4.5465637860082309</v>
      </c>
      <c r="AS27" s="12">
        <f t="shared" ca="1" si="8"/>
        <v>0.63461461232961547</v>
      </c>
      <c r="AT27" s="32">
        <f ca="1">IF(AP27&lt;Bewertung_Stammdaten!B$51,Bewertung_Stammdaten!A$51,IF(AP27&lt;Bewertung_Stammdaten!B$52,Bewertung_Stammdaten!A$52,IF(AP27&lt;Bewertung_Stammdaten!B$53,Bewertung_Stammdaten!A$53,IF(AP27&lt;Bewertung_Stammdaten!B$54,Bewertung_Stammdaten!A$54,IF(AP27&lt;Bewertung_Stammdaten!B$55,Bewertung_Stammdaten!A$55,IF(AP27&lt;Bewertung_Stammdaten!B$56,Bewertung_Stammdaten!A$56,IF(AP27&lt;Bewertung_Stammdaten!B$57,Bewertung_Stammdaten!A$57,IF(AP27&lt;Bewertung_Stammdaten!B$58,Bewertung_Stammdaten!A$58,IF(AP27&lt;Bewertung_Stammdaten!B$59,Bewertung_Stammdaten!A$59,Bewertung_Stammdaten!A$60)))))))))</f>
        <v>18</v>
      </c>
      <c r="AU27" s="32">
        <f>IF(AQ27&lt;Bewertung_Stammdaten!F$51,Bewertung_Stammdaten!E$51,IF(AQ27&lt;Bewertung_Stammdaten!F$52,Bewertung_Stammdaten!E$52,IF(AQ27&lt;Bewertung_Stammdaten!F$53,Bewertung_Stammdaten!E$53,IF(AQ27&lt;Bewertung_Stammdaten!F$54,Bewertung_Stammdaten!E$54,IF(AQ27&lt;Bewertung_Stammdaten!F$55,Bewertung_Stammdaten!E$55,IF(AQ27&lt;Bewertung_Stammdaten!F$56,Bewertung_Stammdaten!E$56,IF(AQ27&lt;Bewertung_Stammdaten!F$57,Bewertung_Stammdaten!E$57,IF(AQ27&lt;Bewertung_Stammdaten!F$58,Bewertung_Stammdaten!E$58,IF(AQ27&lt;Bewertung_Stammdaten!F$59,Bewertung_Stammdaten!E$59,Bewertung_Stammdaten!E$60)))))))))</f>
        <v>10.5</v>
      </c>
      <c r="AV27" s="32">
        <f ca="1">IF(AS27&lt;Bewertung_Stammdaten!J$51,Bewertung_Stammdaten!I$51,IF(AS27&lt;Bewertung_Stammdaten!J$52,Bewertung_Stammdaten!I$52,IF(AS27&lt;Bewertung_Stammdaten!J$53,Bewertung_Stammdaten!I$53,IF(AS27&lt;Bewertung_Stammdaten!J$54,Bewertung_Stammdaten!I$54,IF(AS27&lt;Bewertung_Stammdaten!J$55,Bewertung_Stammdaten!I$55,IF(AS27&lt;Bewertung_Stammdaten!J$56,Bewertung_Stammdaten!I$56,IF(AS27&lt;Bewertung_Stammdaten!J$57,Bewertung_Stammdaten!I$57,IF(AS27&lt;Bewertung_Stammdaten!J$58,Bewertung_Stammdaten!I$58,IF(AS27&lt;Bewertung_Stammdaten!J$59,Bewertung_Stammdaten!I$59,Bewertung_Stammdaten!I$60)))))))))</f>
        <v>10</v>
      </c>
      <c r="AW27" s="43"/>
      <c r="AX27" s="12">
        <f ca="1">VLOOKUP(A27,Dividendenrendite!A$3:R$103,17,FALSE)</f>
        <v>2.6729740061162081E-2</v>
      </c>
      <c r="AY27" s="12">
        <f>VLOOKUP(A27,Dividendenrendite!A$3:R$103,16,FALSE)</f>
        <v>1.7771654541080432E-2</v>
      </c>
      <c r="AZ27" s="12">
        <f ca="1">VLOOKUP(A27,Dividendenrendite!A$3:R$103,18,FALSE)</f>
        <v>0.50406592697232577</v>
      </c>
      <c r="BA27" s="32">
        <f ca="1">IF(AX27&lt;Bewertung_Stammdaten!B$64,Bewertung_Stammdaten!A$64,IF(AX27&lt;Bewertung_Stammdaten!B$65,Bewertung_Stammdaten!A$65,IF(AX27&lt;Bewertung_Stammdaten!B$66,Bewertung_Stammdaten!A$66,IF(AX27&lt;Bewertung_Stammdaten!B$67,Bewertung_Stammdaten!A$67,IF(AX27&lt;Bewertung_Stammdaten!B$68,Bewertung_Stammdaten!A$68,IF(AX27&lt;Bewertung_Stammdaten!B$69,Bewertung_Stammdaten!A$69,IF(AX27&lt;Bewertung_Stammdaten!B$70,Bewertung_Stammdaten!A$70,IF(AX27&lt;Bewertung_Stammdaten!B$71,Bewertung_Stammdaten!A$71,IF(AX27&lt;Bewertung_Stammdaten!B$72,Bewertung_Stammdaten!A$72,Bewertung_Stammdaten!A$73)))))))))</f>
        <v>9</v>
      </c>
      <c r="BB27" s="32">
        <f>IF(AY27&lt;Bewertung_Stammdaten!F$64,Bewertung_Stammdaten!E$64,IF(AY27&lt;Bewertung_Stammdaten!F$65,Bewertung_Stammdaten!E$65,IF(AY27&lt;Bewertung_Stammdaten!F$66,Bewertung_Stammdaten!E$66,IF(AY27&lt;Bewertung_Stammdaten!F$67,Bewertung_Stammdaten!E$67,IF(AY27&lt;Bewertung_Stammdaten!F$68,Bewertung_Stammdaten!E$68,IF(AY27&lt;Bewertung_Stammdaten!F$69,Bewertung_Stammdaten!E$69,IF(AY27&lt;Bewertung_Stammdaten!F$70,Bewertung_Stammdaten!E$70,IF(AY27&lt;Bewertung_Stammdaten!F$71,Bewertung_Stammdaten!E$71,IF(AY27&lt;Bewertung_Stammdaten!F$72,Bewertung_Stammdaten!E$72,Bewertung_Stammdaten!E$73)))))))))</f>
        <v>4</v>
      </c>
      <c r="BC27" s="32">
        <f ca="1">IF(AZ27&lt;Bewertung_Stammdaten!J$64,Bewertung_Stammdaten!I$64,IF(AZ27&lt;Bewertung_Stammdaten!J$65,Bewertung_Stammdaten!I$65,IF(AZ27&lt;Bewertung_Stammdaten!J$66,Bewertung_Stammdaten!I$66,IF(AZ27&lt;Bewertung_Stammdaten!J$67,Bewertung_Stammdaten!I$67,IF(AZ27&lt;Bewertung_Stammdaten!J$68,Bewertung_Stammdaten!I$68,IF(AZ27&lt;Bewertung_Stammdaten!J$69,Bewertung_Stammdaten!I$69,IF(AZ27&lt;Bewertung_Stammdaten!J$70,Bewertung_Stammdaten!I$70,IF(AZ27&lt;Bewertung_Stammdaten!J$71,Bewertung_Stammdaten!I$71,IF(AZ27&lt;Bewertung_Stammdaten!J$72,Bewertung_Stammdaten!I$72,Bewertung_Stammdaten!I$73)))))))))</f>
        <v>5</v>
      </c>
      <c r="BD27" s="43"/>
      <c r="BE27" s="12">
        <f>VLOOKUP(A27,Aktien_im_Umlauf_splitbereinigt!A$3:Z$103,26,FALSE)</f>
        <v>-6.0227703984819803E-2</v>
      </c>
      <c r="BF27" s="12">
        <f>VLOOKUP(A27,Aktien_im_Umlauf_splitbereinigt!A$3:Y$103,24,FALSE)</f>
        <v>-5.001826663670414E-2</v>
      </c>
      <c r="BG27" s="12">
        <f>VLOOKUP(A27,Aktien_im_Umlauf_splitbereinigt!A$3:Y$103,25,FALSE)</f>
        <v>0.20411417737182891</v>
      </c>
      <c r="BH27" s="41">
        <f>IF(BE27&lt;Bewertung_Stammdaten!B$77,Bewertung_Stammdaten!A$77,IF(BE27&lt;Bewertung_Stammdaten!B$78,Bewertung_Stammdaten!A$78,IF(BE27&lt;Bewertung_Stammdaten!B$79,Bewertung_Stammdaten!A$79,IF(BE27&lt;Bewertung_Stammdaten!B$80,Bewertung_Stammdaten!A$80,IF(BE27&lt;Bewertung_Stammdaten!B$81,Bewertung_Stammdaten!A$81,IF(BE27&lt;Bewertung_Stammdaten!B$82,Bewertung_Stammdaten!A$82,IF(BE27&lt;Bewertung_Stammdaten!B$83,Bewertung_Stammdaten!A$83,IF(BE27&lt;Bewertung_Stammdaten!B$84,Bewertung_Stammdaten!A$84,IF(BE27&lt;Bewertung_Stammdaten!B$85,Bewertung_Stammdaten!A$85,Bewertung_Stammdaten!A$86)))))))))</f>
        <v>10</v>
      </c>
      <c r="BI27" s="41">
        <f>IF(BF27&lt;Bewertung_Stammdaten!F$77,Bewertung_Stammdaten!E$77,IF(BF27&lt;Bewertung_Stammdaten!F$78,Bewertung_Stammdaten!E$78,IF(BF27&lt;Bewertung_Stammdaten!F$79,Bewertung_Stammdaten!E$79,IF(BF27&lt;Bewertung_Stammdaten!F$80,Bewertung_Stammdaten!E$80,IF(BF27&lt;Bewertung_Stammdaten!F$81,Bewertung_Stammdaten!E$81,IF(BF27&lt;Bewertung_Stammdaten!F$82,Bewertung_Stammdaten!E$82,IF(BF27&lt;Bewertung_Stammdaten!F$83,Bewertung_Stammdaten!E$83,IF(BF27&lt;Bewertung_Stammdaten!F$84,Bewertung_Stammdaten!E$84,IF(BF27&lt;Bewertung_Stammdaten!F$85,Bewertung_Stammdaten!E$85,Bewertung_Stammdaten!E$86)))))))))</f>
        <v>10</v>
      </c>
      <c r="BJ27" s="41">
        <f>IF(BG27&lt;Bewertung_Stammdaten!J$77,Bewertung_Stammdaten!I$77,IF(BG27&lt;Bewertung_Stammdaten!J$78,Bewertung_Stammdaten!I$78,IF(BG27&lt;Bewertung_Stammdaten!J$79,Bewertung_Stammdaten!I$79,IF(BG27&lt;Bewertung_Stammdaten!J$80,Bewertung_Stammdaten!I$80,IF(BG27&lt;Bewertung_Stammdaten!J$81,Bewertung_Stammdaten!I$81,IF(BG27&lt;Bewertung_Stammdaten!J$82,Bewertung_Stammdaten!I$82,IF(BG27&lt;Bewertung_Stammdaten!J$83,Bewertung_Stammdaten!I$83,IF(BG27&lt;Bewertung_Stammdaten!J$84,Bewertung_Stammdaten!I$84,IF(BG27&lt;Bewertung_Stammdaten!J$85,Bewertung_Stammdaten!I$85,Bewertung_Stammdaten!I$86)))))))))</f>
        <v>3</v>
      </c>
      <c r="BK27" s="43"/>
      <c r="BL27" s="12">
        <f ca="1">VLOOKUP(A27,Ausschüttungsquote!A$3:X$103,23,FALSE)</f>
        <v>0.31555510480054089</v>
      </c>
      <c r="BM27" s="12">
        <f>VLOOKUP(A27,Ausschüttungsquote!A$3:X$103,19,FALSE)</f>
        <v>0.23689117604302629</v>
      </c>
      <c r="BN27" s="12">
        <f ca="1">VLOOKUP(A27,Ausschüttungsquote!A$3:X$103,24,FALSE)</f>
        <v>0.33206778771374301</v>
      </c>
      <c r="BO27" s="32">
        <f ca="1">IF(BL27&lt;Bewertung_Stammdaten!B$90,Bewertung_Stammdaten!A$90,IF(BL27&lt;Bewertung_Stammdaten!B$91,Bewertung_Stammdaten!A$91,IF(BL27&lt;Bewertung_Stammdaten!B$92,Bewertung_Stammdaten!A$92,IF(BL27&lt;Bewertung_Stammdaten!B$93,Bewertung_Stammdaten!A$93,IF(BL27&lt;Bewertung_Stammdaten!B$94,Bewertung_Stammdaten!A$94,IF(BL27&lt;Bewertung_Stammdaten!B$95,Bewertung_Stammdaten!A$95,IF(BL27&lt;Bewertung_Stammdaten!B$96,Bewertung_Stammdaten!A$96,IF(BL27&lt;Bewertung_Stammdaten!B$97,Bewertung_Stammdaten!A$97,IF(BL27&lt;Bewertung_Stammdaten!B$98,Bewertung_Stammdaten!A$98,Bewertung_Stammdaten!A$99)))))))))</f>
        <v>10</v>
      </c>
      <c r="BP27" s="41">
        <f>IF(BM27&lt;Bewertung_Stammdaten!F$90,Bewertung_Stammdaten!E$90,IF(BM27&lt;Bewertung_Stammdaten!F$91,Bewertung_Stammdaten!E$91,IF(BM27&lt;Bewertung_Stammdaten!F$92,Bewertung_Stammdaten!E$92,IF(BM27&lt;Bewertung_Stammdaten!F$93,Bewertung_Stammdaten!E$93,IF(BM27&lt;Bewertung_Stammdaten!F$94,Bewertung_Stammdaten!E$94,IF(BM27&lt;Bewertung_Stammdaten!F$95,Bewertung_Stammdaten!E$95,IF(BM27&lt;Bewertung_Stammdaten!F$96,Bewertung_Stammdaten!E$96,IF(BM27&lt;Bewertung_Stammdaten!F$97,Bewertung_Stammdaten!E$97,IF(BM27&lt;Bewertung_Stammdaten!F$98,Bewertung_Stammdaten!E$98,Bewertung_Stammdaten!E$99)))))))))</f>
        <v>10</v>
      </c>
      <c r="BQ27" s="32">
        <f ca="1">IF(BN27&lt;Bewertung_Stammdaten!J$90,Bewertung_Stammdaten!I$90,IF(BN27&lt;Bewertung_Stammdaten!J$91,Bewertung_Stammdaten!I$91,IF(BN27&lt;Bewertung_Stammdaten!J$92,Bewertung_Stammdaten!I$92,IF(BN27&lt;Bewertung_Stammdaten!J$93,Bewertung_Stammdaten!I$93,IF(BN27&lt;Bewertung_Stammdaten!J$94,Bewertung_Stammdaten!I$94,IF(BN27&lt;Bewertung_Stammdaten!J$95,Bewertung_Stammdaten!I$95,IF(BN27&lt;Bewertung_Stammdaten!J$96,Bewertung_Stammdaten!I$96,IF(BN27&lt;Bewertung_Stammdaten!J$97,Bewertung_Stammdaten!I$97,IF(BN27&lt;Bewertung_Stammdaten!J$98,Bewertung_Stammdaten!I$98,Bewertung_Stammdaten!I$99)))))))))</f>
        <v>1</v>
      </c>
    </row>
    <row r="28" spans="1:69" x14ac:dyDescent="0.25">
      <c r="A28" s="38" t="s">
        <v>48</v>
      </c>
      <c r="B28" s="38" t="s">
        <v>49</v>
      </c>
      <c r="C28" s="38" t="s">
        <v>296</v>
      </c>
      <c r="D28" s="32">
        <f t="shared" ca="1" si="0"/>
        <v>179.5</v>
      </c>
      <c r="E28" s="43"/>
      <c r="F28" s="66">
        <v>1</v>
      </c>
      <c r="G28" s="11">
        <f ca="1">VLOOKUP(A28,KGV!A$3:R$103,17,FALSE)</f>
        <v>16.907473076527225</v>
      </c>
      <c r="H28" s="11">
        <f>VLOOKUP(A28,KGV!A$3:R$103,16,FALSE)</f>
        <v>15.444615384615386</v>
      </c>
      <c r="I28" s="12">
        <f ca="1">VLOOKUP(A28,KGV!A$3:R$103,18,FALSE)</f>
        <v>9.4716356185147399E-2</v>
      </c>
      <c r="J28" s="16">
        <f t="shared" ca="1" si="1"/>
        <v>18.120565315201826</v>
      </c>
      <c r="K28" s="12">
        <f t="shared" ca="1" si="2"/>
        <v>0.17326102748094296</v>
      </c>
      <c r="L28" s="11">
        <f ca="1">VLOOKUP(A28,KBV!A$3:R$103,17,FALSE)</f>
        <v>3.6175852335288585</v>
      </c>
      <c r="M28" s="11">
        <f>VLOOKUP(A28,KBV!A$3:R$103,16,FALSE)</f>
        <v>3.3687919463087246</v>
      </c>
      <c r="N28" s="12">
        <f ca="1">VLOOKUP(A28,KBV!A$3:R$103,18,FALSE)</f>
        <v>7.3852375327821518E-2</v>
      </c>
      <c r="O28" s="16">
        <f t="shared" ca="1" si="9"/>
        <v>3.7893700071880501</v>
      </c>
      <c r="P28" s="12">
        <f t="shared" ca="1" si="10"/>
        <v>0.12484536521768996</v>
      </c>
      <c r="Q28" s="32">
        <f ca="1">IF(F28=1,IF(I28&lt;Bewertung_Stammdaten!B$12,Bewertung_Stammdaten!A$12,IF(I28&lt;Bewertung_Stammdaten!B$13,Bewertung_Stammdaten!A$13,IF(I28&lt;Bewertung_Stammdaten!B$14,Bewertung_Stammdaten!A$14,IF(I28&lt;Bewertung_Stammdaten!B$15,Bewertung_Stammdaten!A$15,IF(I28&lt;Bewertung_Stammdaten!B$16,Bewertung_Stammdaten!A$16,IF(I28&lt;Bewertung_Stammdaten!B$17,Bewertung_Stammdaten!A$17,IF(I28&lt;Bewertung_Stammdaten!B$18,Bewertung_Stammdaten!A$18,IF(I28&lt;Bewertung_Stammdaten!B$19,Bewertung_Stammdaten!A$19,IF(I28&lt;Bewertung_Stammdaten!B$20,Bewertung_Stammdaten!A$20,Bewertung_Stammdaten!A$21))))))))),IF(N28&lt;Bewertung_Stammdaten!C$12,Bewertung_Stammdaten!A$12,IF(N28&lt;Bewertung_Stammdaten!C$13,Bewertung_Stammdaten!A$13,IF(N28&lt;Bewertung_Stammdaten!C$14,Bewertung_Stammdaten!A$14,IF(N28&lt;Bewertung_Stammdaten!C$15,Bewertung_Stammdaten!A$15,IF(N28&lt;Bewertung_Stammdaten!C$16,Bewertung_Stammdaten!A$16,IF(N28&lt;Bewertung_Stammdaten!C$17,Bewertung_Stammdaten!A$17,IF(N28&lt;Bewertung_Stammdaten!C$18,Bewertung_Stammdaten!A$18,IF(N28&lt;Bewertung_Stammdaten!C$19,Bewertung_Stammdaten!A$19,IF(N28&lt;Bewertung_Stammdaten!C$20,Bewertung_Stammdaten!A$20,Bewertung_Stammdaten!A$21))))))))))</f>
        <v>30</v>
      </c>
      <c r="R28" s="32">
        <f ca="1">IF(F28=1,IF(K28&lt;Bewertung_Stammdaten!F$12,Bewertung_Stammdaten!E$12,IF(K28&lt;Bewertung_Stammdaten!F$13,Bewertung_Stammdaten!E$13,IF(K28&lt;Bewertung_Stammdaten!F$14,Bewertung_Stammdaten!E$14,IF(K28&lt;Bewertung_Stammdaten!F$15,Bewertung_Stammdaten!E$15,IF(K28&lt;Bewertung_Stammdaten!F$16,Bewertung_Stammdaten!E$16,IF(K28&lt;Bewertung_Stammdaten!F$17,Bewertung_Stammdaten!E$17,IF(K28&lt;Bewertung_Stammdaten!F$18,Bewertung_Stammdaten!E$18,IF(K28&lt;Bewertung_Stammdaten!F$19,Bewertung_Stammdaten!E$19,IF(K28&lt;Bewertung_Stammdaten!F$20,Bewertung_Stammdaten!E$20,Bewertung_Stammdaten!E$21))))))))),IF(P28&lt;Bewertung_Stammdaten!G$12,Bewertung_Stammdaten!E$12,IF(P28&lt;Bewertung_Stammdaten!G$13,Bewertung_Stammdaten!E$13,IF(P28&lt;Bewertung_Stammdaten!G$14,Bewertung_Stammdaten!E$14,IF(P28&lt;Bewertung_Stammdaten!G$15,Bewertung_Stammdaten!E$15,IF(P28&lt;Bewertung_Stammdaten!G$16,Bewertung_Stammdaten!E$16,IF(P28&lt;Bewertung_Stammdaten!G$17,Bewertung_Stammdaten!E$17,IF(P28&lt;Bewertung_Stammdaten!G$18,Bewertung_Stammdaten!E$18,IF(P28&lt;Bewertung_Stammdaten!G$19,Bewertung_Stammdaten!E$19,IF(P28&lt;Bewertung_Stammdaten!G$20,Bewertung_Stammdaten!E$20,Bewertung_Stammdaten!E$21))))))))))</f>
        <v>15</v>
      </c>
      <c r="S28" s="43"/>
      <c r="T28" s="11">
        <f ca="1">VLOOKUP(A28,Buchwert_je_Aktie!A$3:AK$103,23,FALSE)</f>
        <v>27.750555555555554</v>
      </c>
      <c r="U28" s="11">
        <f>VLOOKUP(A28,Buchwert_je_Aktie!A$3:AK$103,19,FALSE)</f>
        <v>21.764615384615386</v>
      </c>
      <c r="V28" s="12">
        <f ca="1">VLOOKUP(A28,Buchwert_je_Aktie!A$3:AK$103,24,FALSE)</f>
        <v>0.27503082710900606</v>
      </c>
      <c r="W28" s="12">
        <f>VLOOKUP(A28,Buchwert_je_Aktie!A$3:AK$103,37,FALSE)</f>
        <v>-4.5333333333333337E-2</v>
      </c>
      <c r="X28" s="16">
        <f t="shared" ca="1" si="3"/>
        <v>26.492530370370368</v>
      </c>
      <c r="Y28" s="12">
        <f t="shared" ca="1" si="4"/>
        <v>0.21722942961339786</v>
      </c>
      <c r="Z28" s="51">
        <f ca="1">IF(V28&lt;Bewertung_Stammdaten!B$25,Bewertung_Stammdaten!A$25,IF(V28&lt;Bewertung_Stammdaten!B$26,Bewertung_Stammdaten!A$26,IF(V28&lt;Bewertung_Stammdaten!B$27,Bewertung_Stammdaten!A$27,IF(V28&lt;Bewertung_Stammdaten!B$28,Bewertung_Stammdaten!A$28,IF(V28&lt;Bewertung_Stammdaten!B$29,Bewertung_Stammdaten!A$29,IF(V28&lt;Bewertung_Stammdaten!B$30,Bewertung_Stammdaten!A$30,IF(V28&lt;Bewertung_Stammdaten!B$31,Bewertung_Stammdaten!A$31,IF(V28&lt;Bewertung_Stammdaten!B$32,Bewertung_Stammdaten!A$32,IF(V28&lt;Bewertung_Stammdaten!B$33,Bewertung_Stammdaten!A$33,Bewertung_Stammdaten!A$34)))))))))</f>
        <v>7.5</v>
      </c>
      <c r="AA28" s="51">
        <f>IF(W28&lt;Bewertung_Stammdaten!F$25,Bewertung_Stammdaten!E$25,IF(W28&lt;Bewertung_Stammdaten!F$26,Bewertung_Stammdaten!E$26,IF(W28&lt;Bewertung_Stammdaten!F$27,Bewertung_Stammdaten!E$27,IF(W28&lt;Bewertung_Stammdaten!F$28,Bewertung_Stammdaten!E$28,IF(W28&lt;Bewertung_Stammdaten!F$29,Bewertung_Stammdaten!E$29,IF(W28&lt;Bewertung_Stammdaten!F$30,Bewertung_Stammdaten!E$30,IF(W28&lt;Bewertung_Stammdaten!F$31,Bewertung_Stammdaten!E$31,IF(W28&lt;Bewertung_Stammdaten!F$32,Bewertung_Stammdaten!E$32,IF(W28&lt;Bewertung_Stammdaten!F$33,Bewertung_Stammdaten!E$33,Bewertung_Stammdaten!E$34)))))))))</f>
        <v>10.5</v>
      </c>
      <c r="AB28" s="51">
        <f ca="1">IF(Y28&lt;Bewertung_Stammdaten!J$25,Bewertung_Stammdaten!I$25,IF(Y28&lt;Bewertung_Stammdaten!J$26,Bewertung_Stammdaten!I$26,IF(Y28&lt;Bewertung_Stammdaten!J$27,Bewertung_Stammdaten!I$27,IF(Y28&lt;Bewertung_Stammdaten!J$28,Bewertung_Stammdaten!I$28,IF(Y28&lt;Bewertung_Stammdaten!J$29,Bewertung_Stammdaten!I$29,IF(Y28&lt;Bewertung_Stammdaten!J$30,Bewertung_Stammdaten!I$30,IF(Y28&lt;Bewertung_Stammdaten!J$31,Bewertung_Stammdaten!I$31,IF(Y28&lt;Bewertung_Stammdaten!J$32,Bewertung_Stammdaten!I$32,IF(Y28&lt;Bewertung_Stammdaten!J$33,Bewertung_Stammdaten!I$33,Bewertung_Stammdaten!I$34)))))))))</f>
        <v>5</v>
      </c>
      <c r="AC28" s="43"/>
      <c r="AD28" s="14">
        <f ca="1">VLOOKUP(A28,Ergebnis_je_Aktie_verwässert!A$3:AK$103,23,FALSE)</f>
        <v>5.9376111111111101</v>
      </c>
      <c r="AE28" s="14">
        <f>VLOOKUP(A28,Ergebnis_je_Aktie_verwässert!A$3:AK$103,19,FALSE)</f>
        <v>4.867692307692308</v>
      </c>
      <c r="AF28" s="12">
        <f ca="1">VLOOKUP(A28,Ergebnis_je_Aktie_verwässert!A$3:AK$103,24,FALSE)</f>
        <v>0.21980000702345803</v>
      </c>
      <c r="AG28" s="40">
        <f>VLOOKUP(A28,Ergebnis_je_Aktie_verwässert!A$3:AK$103,37,FALSE)</f>
        <v>-6.6945606694560733E-2</v>
      </c>
      <c r="AH28" s="16">
        <f t="shared" ca="1" si="5"/>
        <v>5.5401141329614116</v>
      </c>
      <c r="AI28" s="12">
        <f t="shared" ca="1" si="6"/>
        <v>0.13813975550724322</v>
      </c>
      <c r="AJ28" s="32">
        <f ca="1">IF(AF28&lt;Bewertung_Stammdaten!B$38,Bewertung_Stammdaten!A$38,IF(AF28&lt;Bewertung_Stammdaten!B$39,Bewertung_Stammdaten!A$39,IF(AF28&lt;Bewertung_Stammdaten!B$40,Bewertung_Stammdaten!A$40,IF(AF28&lt;Bewertung_Stammdaten!B$41,Bewertung_Stammdaten!A$41,IF(AF28&lt;Bewertung_Stammdaten!B$42,Bewertung_Stammdaten!A$42,IF(AF28&lt;Bewertung_Stammdaten!B$43,Bewertung_Stammdaten!A$43,IF(AF28&lt;Bewertung_Stammdaten!B$44,Bewertung_Stammdaten!A$44,IF(AF28&lt;Bewertung_Stammdaten!B$45,Bewertung_Stammdaten!A$45,IF(AF28&lt;Bewertung_Stammdaten!B$46,Bewertung_Stammdaten!A$46,Bewertung_Stammdaten!A$47)))))))))</f>
        <v>12</v>
      </c>
      <c r="AK28" s="32">
        <f>IF(AG28&lt;Bewertung_Stammdaten!F$38,Bewertung_Stammdaten!E$38,IF(AG28&lt;Bewertung_Stammdaten!F$39,Bewertung_Stammdaten!E$39,IF(AG28&lt;Bewertung_Stammdaten!F$40,Bewertung_Stammdaten!E$40,IF(AG28&lt;Bewertung_Stammdaten!F$41,Bewertung_Stammdaten!E$41,IF(AG28&lt;Bewertung_Stammdaten!F$42,Bewertung_Stammdaten!E$42,IF(AG28&lt;Bewertung_Stammdaten!F$43,Bewertung_Stammdaten!E$43,IF(AG28&lt;Bewertung_Stammdaten!F$44,Bewertung_Stammdaten!E$44,IF(AG28&lt;Bewertung_Stammdaten!F$45,Bewertung_Stammdaten!E$45,IF(AG28&lt;Bewertung_Stammdaten!F$46,Bewertung_Stammdaten!E$46,Bewertung_Stammdaten!E$47)))))))))</f>
        <v>10.5</v>
      </c>
      <c r="AL28" s="32">
        <f ca="1">IF(AI28&lt;Bewertung_Stammdaten!J$38,Bewertung_Stammdaten!I$38,IF(AI28&lt;Bewertung_Stammdaten!J$39,Bewertung_Stammdaten!I$39,IF(AI28&lt;Bewertung_Stammdaten!J$40,Bewertung_Stammdaten!I$40,IF(AI28&lt;Bewertung_Stammdaten!J$41,Bewertung_Stammdaten!I$41,IF(AI28&lt;Bewertung_Stammdaten!J$42,Bewertung_Stammdaten!I$42,IF(AI28&lt;Bewertung_Stammdaten!J$43,Bewertung_Stammdaten!I$43,IF(AI28&lt;Bewertung_Stammdaten!J$44,Bewertung_Stammdaten!I$44,IF(AI28&lt;Bewertung_Stammdaten!J$45,Bewertung_Stammdaten!I$45,IF(AI28&lt;Bewertung_Stammdaten!J$46,Bewertung_Stammdaten!I$46,Bewertung_Stammdaten!I$47)))))))))</f>
        <v>5</v>
      </c>
      <c r="AM28" s="43"/>
      <c r="AN28" s="14">
        <f ca="1">VLOOKUP(A28,Dividende_je_Aktie!A$3:AM$103,24,FALSE)</f>
        <v>2.9676111111111112</v>
      </c>
      <c r="AO28" s="14">
        <f>VLOOKUP(A28,Dividende_je_Aktie!A$3:AM$103,20,FALSE)</f>
        <v>2.1850000000000001</v>
      </c>
      <c r="AP28" s="12">
        <f ca="1">VLOOKUP(A28,Dividende_je_Aktie!A$3:AM$103,25,FALSE)</f>
        <v>0.35817442156114931</v>
      </c>
      <c r="AQ28" s="40">
        <f>VLOOKUP(A28,Dividende_je_Aktie!A$3:AM$103,39,FALSE)</f>
        <v>5.4347826086956763E-2</v>
      </c>
      <c r="AR28" s="16">
        <f t="shared" ca="1" si="7"/>
        <v>2.9676111111111112</v>
      </c>
      <c r="AS28" s="12">
        <f t="shared" ca="1" si="8"/>
        <v>0.35817442156114931</v>
      </c>
      <c r="AT28" s="32">
        <f ca="1">IF(AP28&lt;Bewertung_Stammdaten!B$51,Bewertung_Stammdaten!A$51,IF(AP28&lt;Bewertung_Stammdaten!B$52,Bewertung_Stammdaten!A$52,IF(AP28&lt;Bewertung_Stammdaten!B$53,Bewertung_Stammdaten!A$53,IF(AP28&lt;Bewertung_Stammdaten!B$54,Bewertung_Stammdaten!A$54,IF(AP28&lt;Bewertung_Stammdaten!B$55,Bewertung_Stammdaten!A$55,IF(AP28&lt;Bewertung_Stammdaten!B$56,Bewertung_Stammdaten!A$56,IF(AP28&lt;Bewertung_Stammdaten!B$57,Bewertung_Stammdaten!A$57,IF(AP28&lt;Bewertung_Stammdaten!B$58,Bewertung_Stammdaten!A$58,IF(AP28&lt;Bewertung_Stammdaten!B$59,Bewertung_Stammdaten!A$59,Bewertung_Stammdaten!A$60)))))))))</f>
        <v>12</v>
      </c>
      <c r="AU28" s="32">
        <f>IF(AQ28&lt;Bewertung_Stammdaten!F$51,Bewertung_Stammdaten!E$51,IF(AQ28&lt;Bewertung_Stammdaten!F$52,Bewertung_Stammdaten!E$52,IF(AQ28&lt;Bewertung_Stammdaten!F$53,Bewertung_Stammdaten!E$53,IF(AQ28&lt;Bewertung_Stammdaten!F$54,Bewertung_Stammdaten!E$54,IF(AQ28&lt;Bewertung_Stammdaten!F$55,Bewertung_Stammdaten!E$55,IF(AQ28&lt;Bewertung_Stammdaten!F$56,Bewertung_Stammdaten!E$56,IF(AQ28&lt;Bewertung_Stammdaten!F$57,Bewertung_Stammdaten!E$57,IF(AQ28&lt;Bewertung_Stammdaten!F$58,Bewertung_Stammdaten!E$58,IF(AQ28&lt;Bewertung_Stammdaten!F$59,Bewertung_Stammdaten!E$59,Bewertung_Stammdaten!E$60)))))))))</f>
        <v>12</v>
      </c>
      <c r="AV28" s="32">
        <f ca="1">IF(AS28&lt;Bewertung_Stammdaten!J$51,Bewertung_Stammdaten!I$51,IF(AS28&lt;Bewertung_Stammdaten!J$52,Bewertung_Stammdaten!I$52,IF(AS28&lt;Bewertung_Stammdaten!J$53,Bewertung_Stammdaten!I$53,IF(AS28&lt;Bewertung_Stammdaten!J$54,Bewertung_Stammdaten!I$54,IF(AS28&lt;Bewertung_Stammdaten!J$55,Bewertung_Stammdaten!I$55,IF(AS28&lt;Bewertung_Stammdaten!J$56,Bewertung_Stammdaten!I$56,IF(AS28&lt;Bewertung_Stammdaten!J$57,Bewertung_Stammdaten!I$57,IF(AS28&lt;Bewertung_Stammdaten!J$58,Bewertung_Stammdaten!I$58,IF(AS28&lt;Bewertung_Stammdaten!J$59,Bewertung_Stammdaten!I$59,Bewertung_Stammdaten!I$60)))))))))</f>
        <v>8</v>
      </c>
      <c r="AW28" s="43"/>
      <c r="AX28" s="12">
        <f ca="1">VLOOKUP(A28,Dividendenrendite!A$3:R$103,17,FALSE)</f>
        <v>2.9560823897909264E-2</v>
      </c>
      <c r="AY28" s="12">
        <f>VLOOKUP(A28,Dividendenrendite!A$3:R$103,16,FALSE)</f>
        <v>2.7815048141485332E-2</v>
      </c>
      <c r="AZ28" s="12">
        <f ca="1">VLOOKUP(A28,Dividendenrendite!A$3:R$103,18,FALSE)</f>
        <v>6.2763715077672533E-2</v>
      </c>
      <c r="BA28" s="32">
        <f ca="1">IF(AX28&lt;Bewertung_Stammdaten!B$64,Bewertung_Stammdaten!A$64,IF(AX28&lt;Bewertung_Stammdaten!B$65,Bewertung_Stammdaten!A$65,IF(AX28&lt;Bewertung_Stammdaten!B$66,Bewertung_Stammdaten!A$66,IF(AX28&lt;Bewertung_Stammdaten!B$67,Bewertung_Stammdaten!A$67,IF(AX28&lt;Bewertung_Stammdaten!B$68,Bewertung_Stammdaten!A$68,IF(AX28&lt;Bewertung_Stammdaten!B$69,Bewertung_Stammdaten!A$69,IF(AX28&lt;Bewertung_Stammdaten!B$70,Bewertung_Stammdaten!A$70,IF(AX28&lt;Bewertung_Stammdaten!B$71,Bewertung_Stammdaten!A$71,IF(AX28&lt;Bewertung_Stammdaten!B$72,Bewertung_Stammdaten!A$72,Bewertung_Stammdaten!A$73)))))))))</f>
        <v>9</v>
      </c>
      <c r="BB28" s="32">
        <f>IF(AY28&lt;Bewertung_Stammdaten!F$64,Bewertung_Stammdaten!E$64,IF(AY28&lt;Bewertung_Stammdaten!F$65,Bewertung_Stammdaten!E$65,IF(AY28&lt;Bewertung_Stammdaten!F$66,Bewertung_Stammdaten!E$66,IF(AY28&lt;Bewertung_Stammdaten!F$67,Bewertung_Stammdaten!E$67,IF(AY28&lt;Bewertung_Stammdaten!F$68,Bewertung_Stammdaten!E$68,IF(AY28&lt;Bewertung_Stammdaten!F$69,Bewertung_Stammdaten!E$69,IF(AY28&lt;Bewertung_Stammdaten!F$70,Bewertung_Stammdaten!E$70,IF(AY28&lt;Bewertung_Stammdaten!F$71,Bewertung_Stammdaten!E$71,IF(AY28&lt;Bewertung_Stammdaten!F$72,Bewertung_Stammdaten!E$72,Bewertung_Stammdaten!E$73)))))))))</f>
        <v>6</v>
      </c>
      <c r="BC28" s="32">
        <f ca="1">IF(AZ28&lt;Bewertung_Stammdaten!J$64,Bewertung_Stammdaten!I$64,IF(AZ28&lt;Bewertung_Stammdaten!J$65,Bewertung_Stammdaten!I$65,IF(AZ28&lt;Bewertung_Stammdaten!J$66,Bewertung_Stammdaten!I$66,IF(AZ28&lt;Bewertung_Stammdaten!J$67,Bewertung_Stammdaten!I$67,IF(AZ28&lt;Bewertung_Stammdaten!J$68,Bewertung_Stammdaten!I$68,IF(AZ28&lt;Bewertung_Stammdaten!J$69,Bewertung_Stammdaten!I$69,IF(AZ28&lt;Bewertung_Stammdaten!J$70,Bewertung_Stammdaten!I$70,IF(AZ28&lt;Bewertung_Stammdaten!J$71,Bewertung_Stammdaten!I$71,IF(AZ28&lt;Bewertung_Stammdaten!J$72,Bewertung_Stammdaten!I$72,Bewertung_Stammdaten!I$73)))))))))</f>
        <v>3.5</v>
      </c>
      <c r="BD28" s="43"/>
      <c r="BE28" s="12">
        <f>VLOOKUP(A28,Aktien_im_Umlauf_splitbereinigt!A$3:Z$103,26,FALSE)</f>
        <v>-1.3470400567174745E-2</v>
      </c>
      <c r="BF28" s="12">
        <f>VLOOKUP(A28,Aktien_im_Umlauf_splitbereinigt!A$3:Y$103,24,FALSE)</f>
        <v>-7.2656699125938579E-3</v>
      </c>
      <c r="BG28" s="12">
        <f>VLOOKUP(A28,Aktien_im_Umlauf_splitbereinigt!A$3:Y$103,25,FALSE)</f>
        <v>0.85397915529110335</v>
      </c>
      <c r="BH28" s="41">
        <f>IF(BE28&lt;Bewertung_Stammdaten!B$77,Bewertung_Stammdaten!A$77,IF(BE28&lt;Bewertung_Stammdaten!B$78,Bewertung_Stammdaten!A$78,IF(BE28&lt;Bewertung_Stammdaten!B$79,Bewertung_Stammdaten!A$79,IF(BE28&lt;Bewertung_Stammdaten!B$80,Bewertung_Stammdaten!A$80,IF(BE28&lt;Bewertung_Stammdaten!B$81,Bewertung_Stammdaten!A$81,IF(BE28&lt;Bewertung_Stammdaten!B$82,Bewertung_Stammdaten!A$82,IF(BE28&lt;Bewertung_Stammdaten!B$83,Bewertung_Stammdaten!A$83,IF(BE28&lt;Bewertung_Stammdaten!B$84,Bewertung_Stammdaten!A$84,IF(BE28&lt;Bewertung_Stammdaten!B$85,Bewertung_Stammdaten!A$85,Bewertung_Stammdaten!A$86)))))))))</f>
        <v>5</v>
      </c>
      <c r="BI28" s="41">
        <f>IF(BF28&lt;Bewertung_Stammdaten!F$77,Bewertung_Stammdaten!E$77,IF(BF28&lt;Bewertung_Stammdaten!F$78,Bewertung_Stammdaten!E$78,IF(BF28&lt;Bewertung_Stammdaten!F$79,Bewertung_Stammdaten!E$79,IF(BF28&lt;Bewertung_Stammdaten!F$80,Bewertung_Stammdaten!E$80,IF(BF28&lt;Bewertung_Stammdaten!F$81,Bewertung_Stammdaten!E$81,IF(BF28&lt;Bewertung_Stammdaten!F$82,Bewertung_Stammdaten!E$82,IF(BF28&lt;Bewertung_Stammdaten!F$83,Bewertung_Stammdaten!E$83,IF(BF28&lt;Bewertung_Stammdaten!F$84,Bewertung_Stammdaten!E$84,IF(BF28&lt;Bewertung_Stammdaten!F$85,Bewertung_Stammdaten!E$85,Bewertung_Stammdaten!E$86)))))))))</f>
        <v>4</v>
      </c>
      <c r="BJ28" s="41">
        <f>IF(BG28&lt;Bewertung_Stammdaten!J$77,Bewertung_Stammdaten!I$77,IF(BG28&lt;Bewertung_Stammdaten!J$78,Bewertung_Stammdaten!I$78,IF(BG28&lt;Bewertung_Stammdaten!J$79,Bewertung_Stammdaten!I$79,IF(BG28&lt;Bewertung_Stammdaten!J$80,Bewertung_Stammdaten!I$80,IF(BG28&lt;Bewertung_Stammdaten!J$81,Bewertung_Stammdaten!I$81,IF(BG28&lt;Bewertung_Stammdaten!J$82,Bewertung_Stammdaten!I$82,IF(BG28&lt;Bewertung_Stammdaten!J$83,Bewertung_Stammdaten!I$83,IF(BG28&lt;Bewertung_Stammdaten!J$84,Bewertung_Stammdaten!I$84,IF(BG28&lt;Bewertung_Stammdaten!J$85,Bewertung_Stammdaten!I$85,Bewertung_Stammdaten!I$86)))))))))</f>
        <v>4.5</v>
      </c>
      <c r="BK28" s="43"/>
      <c r="BL28" s="12">
        <f ca="1">VLOOKUP(A28,Ausschüttungsquote!A$3:X$103,23,FALSE)</f>
        <v>0.49970779220779227</v>
      </c>
      <c r="BM28" s="12">
        <f>VLOOKUP(A28,Ausschüttungsquote!A$3:X$103,19,FALSE)</f>
        <v>0.45984735642767116</v>
      </c>
      <c r="BN28" s="12">
        <f ca="1">VLOOKUP(A28,Ausschüttungsquote!A$3:X$103,24,FALSE)</f>
        <v>8.6681885245089463E-2</v>
      </c>
      <c r="BO28" s="32">
        <f ca="1">IF(BL28&lt;Bewertung_Stammdaten!B$90,Bewertung_Stammdaten!A$90,IF(BL28&lt;Bewertung_Stammdaten!B$91,Bewertung_Stammdaten!A$91,IF(BL28&lt;Bewertung_Stammdaten!B$92,Bewertung_Stammdaten!A$92,IF(BL28&lt;Bewertung_Stammdaten!B$93,Bewertung_Stammdaten!A$93,IF(BL28&lt;Bewertung_Stammdaten!B$94,Bewertung_Stammdaten!A$94,IF(BL28&lt;Bewertung_Stammdaten!B$95,Bewertung_Stammdaten!A$95,IF(BL28&lt;Bewertung_Stammdaten!B$96,Bewertung_Stammdaten!A$96,IF(BL28&lt;Bewertung_Stammdaten!B$97,Bewertung_Stammdaten!A$97,IF(BL28&lt;Bewertung_Stammdaten!B$98,Bewertung_Stammdaten!A$98,Bewertung_Stammdaten!A$99)))))))))</f>
        <v>8</v>
      </c>
      <c r="BP28" s="41">
        <f>IF(BM28&lt;Bewertung_Stammdaten!F$90,Bewertung_Stammdaten!E$90,IF(BM28&lt;Bewertung_Stammdaten!F$91,Bewertung_Stammdaten!E$91,IF(BM28&lt;Bewertung_Stammdaten!F$92,Bewertung_Stammdaten!E$92,IF(BM28&lt;Bewertung_Stammdaten!F$93,Bewertung_Stammdaten!E$93,IF(BM28&lt;Bewertung_Stammdaten!F$94,Bewertung_Stammdaten!E$94,IF(BM28&lt;Bewertung_Stammdaten!F$95,Bewertung_Stammdaten!E$95,IF(BM28&lt;Bewertung_Stammdaten!F$96,Bewertung_Stammdaten!E$96,IF(BM28&lt;Bewertung_Stammdaten!F$97,Bewertung_Stammdaten!E$97,IF(BM28&lt;Bewertung_Stammdaten!F$98,Bewertung_Stammdaten!E$98,Bewertung_Stammdaten!E$99)))))))))</f>
        <v>8</v>
      </c>
      <c r="BQ28" s="32">
        <f ca="1">IF(BN28&lt;Bewertung_Stammdaten!J$90,Bewertung_Stammdaten!I$90,IF(BN28&lt;Bewertung_Stammdaten!J$91,Bewertung_Stammdaten!I$91,IF(BN28&lt;Bewertung_Stammdaten!J$92,Bewertung_Stammdaten!I$92,IF(BN28&lt;Bewertung_Stammdaten!J$93,Bewertung_Stammdaten!I$93,IF(BN28&lt;Bewertung_Stammdaten!J$94,Bewertung_Stammdaten!I$94,IF(BN28&lt;Bewertung_Stammdaten!J$95,Bewertung_Stammdaten!I$95,IF(BN28&lt;Bewertung_Stammdaten!J$96,Bewertung_Stammdaten!I$96,IF(BN28&lt;Bewertung_Stammdaten!J$97,Bewertung_Stammdaten!I$97,IF(BN28&lt;Bewertung_Stammdaten!J$98,Bewertung_Stammdaten!I$98,Bewertung_Stammdaten!I$99)))))))))</f>
        <v>4</v>
      </c>
    </row>
    <row r="29" spans="1:69" x14ac:dyDescent="0.25">
      <c r="A29" s="38" t="s">
        <v>50</v>
      </c>
      <c r="B29" s="38" t="s">
        <v>51</v>
      </c>
      <c r="C29" s="38" t="s">
        <v>296</v>
      </c>
      <c r="D29" s="32">
        <f t="shared" ca="1" si="0"/>
        <v>120.5</v>
      </c>
      <c r="E29" s="43"/>
      <c r="F29" s="66">
        <v>1</v>
      </c>
      <c r="G29" s="11">
        <f ca="1">VLOOKUP(A29,KGV!A$3:R$103,17,FALSE)</f>
        <v>25.772706618872121</v>
      </c>
      <c r="H29" s="11">
        <f>VLOOKUP(A29,KGV!A$3:R$103,16,FALSE)</f>
        <v>19.399380804953559</v>
      </c>
      <c r="I29" s="12">
        <f ca="1">VLOOKUP(A29,KGV!A$3:R$103,18,FALSE)</f>
        <v>0.32853243502963547</v>
      </c>
      <c r="J29" s="16">
        <f t="shared" ca="1" si="1"/>
        <v>28.115679947860496</v>
      </c>
      <c r="K29" s="12">
        <f t="shared" ca="1" si="2"/>
        <v>0.44930811094142054</v>
      </c>
      <c r="L29" s="11">
        <f ca="1">VLOOKUP(A29,KBV!A$3:R$103,17,FALSE)</f>
        <v>10.687174190666937</v>
      </c>
      <c r="M29" s="11">
        <f>VLOOKUP(A29,KBV!A$3:R$103,16,FALSE)</f>
        <v>8.1376623376623378</v>
      </c>
      <c r="N29" s="12">
        <f ca="1">VLOOKUP(A29,KBV!A$3:R$103,18,FALSE)</f>
        <v>0.31329781787640298</v>
      </c>
      <c r="O29" s="16">
        <f t="shared" ca="1" si="9"/>
        <v>12.513918635101257</v>
      </c>
      <c r="P29" s="12">
        <f t="shared" ca="1" si="10"/>
        <v>0.53777806400063333</v>
      </c>
      <c r="Q29" s="32">
        <f ca="1">IF(F29=1,IF(I29&lt;Bewertung_Stammdaten!B$12,Bewertung_Stammdaten!A$12,IF(I29&lt;Bewertung_Stammdaten!B$13,Bewertung_Stammdaten!A$13,IF(I29&lt;Bewertung_Stammdaten!B$14,Bewertung_Stammdaten!A$14,IF(I29&lt;Bewertung_Stammdaten!B$15,Bewertung_Stammdaten!A$15,IF(I29&lt;Bewertung_Stammdaten!B$16,Bewertung_Stammdaten!A$16,IF(I29&lt;Bewertung_Stammdaten!B$17,Bewertung_Stammdaten!A$17,IF(I29&lt;Bewertung_Stammdaten!B$18,Bewertung_Stammdaten!A$18,IF(I29&lt;Bewertung_Stammdaten!B$19,Bewertung_Stammdaten!A$19,IF(I29&lt;Bewertung_Stammdaten!B$20,Bewertung_Stammdaten!A$20,Bewertung_Stammdaten!A$21))))))))),IF(N29&lt;Bewertung_Stammdaten!C$12,Bewertung_Stammdaten!A$12,IF(N29&lt;Bewertung_Stammdaten!C$13,Bewertung_Stammdaten!A$13,IF(N29&lt;Bewertung_Stammdaten!C$14,Bewertung_Stammdaten!A$14,IF(N29&lt;Bewertung_Stammdaten!C$15,Bewertung_Stammdaten!A$15,IF(N29&lt;Bewertung_Stammdaten!C$16,Bewertung_Stammdaten!A$16,IF(N29&lt;Bewertung_Stammdaten!C$17,Bewertung_Stammdaten!A$17,IF(N29&lt;Bewertung_Stammdaten!C$18,Bewertung_Stammdaten!A$18,IF(N29&lt;Bewertung_Stammdaten!C$19,Bewertung_Stammdaten!A$19,IF(N29&lt;Bewertung_Stammdaten!C$20,Bewertung_Stammdaten!A$20,Bewertung_Stammdaten!A$21))))))))))</f>
        <v>6</v>
      </c>
      <c r="R29" s="32">
        <f ca="1">IF(F29=1,IF(K29&lt;Bewertung_Stammdaten!F$12,Bewertung_Stammdaten!E$12,IF(K29&lt;Bewertung_Stammdaten!F$13,Bewertung_Stammdaten!E$13,IF(K29&lt;Bewertung_Stammdaten!F$14,Bewertung_Stammdaten!E$14,IF(K29&lt;Bewertung_Stammdaten!F$15,Bewertung_Stammdaten!E$15,IF(K29&lt;Bewertung_Stammdaten!F$16,Bewertung_Stammdaten!E$16,IF(K29&lt;Bewertung_Stammdaten!F$17,Bewertung_Stammdaten!E$17,IF(K29&lt;Bewertung_Stammdaten!F$18,Bewertung_Stammdaten!E$18,IF(K29&lt;Bewertung_Stammdaten!F$19,Bewertung_Stammdaten!E$19,IF(K29&lt;Bewertung_Stammdaten!F$20,Bewertung_Stammdaten!E$20,Bewertung_Stammdaten!E$21))))))))),IF(P29&lt;Bewertung_Stammdaten!G$12,Bewertung_Stammdaten!E$12,IF(P29&lt;Bewertung_Stammdaten!G$13,Bewertung_Stammdaten!E$13,IF(P29&lt;Bewertung_Stammdaten!G$14,Bewertung_Stammdaten!E$14,IF(P29&lt;Bewertung_Stammdaten!G$15,Bewertung_Stammdaten!E$15,IF(P29&lt;Bewertung_Stammdaten!G$16,Bewertung_Stammdaten!E$16,IF(P29&lt;Bewertung_Stammdaten!G$17,Bewertung_Stammdaten!E$17,IF(P29&lt;Bewertung_Stammdaten!G$18,Bewertung_Stammdaten!E$18,IF(P29&lt;Bewertung_Stammdaten!G$19,Bewertung_Stammdaten!E$19,IF(P29&lt;Bewertung_Stammdaten!G$20,Bewertung_Stammdaten!E$20,Bewertung_Stammdaten!E$21))))))))))</f>
        <v>2.5</v>
      </c>
      <c r="S29" s="43"/>
      <c r="T29" s="11">
        <f ca="1">VLOOKUP(A29,Buchwert_je_Aktie!A$3:AK$103,23,FALSE)</f>
        <v>7.9609444444444444</v>
      </c>
      <c r="U29" s="11">
        <f>VLOOKUP(A29,Buchwert_je_Aktie!A$3:AK$103,19,FALSE)</f>
        <v>6.51675</v>
      </c>
      <c r="V29" s="12">
        <f ca="1">VLOOKUP(A29,Buchwert_je_Aktie!A$3:AK$103,24,FALSE)</f>
        <v>0.22161268184976324</v>
      </c>
      <c r="W29" s="12">
        <f>VLOOKUP(A29,Buchwert_je_Aktie!A$3:AK$103,37,FALSE)</f>
        <v>-0.1459770114942528</v>
      </c>
      <c r="X29" s="16">
        <f t="shared" ca="1" si="3"/>
        <v>6.7988295657726701</v>
      </c>
      <c r="Y29" s="12">
        <f t="shared" ca="1" si="4"/>
        <v>4.3285313349855414E-2</v>
      </c>
      <c r="Z29" s="51">
        <f ca="1">IF(V29&lt;Bewertung_Stammdaten!B$25,Bewertung_Stammdaten!A$25,IF(V29&lt;Bewertung_Stammdaten!B$26,Bewertung_Stammdaten!A$26,IF(V29&lt;Bewertung_Stammdaten!B$27,Bewertung_Stammdaten!A$27,IF(V29&lt;Bewertung_Stammdaten!B$28,Bewertung_Stammdaten!A$28,IF(V29&lt;Bewertung_Stammdaten!B$29,Bewertung_Stammdaten!A$29,IF(V29&lt;Bewertung_Stammdaten!B$30,Bewertung_Stammdaten!A$30,IF(V29&lt;Bewertung_Stammdaten!B$31,Bewertung_Stammdaten!A$31,IF(V29&lt;Bewertung_Stammdaten!B$32,Bewertung_Stammdaten!A$32,IF(V29&lt;Bewertung_Stammdaten!B$33,Bewertung_Stammdaten!A$33,Bewertung_Stammdaten!A$34)))))))))</f>
        <v>7.5</v>
      </c>
      <c r="AA29" s="51">
        <f>IF(W29&lt;Bewertung_Stammdaten!F$25,Bewertung_Stammdaten!E$25,IF(W29&lt;Bewertung_Stammdaten!F$26,Bewertung_Stammdaten!E$26,IF(W29&lt;Bewertung_Stammdaten!F$27,Bewertung_Stammdaten!E$27,IF(W29&lt;Bewertung_Stammdaten!F$28,Bewertung_Stammdaten!E$28,IF(W29&lt;Bewertung_Stammdaten!F$29,Bewertung_Stammdaten!E$29,IF(W29&lt;Bewertung_Stammdaten!F$30,Bewertung_Stammdaten!E$30,IF(W29&lt;Bewertung_Stammdaten!F$31,Bewertung_Stammdaten!E$31,IF(W29&lt;Bewertung_Stammdaten!F$32,Bewertung_Stammdaten!E$32,IF(W29&lt;Bewertung_Stammdaten!F$33,Bewertung_Stammdaten!E$33,Bewertung_Stammdaten!E$34)))))))))</f>
        <v>7.5</v>
      </c>
      <c r="AB29" s="51">
        <f ca="1">IF(Y29&lt;Bewertung_Stammdaten!J$25,Bewertung_Stammdaten!I$25,IF(Y29&lt;Bewertung_Stammdaten!J$26,Bewertung_Stammdaten!I$26,IF(Y29&lt;Bewertung_Stammdaten!J$27,Bewertung_Stammdaten!I$27,IF(Y29&lt;Bewertung_Stammdaten!J$28,Bewertung_Stammdaten!I$28,IF(Y29&lt;Bewertung_Stammdaten!J$29,Bewertung_Stammdaten!I$29,IF(Y29&lt;Bewertung_Stammdaten!J$30,Bewertung_Stammdaten!I$30,IF(Y29&lt;Bewertung_Stammdaten!J$31,Bewertung_Stammdaten!I$31,IF(Y29&lt;Bewertung_Stammdaten!J$32,Bewertung_Stammdaten!I$32,IF(Y29&lt;Bewertung_Stammdaten!J$33,Bewertung_Stammdaten!I$33,Bewertung_Stammdaten!I$34)))))))))</f>
        <v>3</v>
      </c>
      <c r="AC29" s="43"/>
      <c r="AD29" s="14">
        <f ca="1">VLOOKUP(A29,Ergebnis_je_Aktie_verwässert!A$3:AK$103,23,FALSE)</f>
        <v>3.3011666666666661</v>
      </c>
      <c r="AE29" s="14">
        <f>VLOOKUP(A29,Ergebnis_je_Aktie_verwässert!A$3:AK$103,19,FALSE)</f>
        <v>3.1079999999999997</v>
      </c>
      <c r="AF29" s="12">
        <f ca="1">VLOOKUP(A29,Ergebnis_je_Aktie_verwässert!A$3:AK$103,24,FALSE)</f>
        <v>6.2151437151437117E-2</v>
      </c>
      <c r="AG29" s="40">
        <f>VLOOKUP(A29,Ergebnis_je_Aktie_verwässert!A$3:AK$103,37,FALSE)</f>
        <v>-8.333333333333337E-2</v>
      </c>
      <c r="AH29" s="16">
        <f t="shared" ca="1" si="5"/>
        <v>3.026069444444444</v>
      </c>
      <c r="AI29" s="12">
        <f t="shared" ca="1" si="6"/>
        <v>-2.6361182611182588E-2</v>
      </c>
      <c r="AJ29" s="32">
        <f ca="1">IF(AF29&lt;Bewertung_Stammdaten!B$38,Bewertung_Stammdaten!A$38,IF(AF29&lt;Bewertung_Stammdaten!B$39,Bewertung_Stammdaten!A$39,IF(AF29&lt;Bewertung_Stammdaten!B$40,Bewertung_Stammdaten!A$40,IF(AF29&lt;Bewertung_Stammdaten!B$41,Bewertung_Stammdaten!A$41,IF(AF29&lt;Bewertung_Stammdaten!B$42,Bewertung_Stammdaten!A$42,IF(AF29&lt;Bewertung_Stammdaten!B$43,Bewertung_Stammdaten!A$43,IF(AF29&lt;Bewertung_Stammdaten!B$44,Bewertung_Stammdaten!A$44,IF(AF29&lt;Bewertung_Stammdaten!B$45,Bewertung_Stammdaten!A$45,IF(AF29&lt;Bewertung_Stammdaten!B$46,Bewertung_Stammdaten!A$46,Bewertung_Stammdaten!A$47)))))))))</f>
        <v>8</v>
      </c>
      <c r="AK29" s="32">
        <f>IF(AG29&lt;Bewertung_Stammdaten!F$38,Bewertung_Stammdaten!E$38,IF(AG29&lt;Bewertung_Stammdaten!F$39,Bewertung_Stammdaten!E$39,IF(AG29&lt;Bewertung_Stammdaten!F$40,Bewertung_Stammdaten!E$40,IF(AG29&lt;Bewertung_Stammdaten!F$41,Bewertung_Stammdaten!E$41,IF(AG29&lt;Bewertung_Stammdaten!F$42,Bewertung_Stammdaten!E$42,IF(AG29&lt;Bewertung_Stammdaten!F$43,Bewertung_Stammdaten!E$43,IF(AG29&lt;Bewertung_Stammdaten!F$44,Bewertung_Stammdaten!E$44,IF(AG29&lt;Bewertung_Stammdaten!F$45,Bewertung_Stammdaten!E$45,IF(AG29&lt;Bewertung_Stammdaten!F$46,Bewertung_Stammdaten!E$46,Bewertung_Stammdaten!E$47)))))))))</f>
        <v>10.5</v>
      </c>
      <c r="AL29" s="32">
        <f ca="1">IF(AI29&lt;Bewertung_Stammdaten!J$38,Bewertung_Stammdaten!I$38,IF(AI29&lt;Bewertung_Stammdaten!J$39,Bewertung_Stammdaten!I$39,IF(AI29&lt;Bewertung_Stammdaten!J$40,Bewertung_Stammdaten!I$40,IF(AI29&lt;Bewertung_Stammdaten!J$41,Bewertung_Stammdaten!I$41,IF(AI29&lt;Bewertung_Stammdaten!J$42,Bewertung_Stammdaten!I$42,IF(AI29&lt;Bewertung_Stammdaten!J$43,Bewertung_Stammdaten!I$43,IF(AI29&lt;Bewertung_Stammdaten!J$44,Bewertung_Stammdaten!I$44,IF(AI29&lt;Bewertung_Stammdaten!J$45,Bewertung_Stammdaten!I$45,IF(AI29&lt;Bewertung_Stammdaten!J$46,Bewertung_Stammdaten!I$46,Bewertung_Stammdaten!I$47)))))))))</f>
        <v>4</v>
      </c>
      <c r="AM29" s="43"/>
      <c r="AN29" s="14">
        <f ca="1">VLOOKUP(A29,Dividende_je_Aktie!A$3:AM$103,24,FALSE)</f>
        <v>2.2740555555555555</v>
      </c>
      <c r="AO29" s="14">
        <f>VLOOKUP(A29,Dividende_je_Aktie!A$3:AM$103,20,FALSE)</f>
        <v>1.6400374743943242</v>
      </c>
      <c r="AP29" s="12">
        <f ca="1">VLOOKUP(A29,Dividende_je_Aktie!A$3:AM$103,25,FALSE)</f>
        <v>0.3865875573333335</v>
      </c>
      <c r="AQ29" s="40">
        <f>VLOOKUP(A29,Dividende_je_Aktie!A$3:AM$103,39,FALSE)</f>
        <v>-0.15459697732997491</v>
      </c>
      <c r="AR29" s="16">
        <f t="shared" ca="1" si="7"/>
        <v>1.9224934403862297</v>
      </c>
      <c r="AS29" s="12">
        <f t="shared" ca="1" si="8"/>
        <v>0.1722253121662467</v>
      </c>
      <c r="AT29" s="32">
        <f ca="1">IF(AP29&lt;Bewertung_Stammdaten!B$51,Bewertung_Stammdaten!A$51,IF(AP29&lt;Bewertung_Stammdaten!B$52,Bewertung_Stammdaten!A$52,IF(AP29&lt;Bewertung_Stammdaten!B$53,Bewertung_Stammdaten!A$53,IF(AP29&lt;Bewertung_Stammdaten!B$54,Bewertung_Stammdaten!A$54,IF(AP29&lt;Bewertung_Stammdaten!B$55,Bewertung_Stammdaten!A$55,IF(AP29&lt;Bewertung_Stammdaten!B$56,Bewertung_Stammdaten!A$56,IF(AP29&lt;Bewertung_Stammdaten!B$57,Bewertung_Stammdaten!A$57,IF(AP29&lt;Bewertung_Stammdaten!B$58,Bewertung_Stammdaten!A$58,IF(AP29&lt;Bewertung_Stammdaten!B$59,Bewertung_Stammdaten!A$59,Bewertung_Stammdaten!A$60)))))))))</f>
        <v>12</v>
      </c>
      <c r="AU29" s="32">
        <f>IF(AQ29&lt;Bewertung_Stammdaten!F$51,Bewertung_Stammdaten!E$51,IF(AQ29&lt;Bewertung_Stammdaten!F$52,Bewertung_Stammdaten!E$52,IF(AQ29&lt;Bewertung_Stammdaten!F$53,Bewertung_Stammdaten!E$53,IF(AQ29&lt;Bewertung_Stammdaten!F$54,Bewertung_Stammdaten!E$54,IF(AQ29&lt;Bewertung_Stammdaten!F$55,Bewertung_Stammdaten!E$55,IF(AQ29&lt;Bewertung_Stammdaten!F$56,Bewertung_Stammdaten!E$56,IF(AQ29&lt;Bewertung_Stammdaten!F$57,Bewertung_Stammdaten!E$57,IF(AQ29&lt;Bewertung_Stammdaten!F$58,Bewertung_Stammdaten!E$58,IF(AQ29&lt;Bewertung_Stammdaten!F$59,Bewertung_Stammdaten!E$59,Bewertung_Stammdaten!E$60)))))))))</f>
        <v>9</v>
      </c>
      <c r="AV29" s="32">
        <f ca="1">IF(AS29&lt;Bewertung_Stammdaten!J$51,Bewertung_Stammdaten!I$51,IF(AS29&lt;Bewertung_Stammdaten!J$52,Bewertung_Stammdaten!I$52,IF(AS29&lt;Bewertung_Stammdaten!J$53,Bewertung_Stammdaten!I$53,IF(AS29&lt;Bewertung_Stammdaten!J$54,Bewertung_Stammdaten!I$54,IF(AS29&lt;Bewertung_Stammdaten!J$55,Bewertung_Stammdaten!I$55,IF(AS29&lt;Bewertung_Stammdaten!J$56,Bewertung_Stammdaten!I$56,IF(AS29&lt;Bewertung_Stammdaten!J$57,Bewertung_Stammdaten!I$57,IF(AS29&lt;Bewertung_Stammdaten!J$58,Bewertung_Stammdaten!I$58,IF(AS29&lt;Bewertung_Stammdaten!J$59,Bewertung_Stammdaten!I$59,Bewertung_Stammdaten!I$60)))))))))</f>
        <v>6</v>
      </c>
      <c r="AW29" s="43"/>
      <c r="AX29" s="12">
        <f ca="1">VLOOKUP(A29,Dividendenrendite!A$3:R$103,17,FALSE)</f>
        <v>2.6728438593741837E-2</v>
      </c>
      <c r="AY29" s="12">
        <f>VLOOKUP(A29,Dividendenrendite!A$3:R$103,16,FALSE)</f>
        <v>3.0283537058611441E-2</v>
      </c>
      <c r="AZ29" s="12">
        <f ca="1">VLOOKUP(A29,Dividendenrendite!A$3:R$103,18,FALSE)</f>
        <v>-0.11739376605807261</v>
      </c>
      <c r="BA29" s="32">
        <f ca="1">IF(AX29&lt;Bewertung_Stammdaten!B$64,Bewertung_Stammdaten!A$64,IF(AX29&lt;Bewertung_Stammdaten!B$65,Bewertung_Stammdaten!A$65,IF(AX29&lt;Bewertung_Stammdaten!B$66,Bewertung_Stammdaten!A$66,IF(AX29&lt;Bewertung_Stammdaten!B$67,Bewertung_Stammdaten!A$67,IF(AX29&lt;Bewertung_Stammdaten!B$68,Bewertung_Stammdaten!A$68,IF(AX29&lt;Bewertung_Stammdaten!B$69,Bewertung_Stammdaten!A$69,IF(AX29&lt;Bewertung_Stammdaten!B$70,Bewertung_Stammdaten!A$70,IF(AX29&lt;Bewertung_Stammdaten!B$71,Bewertung_Stammdaten!A$71,IF(AX29&lt;Bewertung_Stammdaten!B$72,Bewertung_Stammdaten!A$72,Bewertung_Stammdaten!A$73)))))))))</f>
        <v>9</v>
      </c>
      <c r="BB29" s="32">
        <f>IF(AY29&lt;Bewertung_Stammdaten!F$64,Bewertung_Stammdaten!E$64,IF(AY29&lt;Bewertung_Stammdaten!F$65,Bewertung_Stammdaten!E$65,IF(AY29&lt;Bewertung_Stammdaten!F$66,Bewertung_Stammdaten!E$66,IF(AY29&lt;Bewertung_Stammdaten!F$67,Bewertung_Stammdaten!E$67,IF(AY29&lt;Bewertung_Stammdaten!F$68,Bewertung_Stammdaten!E$68,IF(AY29&lt;Bewertung_Stammdaten!F$69,Bewertung_Stammdaten!E$69,IF(AY29&lt;Bewertung_Stammdaten!F$70,Bewertung_Stammdaten!E$70,IF(AY29&lt;Bewertung_Stammdaten!F$71,Bewertung_Stammdaten!E$71,IF(AY29&lt;Bewertung_Stammdaten!F$72,Bewertung_Stammdaten!E$72,Bewertung_Stammdaten!E$73)))))))))</f>
        <v>7</v>
      </c>
      <c r="BC29" s="32">
        <f ca="1">IF(AZ29&lt;Bewertung_Stammdaten!J$64,Bewertung_Stammdaten!I$64,IF(AZ29&lt;Bewertung_Stammdaten!J$65,Bewertung_Stammdaten!I$65,IF(AZ29&lt;Bewertung_Stammdaten!J$66,Bewertung_Stammdaten!I$66,IF(AZ29&lt;Bewertung_Stammdaten!J$67,Bewertung_Stammdaten!I$67,IF(AZ29&lt;Bewertung_Stammdaten!J$68,Bewertung_Stammdaten!I$68,IF(AZ29&lt;Bewertung_Stammdaten!J$69,Bewertung_Stammdaten!I$69,IF(AZ29&lt;Bewertung_Stammdaten!J$70,Bewertung_Stammdaten!I$70,IF(AZ29&lt;Bewertung_Stammdaten!J$71,Bewertung_Stammdaten!I$71,IF(AZ29&lt;Bewertung_Stammdaten!J$72,Bewertung_Stammdaten!I$72,Bewertung_Stammdaten!I$73)))))))))</f>
        <v>1.5</v>
      </c>
      <c r="BD29" s="43"/>
      <c r="BE29" s="12">
        <f>VLOOKUP(A29,Aktien_im_Umlauf_splitbereinigt!A$3:Z$103,26,FALSE)</f>
        <v>-1.5059281246331491E-2</v>
      </c>
      <c r="BF29" s="12">
        <f>VLOOKUP(A29,Aktien_im_Umlauf_splitbereinigt!A$3:Y$103,24,FALSE)</f>
        <v>-5.052265629485575E-3</v>
      </c>
      <c r="BG29" s="12">
        <f>VLOOKUP(A29,Aktien_im_Umlauf_splitbereinigt!A$3:Y$103,25,FALSE)</f>
        <v>1.9806986312128716</v>
      </c>
      <c r="BH29" s="41">
        <f>IF(BE29&lt;Bewertung_Stammdaten!B$77,Bewertung_Stammdaten!A$77,IF(BE29&lt;Bewertung_Stammdaten!B$78,Bewertung_Stammdaten!A$78,IF(BE29&lt;Bewertung_Stammdaten!B$79,Bewertung_Stammdaten!A$79,IF(BE29&lt;Bewertung_Stammdaten!B$80,Bewertung_Stammdaten!A$80,IF(BE29&lt;Bewertung_Stammdaten!B$81,Bewertung_Stammdaten!A$81,IF(BE29&lt;Bewertung_Stammdaten!B$82,Bewertung_Stammdaten!A$82,IF(BE29&lt;Bewertung_Stammdaten!B$83,Bewertung_Stammdaten!A$83,IF(BE29&lt;Bewertung_Stammdaten!B$84,Bewertung_Stammdaten!A$84,IF(BE29&lt;Bewertung_Stammdaten!B$85,Bewertung_Stammdaten!A$85,Bewertung_Stammdaten!A$86)))))))))</f>
        <v>6</v>
      </c>
      <c r="BI29" s="41">
        <f>IF(BF29&lt;Bewertung_Stammdaten!F$77,Bewertung_Stammdaten!E$77,IF(BF29&lt;Bewertung_Stammdaten!F$78,Bewertung_Stammdaten!E$78,IF(BF29&lt;Bewertung_Stammdaten!F$79,Bewertung_Stammdaten!E$79,IF(BF29&lt;Bewertung_Stammdaten!F$80,Bewertung_Stammdaten!E$80,IF(BF29&lt;Bewertung_Stammdaten!F$81,Bewertung_Stammdaten!E$81,IF(BF29&lt;Bewertung_Stammdaten!F$82,Bewertung_Stammdaten!E$82,IF(BF29&lt;Bewertung_Stammdaten!F$83,Bewertung_Stammdaten!E$83,IF(BF29&lt;Bewertung_Stammdaten!F$84,Bewertung_Stammdaten!E$84,IF(BF29&lt;Bewertung_Stammdaten!F$85,Bewertung_Stammdaten!E$85,Bewertung_Stammdaten!E$86)))))))))</f>
        <v>4</v>
      </c>
      <c r="BJ29" s="41">
        <f>IF(BG29&lt;Bewertung_Stammdaten!J$77,Bewertung_Stammdaten!I$77,IF(BG29&lt;Bewertung_Stammdaten!J$78,Bewertung_Stammdaten!I$78,IF(BG29&lt;Bewertung_Stammdaten!J$79,Bewertung_Stammdaten!I$79,IF(BG29&lt;Bewertung_Stammdaten!J$80,Bewertung_Stammdaten!I$80,IF(BG29&lt;Bewertung_Stammdaten!J$81,Bewertung_Stammdaten!I$81,IF(BG29&lt;Bewertung_Stammdaten!J$82,Bewertung_Stammdaten!I$82,IF(BG29&lt;Bewertung_Stammdaten!J$83,Bewertung_Stammdaten!I$83,IF(BG29&lt;Bewertung_Stammdaten!J$84,Bewertung_Stammdaten!I$84,IF(BG29&lt;Bewertung_Stammdaten!J$85,Bewertung_Stammdaten!I$85,Bewertung_Stammdaten!I$86)))))))))</f>
        <v>5</v>
      </c>
      <c r="BK29" s="43"/>
      <c r="BL29" s="12">
        <f ca="1">VLOOKUP(A29,Ausschüttungsquote!A$3:X$103,23,FALSE)</f>
        <v>0.68892628858969129</v>
      </c>
      <c r="BM29" s="12">
        <f>VLOOKUP(A29,Ausschüttungsquote!A$3:X$103,19,FALSE)</f>
        <v>0.52122452393925811</v>
      </c>
      <c r="BN29" s="12">
        <f ca="1">VLOOKUP(A29,Ausschüttungsquote!A$3:X$103,24,FALSE)</f>
        <v>0.32174572942768265</v>
      </c>
      <c r="BO29" s="32">
        <f ca="1">IF(BL29&lt;Bewertung_Stammdaten!B$90,Bewertung_Stammdaten!A$90,IF(BL29&lt;Bewertung_Stammdaten!B$91,Bewertung_Stammdaten!A$91,IF(BL29&lt;Bewertung_Stammdaten!B$92,Bewertung_Stammdaten!A$92,IF(BL29&lt;Bewertung_Stammdaten!B$93,Bewertung_Stammdaten!A$93,IF(BL29&lt;Bewertung_Stammdaten!B$94,Bewertung_Stammdaten!A$94,IF(BL29&lt;Bewertung_Stammdaten!B$95,Bewertung_Stammdaten!A$95,IF(BL29&lt;Bewertung_Stammdaten!B$96,Bewertung_Stammdaten!A$96,IF(BL29&lt;Bewertung_Stammdaten!B$97,Bewertung_Stammdaten!A$97,IF(BL29&lt;Bewertung_Stammdaten!B$98,Bewertung_Stammdaten!A$98,Bewertung_Stammdaten!A$99)))))))))</f>
        <v>4</v>
      </c>
      <c r="BP29" s="41">
        <f>IF(BM29&lt;Bewertung_Stammdaten!F$90,Bewertung_Stammdaten!E$90,IF(BM29&lt;Bewertung_Stammdaten!F$91,Bewertung_Stammdaten!E$91,IF(BM29&lt;Bewertung_Stammdaten!F$92,Bewertung_Stammdaten!E$92,IF(BM29&lt;Bewertung_Stammdaten!F$93,Bewertung_Stammdaten!E$93,IF(BM29&lt;Bewertung_Stammdaten!F$94,Bewertung_Stammdaten!E$94,IF(BM29&lt;Bewertung_Stammdaten!F$95,Bewertung_Stammdaten!E$95,IF(BM29&lt;Bewertung_Stammdaten!F$96,Bewertung_Stammdaten!E$96,IF(BM29&lt;Bewertung_Stammdaten!F$97,Bewertung_Stammdaten!E$97,IF(BM29&lt;Bewertung_Stammdaten!F$98,Bewertung_Stammdaten!E$98,Bewertung_Stammdaten!E$99)))))))))</f>
        <v>7</v>
      </c>
      <c r="BQ29" s="32">
        <f ca="1">IF(BN29&lt;Bewertung_Stammdaten!J$90,Bewertung_Stammdaten!I$90,IF(BN29&lt;Bewertung_Stammdaten!J$91,Bewertung_Stammdaten!I$91,IF(BN29&lt;Bewertung_Stammdaten!J$92,Bewertung_Stammdaten!I$92,IF(BN29&lt;Bewertung_Stammdaten!J$93,Bewertung_Stammdaten!I$93,IF(BN29&lt;Bewertung_Stammdaten!J$94,Bewertung_Stammdaten!I$94,IF(BN29&lt;Bewertung_Stammdaten!J$95,Bewertung_Stammdaten!I$95,IF(BN29&lt;Bewertung_Stammdaten!J$96,Bewertung_Stammdaten!I$96,IF(BN29&lt;Bewertung_Stammdaten!J$97,Bewertung_Stammdaten!I$97,IF(BN29&lt;Bewertung_Stammdaten!J$98,Bewertung_Stammdaten!I$98,Bewertung_Stammdaten!I$99)))))))))</f>
        <v>1</v>
      </c>
    </row>
    <row r="30" spans="1:69" x14ac:dyDescent="0.25">
      <c r="A30" s="38" t="s">
        <v>52</v>
      </c>
      <c r="B30" s="38" t="s">
        <v>53</v>
      </c>
      <c r="C30" s="38" t="s">
        <v>296</v>
      </c>
      <c r="D30" s="32">
        <f t="shared" ca="1" si="0"/>
        <v>131</v>
      </c>
      <c r="E30" s="43"/>
      <c r="F30" s="66">
        <v>1</v>
      </c>
      <c r="G30" s="11">
        <f ca="1">VLOOKUP(A30,KGV!A$3:R$103,17,FALSE)</f>
        <v>19.698603559907056</v>
      </c>
      <c r="H30" s="11">
        <f>VLOOKUP(A30,KGV!A$3:R$103,16,FALSE)</f>
        <v>15.715686274509805</v>
      </c>
      <c r="I30" s="12">
        <f ca="1">VLOOKUP(A30,KGV!A$3:R$103,18,FALSE)</f>
        <v>0.25343578484748575</v>
      </c>
      <c r="J30" s="16">
        <f t="shared" ca="1" si="1"/>
        <v>22.682002024374306</v>
      </c>
      <c r="K30" s="12">
        <f t="shared" ca="1" si="2"/>
        <v>0.44327149500073548</v>
      </c>
      <c r="L30" s="11">
        <f ca="1">VLOOKUP(A30,KBV!A$3:R$103,17,FALSE)</f>
        <v>8.248051764039106</v>
      </c>
      <c r="M30" s="11">
        <f>VLOOKUP(A30,KBV!A$3:R$103,16,FALSE)</f>
        <v>5.4478353442157559</v>
      </c>
      <c r="N30" s="12">
        <f ca="1">VLOOKUP(A30,KBV!A$3:R$103,18,FALSE)</f>
        <v>0.51400533292484374</v>
      </c>
      <c r="O30" s="16">
        <f t="shared" ca="1" si="9"/>
        <v>9.9841585398405961</v>
      </c>
      <c r="P30" s="12">
        <f t="shared" ca="1" si="10"/>
        <v>0.83268360899366844</v>
      </c>
      <c r="Q30" s="32">
        <f ca="1">IF(F30=1,IF(I30&lt;Bewertung_Stammdaten!B$12,Bewertung_Stammdaten!A$12,IF(I30&lt;Bewertung_Stammdaten!B$13,Bewertung_Stammdaten!A$13,IF(I30&lt;Bewertung_Stammdaten!B$14,Bewertung_Stammdaten!A$14,IF(I30&lt;Bewertung_Stammdaten!B$15,Bewertung_Stammdaten!A$15,IF(I30&lt;Bewertung_Stammdaten!B$16,Bewertung_Stammdaten!A$16,IF(I30&lt;Bewertung_Stammdaten!B$17,Bewertung_Stammdaten!A$17,IF(I30&lt;Bewertung_Stammdaten!B$18,Bewertung_Stammdaten!A$18,IF(I30&lt;Bewertung_Stammdaten!B$19,Bewertung_Stammdaten!A$19,IF(I30&lt;Bewertung_Stammdaten!B$20,Bewertung_Stammdaten!A$20,Bewertung_Stammdaten!A$21))))))))),IF(N30&lt;Bewertung_Stammdaten!C$12,Bewertung_Stammdaten!A$12,IF(N30&lt;Bewertung_Stammdaten!C$13,Bewertung_Stammdaten!A$13,IF(N30&lt;Bewertung_Stammdaten!C$14,Bewertung_Stammdaten!A$14,IF(N30&lt;Bewertung_Stammdaten!C$15,Bewertung_Stammdaten!A$15,IF(N30&lt;Bewertung_Stammdaten!C$16,Bewertung_Stammdaten!A$16,IF(N30&lt;Bewertung_Stammdaten!C$17,Bewertung_Stammdaten!A$17,IF(N30&lt;Bewertung_Stammdaten!C$18,Bewertung_Stammdaten!A$18,IF(N30&lt;Bewertung_Stammdaten!C$19,Bewertung_Stammdaten!A$19,IF(N30&lt;Bewertung_Stammdaten!C$20,Bewertung_Stammdaten!A$20,Bewertung_Stammdaten!A$21))))))))))</f>
        <v>6</v>
      </c>
      <c r="R30" s="32">
        <f ca="1">IF(F30=1,IF(K30&lt;Bewertung_Stammdaten!F$12,Bewertung_Stammdaten!E$12,IF(K30&lt;Bewertung_Stammdaten!F$13,Bewertung_Stammdaten!E$13,IF(K30&lt;Bewertung_Stammdaten!F$14,Bewertung_Stammdaten!E$14,IF(K30&lt;Bewertung_Stammdaten!F$15,Bewertung_Stammdaten!E$15,IF(K30&lt;Bewertung_Stammdaten!F$16,Bewertung_Stammdaten!E$16,IF(K30&lt;Bewertung_Stammdaten!F$17,Bewertung_Stammdaten!E$17,IF(K30&lt;Bewertung_Stammdaten!F$18,Bewertung_Stammdaten!E$18,IF(K30&lt;Bewertung_Stammdaten!F$19,Bewertung_Stammdaten!E$19,IF(K30&lt;Bewertung_Stammdaten!F$20,Bewertung_Stammdaten!E$20,Bewertung_Stammdaten!E$21))))))))),IF(P30&lt;Bewertung_Stammdaten!G$12,Bewertung_Stammdaten!E$12,IF(P30&lt;Bewertung_Stammdaten!G$13,Bewertung_Stammdaten!E$13,IF(P30&lt;Bewertung_Stammdaten!G$14,Bewertung_Stammdaten!E$14,IF(P30&lt;Bewertung_Stammdaten!G$15,Bewertung_Stammdaten!E$15,IF(P30&lt;Bewertung_Stammdaten!G$16,Bewertung_Stammdaten!E$16,IF(P30&lt;Bewertung_Stammdaten!G$17,Bewertung_Stammdaten!E$17,IF(P30&lt;Bewertung_Stammdaten!G$18,Bewertung_Stammdaten!E$18,IF(P30&lt;Bewertung_Stammdaten!G$19,Bewertung_Stammdaten!E$19,IF(P30&lt;Bewertung_Stammdaten!G$20,Bewertung_Stammdaten!E$20,Bewertung_Stammdaten!E$21))))))))))</f>
        <v>2.5</v>
      </c>
      <c r="S30" s="43"/>
      <c r="T30" s="11">
        <f ca="1">VLOOKUP(A30,Buchwert_je_Aktie!A$3:AK$103,23,FALSE)</f>
        <v>11.762777777777778</v>
      </c>
      <c r="U30" s="11">
        <f>VLOOKUP(A30,Buchwert_je_Aktie!A$3:AK$103,19,FALSE)</f>
        <v>13.019230769230772</v>
      </c>
      <c r="V30" s="12">
        <f ca="1">VLOOKUP(A30,Buchwert_je_Aktie!A$3:AK$103,24,FALSE)</f>
        <v>-9.6507467585754347E-2</v>
      </c>
      <c r="W30" s="12">
        <f>VLOOKUP(A30,Buchwert_je_Aktie!A$3:AK$103,37,FALSE)</f>
        <v>-0.17388613861386137</v>
      </c>
      <c r="X30" s="16">
        <f t="shared" ca="1" si="3"/>
        <v>9.7173937706270639</v>
      </c>
      <c r="Y30" s="12">
        <f t="shared" ca="1" si="4"/>
        <v>-0.25361229531372642</v>
      </c>
      <c r="Z30" s="51">
        <f ca="1">IF(V30&lt;Bewertung_Stammdaten!B$25,Bewertung_Stammdaten!A$25,IF(V30&lt;Bewertung_Stammdaten!B$26,Bewertung_Stammdaten!A$26,IF(V30&lt;Bewertung_Stammdaten!B$27,Bewertung_Stammdaten!A$27,IF(V30&lt;Bewertung_Stammdaten!B$28,Bewertung_Stammdaten!A$28,IF(V30&lt;Bewertung_Stammdaten!B$29,Bewertung_Stammdaten!A$29,IF(V30&lt;Bewertung_Stammdaten!B$30,Bewertung_Stammdaten!A$30,IF(V30&lt;Bewertung_Stammdaten!B$31,Bewertung_Stammdaten!A$31,IF(V30&lt;Bewertung_Stammdaten!B$32,Bewertung_Stammdaten!A$32,IF(V30&lt;Bewertung_Stammdaten!B$33,Bewertung_Stammdaten!A$33,Bewertung_Stammdaten!A$34)))))))))</f>
        <v>3</v>
      </c>
      <c r="AA30" s="51">
        <f>IF(W30&lt;Bewertung_Stammdaten!F$25,Bewertung_Stammdaten!E$25,IF(W30&lt;Bewertung_Stammdaten!F$26,Bewertung_Stammdaten!E$26,IF(W30&lt;Bewertung_Stammdaten!F$27,Bewertung_Stammdaten!E$27,IF(W30&lt;Bewertung_Stammdaten!F$28,Bewertung_Stammdaten!E$28,IF(W30&lt;Bewertung_Stammdaten!F$29,Bewertung_Stammdaten!E$29,IF(W30&lt;Bewertung_Stammdaten!F$30,Bewertung_Stammdaten!E$30,IF(W30&lt;Bewertung_Stammdaten!F$31,Bewertung_Stammdaten!E$31,IF(W30&lt;Bewertung_Stammdaten!F$32,Bewertung_Stammdaten!E$32,IF(W30&lt;Bewertung_Stammdaten!F$33,Bewertung_Stammdaten!E$33,Bewertung_Stammdaten!E$34)))))))))</f>
        <v>6</v>
      </c>
      <c r="AB30" s="51">
        <f ca="1">IF(Y30&lt;Bewertung_Stammdaten!J$25,Bewertung_Stammdaten!I$25,IF(Y30&lt;Bewertung_Stammdaten!J$26,Bewertung_Stammdaten!I$26,IF(Y30&lt;Bewertung_Stammdaten!J$27,Bewertung_Stammdaten!I$27,IF(Y30&lt;Bewertung_Stammdaten!J$28,Bewertung_Stammdaten!I$28,IF(Y30&lt;Bewertung_Stammdaten!J$29,Bewertung_Stammdaten!I$29,IF(Y30&lt;Bewertung_Stammdaten!J$30,Bewertung_Stammdaten!I$30,IF(Y30&lt;Bewertung_Stammdaten!J$31,Bewertung_Stammdaten!I$31,IF(Y30&lt;Bewertung_Stammdaten!J$32,Bewertung_Stammdaten!I$32,IF(Y30&lt;Bewertung_Stammdaten!J$33,Bewertung_Stammdaten!I$33,Bewertung_Stammdaten!I$34)))))))))</f>
        <v>1</v>
      </c>
      <c r="AC30" s="43"/>
      <c r="AD30" s="14">
        <f ca="1">VLOOKUP(A30,Ergebnis_je_Aktie_verwässert!A$3:AK$103,23,FALSE)</f>
        <v>4.9252222222222217</v>
      </c>
      <c r="AE30" s="14">
        <f>VLOOKUP(A30,Ergebnis_je_Aktie_verwässert!A$3:AK$103,19,FALSE)</f>
        <v>4.4076923076923071</v>
      </c>
      <c r="AF30" s="12">
        <f ca="1">VLOOKUP(A30,Ergebnis_je_Aktie_verwässert!A$3:AK$103,24,FALSE)</f>
        <v>0.11741516385495454</v>
      </c>
      <c r="AG30" s="40">
        <f>VLOOKUP(A30,Ergebnis_je_Aktie_verwässert!A$3:AK$103,37,FALSE)</f>
        <v>-0.13153153153153141</v>
      </c>
      <c r="AH30" s="16">
        <f t="shared" ca="1" si="5"/>
        <v>4.2774002002002005</v>
      </c>
      <c r="AI30" s="12">
        <f t="shared" ca="1" si="6"/>
        <v>-2.9560164003444744E-2</v>
      </c>
      <c r="AJ30" s="32">
        <f ca="1">IF(AF30&lt;Bewertung_Stammdaten!B$38,Bewertung_Stammdaten!A$38,IF(AF30&lt;Bewertung_Stammdaten!B$39,Bewertung_Stammdaten!A$39,IF(AF30&lt;Bewertung_Stammdaten!B$40,Bewertung_Stammdaten!A$40,IF(AF30&lt;Bewertung_Stammdaten!B$41,Bewertung_Stammdaten!A$41,IF(AF30&lt;Bewertung_Stammdaten!B$42,Bewertung_Stammdaten!A$42,IF(AF30&lt;Bewertung_Stammdaten!B$43,Bewertung_Stammdaten!A$43,IF(AF30&lt;Bewertung_Stammdaten!B$44,Bewertung_Stammdaten!A$44,IF(AF30&lt;Bewertung_Stammdaten!B$45,Bewertung_Stammdaten!A$45,IF(AF30&lt;Bewertung_Stammdaten!B$46,Bewertung_Stammdaten!A$46,Bewertung_Stammdaten!A$47)))))))))</f>
        <v>10</v>
      </c>
      <c r="AK30" s="32">
        <f>IF(AG30&lt;Bewertung_Stammdaten!F$38,Bewertung_Stammdaten!E$38,IF(AG30&lt;Bewertung_Stammdaten!F$39,Bewertung_Stammdaten!E$39,IF(AG30&lt;Bewertung_Stammdaten!F$40,Bewertung_Stammdaten!E$40,IF(AG30&lt;Bewertung_Stammdaten!F$41,Bewertung_Stammdaten!E$41,IF(AG30&lt;Bewertung_Stammdaten!F$42,Bewertung_Stammdaten!E$42,IF(AG30&lt;Bewertung_Stammdaten!F$43,Bewertung_Stammdaten!E$43,IF(AG30&lt;Bewertung_Stammdaten!F$44,Bewertung_Stammdaten!E$44,IF(AG30&lt;Bewertung_Stammdaten!F$45,Bewertung_Stammdaten!E$45,IF(AG30&lt;Bewertung_Stammdaten!F$46,Bewertung_Stammdaten!E$46,Bewertung_Stammdaten!E$47)))))))))</f>
        <v>9</v>
      </c>
      <c r="AL30" s="32">
        <f ca="1">IF(AI30&lt;Bewertung_Stammdaten!J$38,Bewertung_Stammdaten!I$38,IF(AI30&lt;Bewertung_Stammdaten!J$39,Bewertung_Stammdaten!I$39,IF(AI30&lt;Bewertung_Stammdaten!J$40,Bewertung_Stammdaten!I$40,IF(AI30&lt;Bewertung_Stammdaten!J$41,Bewertung_Stammdaten!I$41,IF(AI30&lt;Bewertung_Stammdaten!J$42,Bewertung_Stammdaten!I$42,IF(AI30&lt;Bewertung_Stammdaten!J$43,Bewertung_Stammdaten!I$43,IF(AI30&lt;Bewertung_Stammdaten!J$44,Bewertung_Stammdaten!I$44,IF(AI30&lt;Bewertung_Stammdaten!J$45,Bewertung_Stammdaten!I$45,IF(AI30&lt;Bewertung_Stammdaten!J$46,Bewertung_Stammdaten!I$46,Bewertung_Stammdaten!I$47)))))))))</f>
        <v>4</v>
      </c>
      <c r="AM30" s="43"/>
      <c r="AN30" s="14">
        <f ca="1">VLOOKUP(A30,Dividende_je_Aktie!A$3:AM$103,24,FALSE)</f>
        <v>3.5379444444444443</v>
      </c>
      <c r="AO30" s="14">
        <f>VLOOKUP(A30,Dividende_je_Aktie!A$3:AM$103,20,FALSE)</f>
        <v>2.3257142857142861</v>
      </c>
      <c r="AP30" s="12">
        <f ca="1">VLOOKUP(A30,Dividende_je_Aktie!A$3:AM$103,25,FALSE)</f>
        <v>0.52122918372918337</v>
      </c>
      <c r="AQ30" s="40">
        <f>VLOOKUP(A30,Dividende_je_Aktie!A$3:AM$103,39,FALSE)</f>
        <v>5.12820512820511E-2</v>
      </c>
      <c r="AR30" s="16">
        <f t="shared" ca="1" si="7"/>
        <v>3.5379444444444443</v>
      </c>
      <c r="AS30" s="12">
        <f t="shared" ca="1" si="8"/>
        <v>0.52122918372918337</v>
      </c>
      <c r="AT30" s="32">
        <f ca="1">IF(AP30&lt;Bewertung_Stammdaten!B$51,Bewertung_Stammdaten!A$51,IF(AP30&lt;Bewertung_Stammdaten!B$52,Bewertung_Stammdaten!A$52,IF(AP30&lt;Bewertung_Stammdaten!B$53,Bewertung_Stammdaten!A$53,IF(AP30&lt;Bewertung_Stammdaten!B$54,Bewertung_Stammdaten!A$54,IF(AP30&lt;Bewertung_Stammdaten!B$55,Bewertung_Stammdaten!A$55,IF(AP30&lt;Bewertung_Stammdaten!B$56,Bewertung_Stammdaten!A$56,IF(AP30&lt;Bewertung_Stammdaten!B$57,Bewertung_Stammdaten!A$57,IF(AP30&lt;Bewertung_Stammdaten!B$58,Bewertung_Stammdaten!A$58,IF(AP30&lt;Bewertung_Stammdaten!B$59,Bewertung_Stammdaten!A$59,Bewertung_Stammdaten!A$60)))))))))</f>
        <v>16</v>
      </c>
      <c r="AU30" s="32">
        <f>IF(AQ30&lt;Bewertung_Stammdaten!F$51,Bewertung_Stammdaten!E$51,IF(AQ30&lt;Bewertung_Stammdaten!F$52,Bewertung_Stammdaten!E$52,IF(AQ30&lt;Bewertung_Stammdaten!F$53,Bewertung_Stammdaten!E$53,IF(AQ30&lt;Bewertung_Stammdaten!F$54,Bewertung_Stammdaten!E$54,IF(AQ30&lt;Bewertung_Stammdaten!F$55,Bewertung_Stammdaten!E$55,IF(AQ30&lt;Bewertung_Stammdaten!F$56,Bewertung_Stammdaten!E$56,IF(AQ30&lt;Bewertung_Stammdaten!F$57,Bewertung_Stammdaten!E$57,IF(AQ30&lt;Bewertung_Stammdaten!F$58,Bewertung_Stammdaten!E$58,IF(AQ30&lt;Bewertung_Stammdaten!F$59,Bewertung_Stammdaten!E$59,Bewertung_Stammdaten!E$60)))))))))</f>
        <v>12</v>
      </c>
      <c r="AV30" s="32">
        <f ca="1">IF(AS30&lt;Bewertung_Stammdaten!J$51,Bewertung_Stammdaten!I$51,IF(AS30&lt;Bewertung_Stammdaten!J$52,Bewertung_Stammdaten!I$52,IF(AS30&lt;Bewertung_Stammdaten!J$53,Bewertung_Stammdaten!I$53,IF(AS30&lt;Bewertung_Stammdaten!J$54,Bewertung_Stammdaten!I$54,IF(AS30&lt;Bewertung_Stammdaten!J$55,Bewertung_Stammdaten!I$55,IF(AS30&lt;Bewertung_Stammdaten!J$56,Bewertung_Stammdaten!I$56,IF(AS30&lt;Bewertung_Stammdaten!J$57,Bewertung_Stammdaten!I$57,IF(AS30&lt;Bewertung_Stammdaten!J$58,Bewertung_Stammdaten!I$58,IF(AS30&lt;Bewertung_Stammdaten!J$59,Bewertung_Stammdaten!I$59,Bewertung_Stammdaten!I$60)))))))))</f>
        <v>9</v>
      </c>
      <c r="AW30" s="43"/>
      <c r="AX30" s="12">
        <f ca="1">VLOOKUP(A30,Dividendenrendite!A$3:R$103,17,FALSE)</f>
        <v>3.6466135275659083E-2</v>
      </c>
      <c r="AY30" s="12">
        <f>VLOOKUP(A30,Dividendenrendite!A$3:R$103,16,FALSE)</f>
        <v>2.8623318530808753E-2</v>
      </c>
      <c r="AZ30" s="12">
        <f ca="1">VLOOKUP(A30,Dividendenrendite!A$3:R$103,18,FALSE)</f>
        <v>0.2740009596164994</v>
      </c>
      <c r="BA30" s="32">
        <f ca="1">IF(AX30&lt;Bewertung_Stammdaten!B$64,Bewertung_Stammdaten!A$64,IF(AX30&lt;Bewertung_Stammdaten!B$65,Bewertung_Stammdaten!A$65,IF(AX30&lt;Bewertung_Stammdaten!B$66,Bewertung_Stammdaten!A$66,IF(AX30&lt;Bewertung_Stammdaten!B$67,Bewertung_Stammdaten!A$67,IF(AX30&lt;Bewertung_Stammdaten!B$68,Bewertung_Stammdaten!A$68,IF(AX30&lt;Bewertung_Stammdaten!B$69,Bewertung_Stammdaten!A$69,IF(AX30&lt;Bewertung_Stammdaten!B$70,Bewertung_Stammdaten!A$70,IF(AX30&lt;Bewertung_Stammdaten!B$71,Bewertung_Stammdaten!A$71,IF(AX30&lt;Bewertung_Stammdaten!B$72,Bewertung_Stammdaten!A$72,Bewertung_Stammdaten!A$73)))))))))</f>
        <v>12</v>
      </c>
      <c r="BB30" s="32">
        <f>IF(AY30&lt;Bewertung_Stammdaten!F$64,Bewertung_Stammdaten!E$64,IF(AY30&lt;Bewertung_Stammdaten!F$65,Bewertung_Stammdaten!E$65,IF(AY30&lt;Bewertung_Stammdaten!F$66,Bewertung_Stammdaten!E$66,IF(AY30&lt;Bewertung_Stammdaten!F$67,Bewertung_Stammdaten!E$67,IF(AY30&lt;Bewertung_Stammdaten!F$68,Bewertung_Stammdaten!E$68,IF(AY30&lt;Bewertung_Stammdaten!F$69,Bewertung_Stammdaten!E$69,IF(AY30&lt;Bewertung_Stammdaten!F$70,Bewertung_Stammdaten!E$70,IF(AY30&lt;Bewertung_Stammdaten!F$71,Bewertung_Stammdaten!E$71,IF(AY30&lt;Bewertung_Stammdaten!F$72,Bewertung_Stammdaten!E$72,Bewertung_Stammdaten!E$73)))))))))</f>
        <v>6</v>
      </c>
      <c r="BC30" s="32">
        <f ca="1">IF(AZ30&lt;Bewertung_Stammdaten!J$64,Bewertung_Stammdaten!I$64,IF(AZ30&lt;Bewertung_Stammdaten!J$65,Bewertung_Stammdaten!I$65,IF(AZ30&lt;Bewertung_Stammdaten!J$66,Bewertung_Stammdaten!I$66,IF(AZ30&lt;Bewertung_Stammdaten!J$67,Bewertung_Stammdaten!I$67,IF(AZ30&lt;Bewertung_Stammdaten!J$68,Bewertung_Stammdaten!I$68,IF(AZ30&lt;Bewertung_Stammdaten!J$69,Bewertung_Stammdaten!I$69,IF(AZ30&lt;Bewertung_Stammdaten!J$70,Bewertung_Stammdaten!I$70,IF(AZ30&lt;Bewertung_Stammdaten!J$71,Bewertung_Stammdaten!I$71,IF(AZ30&lt;Bewertung_Stammdaten!J$72,Bewertung_Stammdaten!I$72,Bewertung_Stammdaten!I$73)))))))))</f>
        <v>5</v>
      </c>
      <c r="BD30" s="43"/>
      <c r="BE30" s="12">
        <f>VLOOKUP(A30,Aktien_im_Umlauf_splitbereinigt!A$3:Z$103,26,FALSE)</f>
        <v>-2.7766558966074273E-2</v>
      </c>
      <c r="BF30" s="12">
        <f>VLOOKUP(A30,Aktien_im_Umlauf_splitbereinigt!A$3:Y$103,24,FALSE)</f>
        <v>-2.9593848013262605E-2</v>
      </c>
      <c r="BG30" s="12">
        <f>VLOOKUP(A30,Aktien_im_Umlauf_splitbereinigt!A$3:Y$103,25,FALSE)</f>
        <v>-6.1745571119018572E-2</v>
      </c>
      <c r="BH30" s="41">
        <f>IF(BE30&lt;Bewertung_Stammdaten!B$77,Bewertung_Stammdaten!A$77,IF(BE30&lt;Bewertung_Stammdaten!B$78,Bewertung_Stammdaten!A$78,IF(BE30&lt;Bewertung_Stammdaten!B$79,Bewertung_Stammdaten!A$79,IF(BE30&lt;Bewertung_Stammdaten!B$80,Bewertung_Stammdaten!A$80,IF(BE30&lt;Bewertung_Stammdaten!B$81,Bewertung_Stammdaten!A$81,IF(BE30&lt;Bewertung_Stammdaten!B$82,Bewertung_Stammdaten!A$82,IF(BE30&lt;Bewertung_Stammdaten!B$83,Bewertung_Stammdaten!A$83,IF(BE30&lt;Bewertung_Stammdaten!B$84,Bewertung_Stammdaten!A$84,IF(BE30&lt;Bewertung_Stammdaten!B$85,Bewertung_Stammdaten!A$85,Bewertung_Stammdaten!A$86)))))))))</f>
        <v>8</v>
      </c>
      <c r="BI30" s="41">
        <f>IF(BF30&lt;Bewertung_Stammdaten!F$77,Bewertung_Stammdaten!E$77,IF(BF30&lt;Bewertung_Stammdaten!F$78,Bewertung_Stammdaten!E$78,IF(BF30&lt;Bewertung_Stammdaten!F$79,Bewertung_Stammdaten!E$79,IF(BF30&lt;Bewertung_Stammdaten!F$80,Bewertung_Stammdaten!E$80,IF(BF30&lt;Bewertung_Stammdaten!F$81,Bewertung_Stammdaten!E$81,IF(BF30&lt;Bewertung_Stammdaten!F$82,Bewertung_Stammdaten!E$82,IF(BF30&lt;Bewertung_Stammdaten!F$83,Bewertung_Stammdaten!E$83,IF(BF30&lt;Bewertung_Stammdaten!F$84,Bewertung_Stammdaten!E$84,IF(BF30&lt;Bewertung_Stammdaten!F$85,Bewertung_Stammdaten!E$85,Bewertung_Stammdaten!E$86)))))))))</f>
        <v>8</v>
      </c>
      <c r="BJ30" s="41">
        <f>IF(BG30&lt;Bewertung_Stammdaten!J$77,Bewertung_Stammdaten!I$77,IF(BG30&lt;Bewertung_Stammdaten!J$78,Bewertung_Stammdaten!I$78,IF(BG30&lt;Bewertung_Stammdaten!J$79,Bewertung_Stammdaten!I$79,IF(BG30&lt;Bewertung_Stammdaten!J$80,Bewertung_Stammdaten!I$80,IF(BG30&lt;Bewertung_Stammdaten!J$81,Bewertung_Stammdaten!I$81,IF(BG30&lt;Bewertung_Stammdaten!J$82,Bewertung_Stammdaten!I$82,IF(BG30&lt;Bewertung_Stammdaten!J$83,Bewertung_Stammdaten!I$83,IF(BG30&lt;Bewertung_Stammdaten!J$84,Bewertung_Stammdaten!I$84,IF(BG30&lt;Bewertung_Stammdaten!J$85,Bewertung_Stammdaten!I$85,Bewertung_Stammdaten!I$86)))))))))</f>
        <v>2.5</v>
      </c>
      <c r="BK30" s="43"/>
      <c r="BL30" s="12">
        <f ca="1">VLOOKUP(A30,Ausschüttungsquote!A$3:X$103,23,FALSE)</f>
        <v>0.71837570954075813</v>
      </c>
      <c r="BM30" s="12">
        <f>VLOOKUP(A30,Ausschüttungsquote!A$3:X$103,19,FALSE)</f>
        <v>0.53435848898136107</v>
      </c>
      <c r="BN30" s="12">
        <f ca="1">VLOOKUP(A30,Ausschüttungsquote!A$3:X$103,24,FALSE)</f>
        <v>0.344370351278944</v>
      </c>
      <c r="BO30" s="32">
        <f ca="1">IF(BL30&lt;Bewertung_Stammdaten!B$90,Bewertung_Stammdaten!A$90,IF(BL30&lt;Bewertung_Stammdaten!B$91,Bewertung_Stammdaten!A$91,IF(BL30&lt;Bewertung_Stammdaten!B$92,Bewertung_Stammdaten!A$92,IF(BL30&lt;Bewertung_Stammdaten!B$93,Bewertung_Stammdaten!A$93,IF(BL30&lt;Bewertung_Stammdaten!B$94,Bewertung_Stammdaten!A$94,IF(BL30&lt;Bewertung_Stammdaten!B$95,Bewertung_Stammdaten!A$95,IF(BL30&lt;Bewertung_Stammdaten!B$96,Bewertung_Stammdaten!A$96,IF(BL30&lt;Bewertung_Stammdaten!B$97,Bewertung_Stammdaten!A$97,IF(BL30&lt;Bewertung_Stammdaten!B$98,Bewertung_Stammdaten!A$98,Bewertung_Stammdaten!A$99)))))))))</f>
        <v>3</v>
      </c>
      <c r="BP30" s="41">
        <f>IF(BM30&lt;Bewertung_Stammdaten!F$90,Bewertung_Stammdaten!E$90,IF(BM30&lt;Bewertung_Stammdaten!F$91,Bewertung_Stammdaten!E$91,IF(BM30&lt;Bewertung_Stammdaten!F$92,Bewertung_Stammdaten!E$92,IF(BM30&lt;Bewertung_Stammdaten!F$93,Bewertung_Stammdaten!E$93,IF(BM30&lt;Bewertung_Stammdaten!F$94,Bewertung_Stammdaten!E$94,IF(BM30&lt;Bewertung_Stammdaten!F$95,Bewertung_Stammdaten!E$95,IF(BM30&lt;Bewertung_Stammdaten!F$96,Bewertung_Stammdaten!E$96,IF(BM30&lt;Bewertung_Stammdaten!F$97,Bewertung_Stammdaten!E$97,IF(BM30&lt;Bewertung_Stammdaten!F$98,Bewertung_Stammdaten!E$98,Bewertung_Stammdaten!E$99)))))))))</f>
        <v>7</v>
      </c>
      <c r="BQ30" s="32">
        <f ca="1">IF(BN30&lt;Bewertung_Stammdaten!J$90,Bewertung_Stammdaten!I$90,IF(BN30&lt;Bewertung_Stammdaten!J$91,Bewertung_Stammdaten!I$91,IF(BN30&lt;Bewertung_Stammdaten!J$92,Bewertung_Stammdaten!I$92,IF(BN30&lt;Bewertung_Stammdaten!J$93,Bewertung_Stammdaten!I$93,IF(BN30&lt;Bewertung_Stammdaten!J$94,Bewertung_Stammdaten!I$94,IF(BN30&lt;Bewertung_Stammdaten!J$95,Bewertung_Stammdaten!I$95,IF(BN30&lt;Bewertung_Stammdaten!J$96,Bewertung_Stammdaten!I$96,IF(BN30&lt;Bewertung_Stammdaten!J$97,Bewertung_Stammdaten!I$97,IF(BN30&lt;Bewertung_Stammdaten!J$98,Bewertung_Stammdaten!I$98,Bewertung_Stammdaten!I$99)))))))))</f>
        <v>1</v>
      </c>
    </row>
    <row r="31" spans="1:69" x14ac:dyDescent="0.25">
      <c r="A31" s="38" t="s">
        <v>54</v>
      </c>
      <c r="B31" s="38" t="s">
        <v>55</v>
      </c>
      <c r="C31" s="38" t="s">
        <v>296</v>
      </c>
      <c r="D31" s="32">
        <f t="shared" ca="1" si="0"/>
        <v>100.5</v>
      </c>
      <c r="E31" s="43"/>
      <c r="F31" s="66">
        <v>1</v>
      </c>
      <c r="G31" s="11">
        <f ca="1">VLOOKUP(A31,KGV!A$3:R$103,17,FALSE)</f>
        <v>29.000593920414666</v>
      </c>
      <c r="H31" s="11">
        <f>VLOOKUP(A31,KGV!A$3:R$103,16,FALSE)</f>
        <v>20.389473684210525</v>
      </c>
      <c r="I31" s="12">
        <f ca="1">VLOOKUP(A31,KGV!A$3:R$103,18,FALSE)</f>
        <v>0.42233165846122533</v>
      </c>
      <c r="J31" s="16">
        <f t="shared" ca="1" si="1"/>
        <v>63.092895170367782</v>
      </c>
      <c r="K31" s="12">
        <f t="shared" ca="1" si="2"/>
        <v>2.094385669171368</v>
      </c>
      <c r="L31" s="11">
        <f ca="1">VLOOKUP(A31,KBV!A$3:R$103,17,FALSE)</f>
        <v>3.5523809523809522</v>
      </c>
      <c r="M31" s="11">
        <f>VLOOKUP(A31,KBV!A$3:R$103,16,FALSE)</f>
        <v>2.408235294117647</v>
      </c>
      <c r="N31" s="12">
        <f ca="1">VLOOKUP(A31,KBV!A$3:R$103,18,FALSE)</f>
        <v>0.47509712238583757</v>
      </c>
      <c r="O31" s="16">
        <f t="shared" ca="1" si="9"/>
        <v>3.8262606629953568</v>
      </c>
      <c r="P31" s="12">
        <f t="shared" ca="1" si="10"/>
        <v>0.58882343114120839</v>
      </c>
      <c r="Q31" s="32">
        <f ca="1">IF(F31=1,IF(I31&lt;Bewertung_Stammdaten!B$12,Bewertung_Stammdaten!A$12,IF(I31&lt;Bewertung_Stammdaten!B$13,Bewertung_Stammdaten!A$13,IF(I31&lt;Bewertung_Stammdaten!B$14,Bewertung_Stammdaten!A$14,IF(I31&lt;Bewertung_Stammdaten!B$15,Bewertung_Stammdaten!A$15,IF(I31&lt;Bewertung_Stammdaten!B$16,Bewertung_Stammdaten!A$16,IF(I31&lt;Bewertung_Stammdaten!B$17,Bewertung_Stammdaten!A$17,IF(I31&lt;Bewertung_Stammdaten!B$18,Bewertung_Stammdaten!A$18,IF(I31&lt;Bewertung_Stammdaten!B$19,Bewertung_Stammdaten!A$19,IF(I31&lt;Bewertung_Stammdaten!B$20,Bewertung_Stammdaten!A$20,Bewertung_Stammdaten!A$21))))))))),IF(N31&lt;Bewertung_Stammdaten!C$12,Bewertung_Stammdaten!A$12,IF(N31&lt;Bewertung_Stammdaten!C$13,Bewertung_Stammdaten!A$13,IF(N31&lt;Bewertung_Stammdaten!C$14,Bewertung_Stammdaten!A$14,IF(N31&lt;Bewertung_Stammdaten!C$15,Bewertung_Stammdaten!A$15,IF(N31&lt;Bewertung_Stammdaten!C$16,Bewertung_Stammdaten!A$16,IF(N31&lt;Bewertung_Stammdaten!C$17,Bewertung_Stammdaten!A$17,IF(N31&lt;Bewertung_Stammdaten!C$18,Bewertung_Stammdaten!A$18,IF(N31&lt;Bewertung_Stammdaten!C$19,Bewertung_Stammdaten!A$19,IF(N31&lt;Bewertung_Stammdaten!C$20,Bewertung_Stammdaten!A$20,Bewertung_Stammdaten!A$21))))))))))</f>
        <v>6</v>
      </c>
      <c r="R31" s="32">
        <f ca="1">IF(F31=1,IF(K31&lt;Bewertung_Stammdaten!F$12,Bewertung_Stammdaten!E$12,IF(K31&lt;Bewertung_Stammdaten!F$13,Bewertung_Stammdaten!E$13,IF(K31&lt;Bewertung_Stammdaten!F$14,Bewertung_Stammdaten!E$14,IF(K31&lt;Bewertung_Stammdaten!F$15,Bewertung_Stammdaten!E$15,IF(K31&lt;Bewertung_Stammdaten!F$16,Bewertung_Stammdaten!E$16,IF(K31&lt;Bewertung_Stammdaten!F$17,Bewertung_Stammdaten!E$17,IF(K31&lt;Bewertung_Stammdaten!F$18,Bewertung_Stammdaten!E$18,IF(K31&lt;Bewertung_Stammdaten!F$19,Bewertung_Stammdaten!E$19,IF(K31&lt;Bewertung_Stammdaten!F$20,Bewertung_Stammdaten!E$20,Bewertung_Stammdaten!E$21))))))))),IF(P31&lt;Bewertung_Stammdaten!G$12,Bewertung_Stammdaten!E$12,IF(P31&lt;Bewertung_Stammdaten!G$13,Bewertung_Stammdaten!E$13,IF(P31&lt;Bewertung_Stammdaten!G$14,Bewertung_Stammdaten!E$14,IF(P31&lt;Bewertung_Stammdaten!G$15,Bewertung_Stammdaten!E$15,IF(P31&lt;Bewertung_Stammdaten!G$16,Bewertung_Stammdaten!E$16,IF(P31&lt;Bewertung_Stammdaten!G$17,Bewertung_Stammdaten!E$17,IF(P31&lt;Bewertung_Stammdaten!G$18,Bewertung_Stammdaten!E$18,IF(P31&lt;Bewertung_Stammdaten!G$19,Bewertung_Stammdaten!E$19,IF(P31&lt;Bewertung_Stammdaten!G$20,Bewertung_Stammdaten!E$20,Bewertung_Stammdaten!E$21))))))))))</f>
        <v>2.5</v>
      </c>
      <c r="S31" s="43"/>
      <c r="T31" s="11">
        <f ca="1">VLOOKUP(A31,Buchwert_je_Aktie!A$3:AK$103,23,FALSE)</f>
        <v>16.8</v>
      </c>
      <c r="U31" s="11">
        <f>VLOOKUP(A31,Buchwert_je_Aktie!A$3:AK$103,19,FALSE)</f>
        <v>17.38111111111111</v>
      </c>
      <c r="V31" s="12">
        <f ca="1">VLOOKUP(A31,Buchwert_je_Aktie!A$3:AK$103,24,FALSE)</f>
        <v>-3.3433484625711052E-2</v>
      </c>
      <c r="W31" s="12">
        <f>VLOOKUP(A31,Buchwert_je_Aktie!A$3:AK$103,37,FALSE)</f>
        <v>-7.1578947368421075E-2</v>
      </c>
      <c r="X31" s="16">
        <f t="shared" ca="1" si="3"/>
        <v>15.597473684210527</v>
      </c>
      <c r="Y31" s="12">
        <f t="shared" ca="1" si="4"/>
        <v>-0.1026192983577654</v>
      </c>
      <c r="Z31" s="51">
        <f ca="1">IF(V31&lt;Bewertung_Stammdaten!B$25,Bewertung_Stammdaten!A$25,IF(V31&lt;Bewertung_Stammdaten!B$26,Bewertung_Stammdaten!A$26,IF(V31&lt;Bewertung_Stammdaten!B$27,Bewertung_Stammdaten!A$27,IF(V31&lt;Bewertung_Stammdaten!B$28,Bewertung_Stammdaten!A$28,IF(V31&lt;Bewertung_Stammdaten!B$29,Bewertung_Stammdaten!A$29,IF(V31&lt;Bewertung_Stammdaten!B$30,Bewertung_Stammdaten!A$30,IF(V31&lt;Bewertung_Stammdaten!B$31,Bewertung_Stammdaten!A$31,IF(V31&lt;Bewertung_Stammdaten!B$32,Bewertung_Stammdaten!A$32,IF(V31&lt;Bewertung_Stammdaten!B$33,Bewertung_Stammdaten!A$33,Bewertung_Stammdaten!A$34)))))))))</f>
        <v>3</v>
      </c>
      <c r="AA31" s="51">
        <f>IF(W31&lt;Bewertung_Stammdaten!F$25,Bewertung_Stammdaten!E$25,IF(W31&lt;Bewertung_Stammdaten!F$26,Bewertung_Stammdaten!E$26,IF(W31&lt;Bewertung_Stammdaten!F$27,Bewertung_Stammdaten!E$27,IF(W31&lt;Bewertung_Stammdaten!F$28,Bewertung_Stammdaten!E$28,IF(W31&lt;Bewertung_Stammdaten!F$29,Bewertung_Stammdaten!E$29,IF(W31&lt;Bewertung_Stammdaten!F$30,Bewertung_Stammdaten!E$30,IF(W31&lt;Bewertung_Stammdaten!F$31,Bewertung_Stammdaten!E$31,IF(W31&lt;Bewertung_Stammdaten!F$32,Bewertung_Stammdaten!E$32,IF(W31&lt;Bewertung_Stammdaten!F$33,Bewertung_Stammdaten!E$33,Bewertung_Stammdaten!E$34)))))))))</f>
        <v>9</v>
      </c>
      <c r="AB31" s="51">
        <f ca="1">IF(Y31&lt;Bewertung_Stammdaten!J$25,Bewertung_Stammdaten!I$25,IF(Y31&lt;Bewertung_Stammdaten!J$26,Bewertung_Stammdaten!I$26,IF(Y31&lt;Bewertung_Stammdaten!J$27,Bewertung_Stammdaten!I$27,IF(Y31&lt;Bewertung_Stammdaten!J$28,Bewertung_Stammdaten!I$28,IF(Y31&lt;Bewertung_Stammdaten!J$29,Bewertung_Stammdaten!I$29,IF(Y31&lt;Bewertung_Stammdaten!J$30,Bewertung_Stammdaten!I$30,IF(Y31&lt;Bewertung_Stammdaten!J$31,Bewertung_Stammdaten!I$31,IF(Y31&lt;Bewertung_Stammdaten!J$32,Bewertung_Stammdaten!I$32,IF(Y31&lt;Bewertung_Stammdaten!J$33,Bewertung_Stammdaten!I$33,Bewertung_Stammdaten!I$34)))))))))</f>
        <v>1</v>
      </c>
      <c r="AC31" s="43"/>
      <c r="AD31" s="14">
        <f ca="1">VLOOKUP(A31,Ergebnis_je_Aktie_verwässert!A$3:AK$103,23,FALSE)</f>
        <v>2.0578888888888889</v>
      </c>
      <c r="AE31" s="14">
        <f>VLOOKUP(A31,Ergebnis_je_Aktie_verwässert!A$3:AK$103,19,FALSE)</f>
        <v>2.1384615384615384</v>
      </c>
      <c r="AF31" s="12">
        <f ca="1">VLOOKUP(A31,Ergebnis_je_Aktie_verwässert!A$3:AK$103,24,FALSE)</f>
        <v>-3.7677857713828922E-2</v>
      </c>
      <c r="AG31" s="40">
        <f>VLOOKUP(A31,Ergebnis_je_Aktie_verwässert!A$3:AK$103,37,FALSE)</f>
        <v>-0.54035087719298247</v>
      </c>
      <c r="AH31" s="16">
        <f t="shared" ca="1" si="5"/>
        <v>0.9459068226120857</v>
      </c>
      <c r="AI31" s="12">
        <f t="shared" ca="1" si="6"/>
        <v>-0.55766947144039158</v>
      </c>
      <c r="AJ31" s="32">
        <f ca="1">IF(AF31&lt;Bewertung_Stammdaten!B$38,Bewertung_Stammdaten!A$38,IF(AF31&lt;Bewertung_Stammdaten!B$39,Bewertung_Stammdaten!A$39,IF(AF31&lt;Bewertung_Stammdaten!B$40,Bewertung_Stammdaten!A$40,IF(AF31&lt;Bewertung_Stammdaten!B$41,Bewertung_Stammdaten!A$41,IF(AF31&lt;Bewertung_Stammdaten!B$42,Bewertung_Stammdaten!A$42,IF(AF31&lt;Bewertung_Stammdaten!B$43,Bewertung_Stammdaten!A$43,IF(AF31&lt;Bewertung_Stammdaten!B$44,Bewertung_Stammdaten!A$44,IF(AF31&lt;Bewertung_Stammdaten!B$45,Bewertung_Stammdaten!A$45,IF(AF31&lt;Bewertung_Stammdaten!B$46,Bewertung_Stammdaten!A$46,Bewertung_Stammdaten!A$47)))))))))</f>
        <v>6</v>
      </c>
      <c r="AK31" s="32">
        <f>IF(AG31&lt;Bewertung_Stammdaten!F$38,Bewertung_Stammdaten!E$38,IF(AG31&lt;Bewertung_Stammdaten!F$39,Bewertung_Stammdaten!E$39,IF(AG31&lt;Bewertung_Stammdaten!F$40,Bewertung_Stammdaten!E$40,IF(AG31&lt;Bewertung_Stammdaten!F$41,Bewertung_Stammdaten!E$41,IF(AG31&lt;Bewertung_Stammdaten!F$42,Bewertung_Stammdaten!E$42,IF(AG31&lt;Bewertung_Stammdaten!F$43,Bewertung_Stammdaten!E$43,IF(AG31&lt;Bewertung_Stammdaten!F$44,Bewertung_Stammdaten!E$44,IF(AG31&lt;Bewertung_Stammdaten!F$45,Bewertung_Stammdaten!E$45,IF(AG31&lt;Bewertung_Stammdaten!F$46,Bewertung_Stammdaten!E$46,Bewertung_Stammdaten!E$47)))))))))</f>
        <v>3</v>
      </c>
      <c r="AL31" s="32">
        <f ca="1">IF(AI31&lt;Bewertung_Stammdaten!J$38,Bewertung_Stammdaten!I$38,IF(AI31&lt;Bewertung_Stammdaten!J$39,Bewertung_Stammdaten!I$39,IF(AI31&lt;Bewertung_Stammdaten!J$40,Bewertung_Stammdaten!I$40,IF(AI31&lt;Bewertung_Stammdaten!J$41,Bewertung_Stammdaten!I$41,IF(AI31&lt;Bewertung_Stammdaten!J$42,Bewertung_Stammdaten!I$42,IF(AI31&lt;Bewertung_Stammdaten!J$43,Bewertung_Stammdaten!I$43,IF(AI31&lt;Bewertung_Stammdaten!J$44,Bewertung_Stammdaten!I$44,IF(AI31&lt;Bewertung_Stammdaten!J$45,Bewertung_Stammdaten!I$45,IF(AI31&lt;Bewertung_Stammdaten!J$46,Bewertung_Stammdaten!I$46,Bewertung_Stammdaten!I$47)))))))))</f>
        <v>1</v>
      </c>
      <c r="AM31" s="43"/>
      <c r="AN31" s="14">
        <f ca="1">VLOOKUP(A31,Dividende_je_Aktie!A$3:AM$103,24,FALSE)</f>
        <v>1.8069444444444447</v>
      </c>
      <c r="AO31" s="14">
        <f>VLOOKUP(A31,Dividende_je_Aktie!A$3:AM$103,20,FALSE)</f>
        <v>1.6299999999999997</v>
      </c>
      <c r="AP31" s="12">
        <f ca="1">VLOOKUP(A31,Dividende_je_Aktie!A$3:AM$103,25,FALSE)</f>
        <v>0.10855487389229768</v>
      </c>
      <c r="AQ31" s="40">
        <f>VLOOKUP(A31,Dividende_je_Aktie!A$3:AM$103,39,FALSE)</f>
        <v>0</v>
      </c>
      <c r="AR31" s="16">
        <f t="shared" ca="1" si="7"/>
        <v>1.8069444444444447</v>
      </c>
      <c r="AS31" s="12">
        <f t="shared" ca="1" si="8"/>
        <v>0.10855487389229768</v>
      </c>
      <c r="AT31" s="32">
        <f ca="1">IF(AP31&lt;Bewertung_Stammdaten!B$51,Bewertung_Stammdaten!A$51,IF(AP31&lt;Bewertung_Stammdaten!B$52,Bewertung_Stammdaten!A$52,IF(AP31&lt;Bewertung_Stammdaten!B$53,Bewertung_Stammdaten!A$53,IF(AP31&lt;Bewertung_Stammdaten!B$54,Bewertung_Stammdaten!A$54,IF(AP31&lt;Bewertung_Stammdaten!B$55,Bewertung_Stammdaten!A$55,IF(AP31&lt;Bewertung_Stammdaten!B$56,Bewertung_Stammdaten!A$56,IF(AP31&lt;Bewertung_Stammdaten!B$57,Bewertung_Stammdaten!A$57,IF(AP31&lt;Bewertung_Stammdaten!B$58,Bewertung_Stammdaten!A$58,IF(AP31&lt;Bewertung_Stammdaten!B$59,Bewertung_Stammdaten!A$59,Bewertung_Stammdaten!A$60)))))))))</f>
        <v>8</v>
      </c>
      <c r="AU31" s="32">
        <f>IF(AQ31&lt;Bewertung_Stammdaten!F$51,Bewertung_Stammdaten!E$51,IF(AQ31&lt;Bewertung_Stammdaten!F$52,Bewertung_Stammdaten!E$52,IF(AQ31&lt;Bewertung_Stammdaten!F$53,Bewertung_Stammdaten!E$53,IF(AQ31&lt;Bewertung_Stammdaten!F$54,Bewertung_Stammdaten!E$54,IF(AQ31&lt;Bewertung_Stammdaten!F$55,Bewertung_Stammdaten!E$55,IF(AQ31&lt;Bewertung_Stammdaten!F$56,Bewertung_Stammdaten!E$56,IF(AQ31&lt;Bewertung_Stammdaten!F$57,Bewertung_Stammdaten!E$57,IF(AQ31&lt;Bewertung_Stammdaten!F$58,Bewertung_Stammdaten!E$58,IF(AQ31&lt;Bewertung_Stammdaten!F$59,Bewertung_Stammdaten!E$59,Bewertung_Stammdaten!E$60)))))))))</f>
        <v>12</v>
      </c>
      <c r="AV31" s="32">
        <f ca="1">IF(AS31&lt;Bewertung_Stammdaten!J$51,Bewertung_Stammdaten!I$51,IF(AS31&lt;Bewertung_Stammdaten!J$52,Bewertung_Stammdaten!I$52,IF(AS31&lt;Bewertung_Stammdaten!J$53,Bewertung_Stammdaten!I$53,IF(AS31&lt;Bewertung_Stammdaten!J$54,Bewertung_Stammdaten!I$54,IF(AS31&lt;Bewertung_Stammdaten!J$55,Bewertung_Stammdaten!I$55,IF(AS31&lt;Bewertung_Stammdaten!J$56,Bewertung_Stammdaten!I$56,IF(AS31&lt;Bewertung_Stammdaten!J$57,Bewertung_Stammdaten!I$57,IF(AS31&lt;Bewertung_Stammdaten!J$58,Bewertung_Stammdaten!I$58,IF(AS31&lt;Bewertung_Stammdaten!J$59,Bewertung_Stammdaten!I$59,Bewertung_Stammdaten!I$60)))))))))</f>
        <v>5</v>
      </c>
      <c r="AW31" s="43"/>
      <c r="AX31" s="12">
        <f ca="1">VLOOKUP(A31,Dividendenrendite!A$3:R$103,17,FALSE)</f>
        <v>3.0277219243372063E-2</v>
      </c>
      <c r="AY31" s="12">
        <f>VLOOKUP(A31,Dividendenrendite!A$3:R$103,16,FALSE)</f>
        <v>3.8219686706971949E-2</v>
      </c>
      <c r="AZ31" s="12">
        <f ca="1">VLOOKUP(A31,Dividendenrendite!A$3:R$103,18,FALSE)</f>
        <v>-0.20781089924923535</v>
      </c>
      <c r="BA31" s="32">
        <f ca="1">IF(AX31&lt;Bewertung_Stammdaten!B$64,Bewertung_Stammdaten!A$64,IF(AX31&lt;Bewertung_Stammdaten!B$65,Bewertung_Stammdaten!A$65,IF(AX31&lt;Bewertung_Stammdaten!B$66,Bewertung_Stammdaten!A$66,IF(AX31&lt;Bewertung_Stammdaten!B$67,Bewertung_Stammdaten!A$67,IF(AX31&lt;Bewertung_Stammdaten!B$68,Bewertung_Stammdaten!A$68,IF(AX31&lt;Bewertung_Stammdaten!B$69,Bewertung_Stammdaten!A$69,IF(AX31&lt;Bewertung_Stammdaten!B$70,Bewertung_Stammdaten!A$70,IF(AX31&lt;Bewertung_Stammdaten!B$71,Bewertung_Stammdaten!A$71,IF(AX31&lt;Bewertung_Stammdaten!B$72,Bewertung_Stammdaten!A$72,Bewertung_Stammdaten!A$73)))))))))</f>
        <v>10.5</v>
      </c>
      <c r="BB31" s="32">
        <f>IF(AY31&lt;Bewertung_Stammdaten!F$64,Bewertung_Stammdaten!E$64,IF(AY31&lt;Bewertung_Stammdaten!F$65,Bewertung_Stammdaten!E$65,IF(AY31&lt;Bewertung_Stammdaten!F$66,Bewertung_Stammdaten!E$66,IF(AY31&lt;Bewertung_Stammdaten!F$67,Bewertung_Stammdaten!E$67,IF(AY31&lt;Bewertung_Stammdaten!F$68,Bewertung_Stammdaten!E$68,IF(AY31&lt;Bewertung_Stammdaten!F$69,Bewertung_Stammdaten!E$69,IF(AY31&lt;Bewertung_Stammdaten!F$70,Bewertung_Stammdaten!E$70,IF(AY31&lt;Bewertung_Stammdaten!F$71,Bewertung_Stammdaten!E$71,IF(AY31&lt;Bewertung_Stammdaten!F$72,Bewertung_Stammdaten!E$72,Bewertung_Stammdaten!E$73)))))))))</f>
        <v>8</v>
      </c>
      <c r="BC31" s="32">
        <f ca="1">IF(AZ31&lt;Bewertung_Stammdaten!J$64,Bewertung_Stammdaten!I$64,IF(AZ31&lt;Bewertung_Stammdaten!J$65,Bewertung_Stammdaten!I$65,IF(AZ31&lt;Bewertung_Stammdaten!J$66,Bewertung_Stammdaten!I$66,IF(AZ31&lt;Bewertung_Stammdaten!J$67,Bewertung_Stammdaten!I$67,IF(AZ31&lt;Bewertung_Stammdaten!J$68,Bewertung_Stammdaten!I$68,IF(AZ31&lt;Bewertung_Stammdaten!J$69,Bewertung_Stammdaten!I$69,IF(AZ31&lt;Bewertung_Stammdaten!J$70,Bewertung_Stammdaten!I$70,IF(AZ31&lt;Bewertung_Stammdaten!J$71,Bewertung_Stammdaten!I$71,IF(AZ31&lt;Bewertung_Stammdaten!J$72,Bewertung_Stammdaten!I$72,Bewertung_Stammdaten!I$73)))))))))</f>
        <v>0.5</v>
      </c>
      <c r="BD31" s="43"/>
      <c r="BE31" s="12">
        <f>VLOOKUP(A31,Aktien_im_Umlauf_splitbereinigt!A$3:Z$103,26,FALSE)</f>
        <v>-3.0737704918032738E-2</v>
      </c>
      <c r="BF31" s="12">
        <f>VLOOKUP(A31,Aktien_im_Umlauf_splitbereinigt!A$3:Y$103,24,FALSE)</f>
        <v>-1.7943132235105862E-2</v>
      </c>
      <c r="BG31" s="12">
        <f>VLOOKUP(A31,Aktien_im_Umlauf_splitbereinigt!A$3:Y$103,25,FALSE)</f>
        <v>0.71306238594698668</v>
      </c>
      <c r="BH31" s="41">
        <f>IF(BE31&lt;Bewertung_Stammdaten!B$77,Bewertung_Stammdaten!A$77,IF(BE31&lt;Bewertung_Stammdaten!B$78,Bewertung_Stammdaten!A$78,IF(BE31&lt;Bewertung_Stammdaten!B$79,Bewertung_Stammdaten!A$79,IF(BE31&lt;Bewertung_Stammdaten!B$80,Bewertung_Stammdaten!A$80,IF(BE31&lt;Bewertung_Stammdaten!B$81,Bewertung_Stammdaten!A$81,IF(BE31&lt;Bewertung_Stammdaten!B$82,Bewertung_Stammdaten!A$82,IF(BE31&lt;Bewertung_Stammdaten!B$83,Bewertung_Stammdaten!A$83,IF(BE31&lt;Bewertung_Stammdaten!B$84,Bewertung_Stammdaten!A$84,IF(BE31&lt;Bewertung_Stammdaten!B$85,Bewertung_Stammdaten!A$85,Bewertung_Stammdaten!A$86)))))))))</f>
        <v>9</v>
      </c>
      <c r="BI31" s="41">
        <f>IF(BF31&lt;Bewertung_Stammdaten!F$77,Bewertung_Stammdaten!E$77,IF(BF31&lt;Bewertung_Stammdaten!F$78,Bewertung_Stammdaten!E$78,IF(BF31&lt;Bewertung_Stammdaten!F$79,Bewertung_Stammdaten!E$79,IF(BF31&lt;Bewertung_Stammdaten!F$80,Bewertung_Stammdaten!E$80,IF(BF31&lt;Bewertung_Stammdaten!F$81,Bewertung_Stammdaten!E$81,IF(BF31&lt;Bewertung_Stammdaten!F$82,Bewertung_Stammdaten!E$82,IF(BF31&lt;Bewertung_Stammdaten!F$83,Bewertung_Stammdaten!E$83,IF(BF31&lt;Bewertung_Stammdaten!F$84,Bewertung_Stammdaten!E$84,IF(BF31&lt;Bewertung_Stammdaten!F$85,Bewertung_Stammdaten!E$85,Bewertung_Stammdaten!E$86)))))))))</f>
        <v>6</v>
      </c>
      <c r="BJ31" s="41">
        <f>IF(BG31&lt;Bewertung_Stammdaten!J$77,Bewertung_Stammdaten!I$77,IF(BG31&lt;Bewertung_Stammdaten!J$78,Bewertung_Stammdaten!I$78,IF(BG31&lt;Bewertung_Stammdaten!J$79,Bewertung_Stammdaten!I$79,IF(BG31&lt;Bewertung_Stammdaten!J$80,Bewertung_Stammdaten!I$80,IF(BG31&lt;Bewertung_Stammdaten!J$81,Bewertung_Stammdaten!I$81,IF(BG31&lt;Bewertung_Stammdaten!J$82,Bewertung_Stammdaten!I$82,IF(BG31&lt;Bewertung_Stammdaten!J$83,Bewertung_Stammdaten!I$83,IF(BG31&lt;Bewertung_Stammdaten!J$84,Bewertung_Stammdaten!I$84,IF(BG31&lt;Bewertung_Stammdaten!J$85,Bewertung_Stammdaten!I$85,Bewertung_Stammdaten!I$86)))))))))</f>
        <v>4</v>
      </c>
      <c r="BK31" s="43"/>
      <c r="BL31" s="12">
        <f ca="1">VLOOKUP(A31,Ausschüttungsquote!A$3:X$103,23,FALSE)</f>
        <v>0.90465427830596368</v>
      </c>
      <c r="BM31" s="12">
        <f>VLOOKUP(A31,Ausschüttungsquote!A$3:X$103,19,FALSE)</f>
        <v>0.82982391936352484</v>
      </c>
      <c r="BN31" s="12">
        <f ca="1">VLOOKUP(A31,Ausschüttungsquote!A$3:X$103,24,FALSE)</f>
        <v>9.0176189425623887E-2</v>
      </c>
      <c r="BO31" s="32">
        <f ca="1">IF(BL31&lt;Bewertung_Stammdaten!B$90,Bewertung_Stammdaten!A$90,IF(BL31&lt;Bewertung_Stammdaten!B$91,Bewertung_Stammdaten!A$91,IF(BL31&lt;Bewertung_Stammdaten!B$92,Bewertung_Stammdaten!A$92,IF(BL31&lt;Bewertung_Stammdaten!B$93,Bewertung_Stammdaten!A$93,IF(BL31&lt;Bewertung_Stammdaten!B$94,Bewertung_Stammdaten!A$94,IF(BL31&lt;Bewertung_Stammdaten!B$95,Bewertung_Stammdaten!A$95,IF(BL31&lt;Bewertung_Stammdaten!B$96,Bewertung_Stammdaten!A$96,IF(BL31&lt;Bewertung_Stammdaten!B$97,Bewertung_Stammdaten!A$97,IF(BL31&lt;Bewertung_Stammdaten!B$98,Bewertung_Stammdaten!A$98,Bewertung_Stammdaten!A$99)))))))))</f>
        <v>1</v>
      </c>
      <c r="BP31" s="41">
        <f>IF(BM31&lt;Bewertung_Stammdaten!F$90,Bewertung_Stammdaten!E$90,IF(BM31&lt;Bewertung_Stammdaten!F$91,Bewertung_Stammdaten!E$91,IF(BM31&lt;Bewertung_Stammdaten!F$92,Bewertung_Stammdaten!E$92,IF(BM31&lt;Bewertung_Stammdaten!F$93,Bewertung_Stammdaten!E$93,IF(BM31&lt;Bewertung_Stammdaten!F$94,Bewertung_Stammdaten!E$94,IF(BM31&lt;Bewertung_Stammdaten!F$95,Bewertung_Stammdaten!E$95,IF(BM31&lt;Bewertung_Stammdaten!F$96,Bewertung_Stammdaten!E$96,IF(BM31&lt;Bewertung_Stammdaten!F$97,Bewertung_Stammdaten!E$97,IF(BM31&lt;Bewertung_Stammdaten!F$98,Bewertung_Stammdaten!E$98,Bewertung_Stammdaten!E$99)))))))))</f>
        <v>1</v>
      </c>
      <c r="BQ31" s="32">
        <f ca="1">IF(BN31&lt;Bewertung_Stammdaten!J$90,Bewertung_Stammdaten!I$90,IF(BN31&lt;Bewertung_Stammdaten!J$91,Bewertung_Stammdaten!I$91,IF(BN31&lt;Bewertung_Stammdaten!J$92,Bewertung_Stammdaten!I$92,IF(BN31&lt;Bewertung_Stammdaten!J$93,Bewertung_Stammdaten!I$93,IF(BN31&lt;Bewertung_Stammdaten!J$94,Bewertung_Stammdaten!I$94,IF(BN31&lt;Bewertung_Stammdaten!J$95,Bewertung_Stammdaten!I$95,IF(BN31&lt;Bewertung_Stammdaten!J$96,Bewertung_Stammdaten!I$96,IF(BN31&lt;Bewertung_Stammdaten!J$97,Bewertung_Stammdaten!I$97,IF(BN31&lt;Bewertung_Stammdaten!J$98,Bewertung_Stammdaten!I$98,Bewertung_Stammdaten!I$99)))))))))</f>
        <v>4</v>
      </c>
    </row>
    <row r="32" spans="1:69" x14ac:dyDescent="0.25">
      <c r="A32" s="38" t="s">
        <v>56</v>
      </c>
      <c r="B32" s="38" t="s">
        <v>57</v>
      </c>
      <c r="C32" s="38" t="s">
        <v>296</v>
      </c>
      <c r="D32" s="32">
        <f t="shared" ca="1" si="0"/>
        <v>180</v>
      </c>
      <c r="E32" s="43"/>
      <c r="F32" s="66">
        <v>1</v>
      </c>
      <c r="G32" s="11">
        <f ca="1">VLOOKUP(A32,KGV!A$3:R$103,17,FALSE)</f>
        <v>17.678748385934359</v>
      </c>
      <c r="H32" s="11">
        <f>VLOOKUP(A32,KGV!A$3:R$103,16,FALSE)</f>
        <v>15.759358288770052</v>
      </c>
      <c r="I32" s="12">
        <f ca="1">VLOOKUP(A32,KGV!A$3:R$103,18,FALSE)</f>
        <v>0.12179367090930615</v>
      </c>
      <c r="J32" s="16">
        <f t="shared" ca="1" si="1"/>
        <v>20.406950297343982</v>
      </c>
      <c r="K32" s="12">
        <f t="shared" ca="1" si="2"/>
        <v>0.29490997814839659</v>
      </c>
      <c r="L32" s="11">
        <f ca="1">VLOOKUP(A32,KBV!A$3:R$103,17,FALSE)</f>
        <v>3.8856841132598512</v>
      </c>
      <c r="M32" s="11">
        <f>VLOOKUP(A32,KBV!A$3:R$103,16,FALSE)</f>
        <v>3.8328125000000002</v>
      </c>
      <c r="N32" s="12">
        <f ca="1">VLOOKUP(A32,KBV!A$3:R$103,18,FALSE)</f>
        <v>1.3794469011946475E-2</v>
      </c>
      <c r="O32" s="16">
        <f t="shared" ca="1" si="9"/>
        <v>4.669843256598436</v>
      </c>
      <c r="P32" s="12">
        <f t="shared" ca="1" si="10"/>
        <v>0.21838552149327306</v>
      </c>
      <c r="Q32" s="32">
        <f ca="1">IF(F32=1,IF(I32&lt;Bewertung_Stammdaten!B$12,Bewertung_Stammdaten!A$12,IF(I32&lt;Bewertung_Stammdaten!B$13,Bewertung_Stammdaten!A$13,IF(I32&lt;Bewertung_Stammdaten!B$14,Bewertung_Stammdaten!A$14,IF(I32&lt;Bewertung_Stammdaten!B$15,Bewertung_Stammdaten!A$15,IF(I32&lt;Bewertung_Stammdaten!B$16,Bewertung_Stammdaten!A$16,IF(I32&lt;Bewertung_Stammdaten!B$17,Bewertung_Stammdaten!A$17,IF(I32&lt;Bewertung_Stammdaten!B$18,Bewertung_Stammdaten!A$18,IF(I32&lt;Bewertung_Stammdaten!B$19,Bewertung_Stammdaten!A$19,IF(I32&lt;Bewertung_Stammdaten!B$20,Bewertung_Stammdaten!A$20,Bewertung_Stammdaten!A$21))))))))),IF(N32&lt;Bewertung_Stammdaten!C$12,Bewertung_Stammdaten!A$12,IF(N32&lt;Bewertung_Stammdaten!C$13,Bewertung_Stammdaten!A$13,IF(N32&lt;Bewertung_Stammdaten!C$14,Bewertung_Stammdaten!A$14,IF(N32&lt;Bewertung_Stammdaten!C$15,Bewertung_Stammdaten!A$15,IF(N32&lt;Bewertung_Stammdaten!C$16,Bewertung_Stammdaten!A$16,IF(N32&lt;Bewertung_Stammdaten!C$17,Bewertung_Stammdaten!A$17,IF(N32&lt;Bewertung_Stammdaten!C$18,Bewertung_Stammdaten!A$18,IF(N32&lt;Bewertung_Stammdaten!C$19,Bewertung_Stammdaten!A$19,IF(N32&lt;Bewertung_Stammdaten!C$20,Bewertung_Stammdaten!A$20,Bewertung_Stammdaten!A$21))))))))))</f>
        <v>24</v>
      </c>
      <c r="R32" s="32">
        <f ca="1">IF(F32=1,IF(K32&lt;Bewertung_Stammdaten!F$12,Bewertung_Stammdaten!E$12,IF(K32&lt;Bewertung_Stammdaten!F$13,Bewertung_Stammdaten!E$13,IF(K32&lt;Bewertung_Stammdaten!F$14,Bewertung_Stammdaten!E$14,IF(K32&lt;Bewertung_Stammdaten!F$15,Bewertung_Stammdaten!E$15,IF(K32&lt;Bewertung_Stammdaten!F$16,Bewertung_Stammdaten!E$16,IF(K32&lt;Bewertung_Stammdaten!F$17,Bewertung_Stammdaten!E$17,IF(K32&lt;Bewertung_Stammdaten!F$18,Bewertung_Stammdaten!E$18,IF(K32&lt;Bewertung_Stammdaten!F$19,Bewertung_Stammdaten!E$19,IF(K32&lt;Bewertung_Stammdaten!F$20,Bewertung_Stammdaten!E$20,Bewertung_Stammdaten!E$21))))))))),IF(P32&lt;Bewertung_Stammdaten!G$12,Bewertung_Stammdaten!E$12,IF(P32&lt;Bewertung_Stammdaten!G$13,Bewertung_Stammdaten!E$13,IF(P32&lt;Bewertung_Stammdaten!G$14,Bewertung_Stammdaten!E$14,IF(P32&lt;Bewertung_Stammdaten!G$15,Bewertung_Stammdaten!E$15,IF(P32&lt;Bewertung_Stammdaten!G$16,Bewertung_Stammdaten!E$16,IF(P32&lt;Bewertung_Stammdaten!G$17,Bewertung_Stammdaten!E$17,IF(P32&lt;Bewertung_Stammdaten!G$18,Bewertung_Stammdaten!E$18,IF(P32&lt;Bewertung_Stammdaten!G$19,Bewertung_Stammdaten!E$19,IF(P32&lt;Bewertung_Stammdaten!G$20,Bewertung_Stammdaten!E$20,Bewertung_Stammdaten!E$21))))))))))</f>
        <v>10</v>
      </c>
      <c r="S32" s="43"/>
      <c r="T32" s="11">
        <f ca="1">VLOOKUP(A32,Buchwert_je_Aktie!A$3:AK$103,23,FALSE)</f>
        <v>12.625833333333333</v>
      </c>
      <c r="U32" s="11">
        <f>VLOOKUP(A32,Buchwert_je_Aktie!A$3:AK$103,19,FALSE)</f>
        <v>7.5815384615384609</v>
      </c>
      <c r="V32" s="12">
        <f ca="1">VLOOKUP(A32,Buchwert_je_Aktie!A$3:AK$103,24,FALSE)</f>
        <v>0.66533921807359309</v>
      </c>
      <c r="W32" s="12">
        <f>VLOOKUP(A32,Buchwert_je_Aktie!A$3:AK$103,37,FALSE)</f>
        <v>-0.16791979949874691</v>
      </c>
      <c r="X32" s="16">
        <f t="shared" ca="1" si="3"/>
        <v>10.505705931495404</v>
      </c>
      <c r="Y32" s="12">
        <f t="shared" ca="1" si="4"/>
        <v>0.38569579047727554</v>
      </c>
      <c r="Z32" s="51">
        <f ca="1">IF(V32&lt;Bewertung_Stammdaten!B$25,Bewertung_Stammdaten!A$25,IF(V32&lt;Bewertung_Stammdaten!B$26,Bewertung_Stammdaten!A$26,IF(V32&lt;Bewertung_Stammdaten!B$27,Bewertung_Stammdaten!A$27,IF(V32&lt;Bewertung_Stammdaten!B$28,Bewertung_Stammdaten!A$28,IF(V32&lt;Bewertung_Stammdaten!B$29,Bewertung_Stammdaten!A$29,IF(V32&lt;Bewertung_Stammdaten!B$30,Bewertung_Stammdaten!A$30,IF(V32&lt;Bewertung_Stammdaten!B$31,Bewertung_Stammdaten!A$31,IF(V32&lt;Bewertung_Stammdaten!B$32,Bewertung_Stammdaten!A$32,IF(V32&lt;Bewertung_Stammdaten!B$33,Bewertung_Stammdaten!A$33,Bewertung_Stammdaten!A$34)))))))))</f>
        <v>13.5</v>
      </c>
      <c r="AA32" s="51">
        <f>IF(W32&lt;Bewertung_Stammdaten!F$25,Bewertung_Stammdaten!E$25,IF(W32&lt;Bewertung_Stammdaten!F$26,Bewertung_Stammdaten!E$26,IF(W32&lt;Bewertung_Stammdaten!F$27,Bewertung_Stammdaten!E$27,IF(W32&lt;Bewertung_Stammdaten!F$28,Bewertung_Stammdaten!E$28,IF(W32&lt;Bewertung_Stammdaten!F$29,Bewertung_Stammdaten!E$29,IF(W32&lt;Bewertung_Stammdaten!F$30,Bewertung_Stammdaten!E$30,IF(W32&lt;Bewertung_Stammdaten!F$31,Bewertung_Stammdaten!E$31,IF(W32&lt;Bewertung_Stammdaten!F$32,Bewertung_Stammdaten!E$32,IF(W32&lt;Bewertung_Stammdaten!F$33,Bewertung_Stammdaten!E$33,Bewertung_Stammdaten!E$34)))))))))</f>
        <v>6</v>
      </c>
      <c r="AB32" s="51">
        <f ca="1">IF(Y32&lt;Bewertung_Stammdaten!J$25,Bewertung_Stammdaten!I$25,IF(Y32&lt;Bewertung_Stammdaten!J$26,Bewertung_Stammdaten!I$26,IF(Y32&lt;Bewertung_Stammdaten!J$27,Bewertung_Stammdaten!I$27,IF(Y32&lt;Bewertung_Stammdaten!J$28,Bewertung_Stammdaten!I$28,IF(Y32&lt;Bewertung_Stammdaten!J$29,Bewertung_Stammdaten!I$29,IF(Y32&lt;Bewertung_Stammdaten!J$30,Bewertung_Stammdaten!I$30,IF(Y32&lt;Bewertung_Stammdaten!J$31,Bewertung_Stammdaten!I$31,IF(Y32&lt;Bewertung_Stammdaten!J$32,Bewertung_Stammdaten!I$32,IF(Y32&lt;Bewertung_Stammdaten!J$33,Bewertung_Stammdaten!I$33,Bewertung_Stammdaten!I$34)))))))))</f>
        <v>6</v>
      </c>
      <c r="AC32" s="43"/>
      <c r="AD32" s="14">
        <f ca="1">VLOOKUP(A32,Ergebnis_je_Aktie_verwässert!A$3:AK$103,23,FALSE)</f>
        <v>2.7750833333333329</v>
      </c>
      <c r="AE32" s="14">
        <f>VLOOKUP(A32,Ergebnis_je_Aktie_verwässert!A$3:AK$103,19,FALSE)</f>
        <v>2.1969230769230772</v>
      </c>
      <c r="AF32" s="12">
        <f ca="1">VLOOKUP(A32,Ergebnis_je_Aktie_verwässert!A$3:AK$103,24,FALSE)</f>
        <v>0.26316818394024244</v>
      </c>
      <c r="AG32" s="40">
        <f>VLOOKUP(A32,Ergebnis_je_Aktie_verwässert!A$3:AK$103,37,FALSE)</f>
        <v>-0.13368983957219249</v>
      </c>
      <c r="AH32" s="16">
        <f t="shared" ca="1" si="5"/>
        <v>2.4040828877005342</v>
      </c>
      <c r="AI32" s="12">
        <f t="shared" ca="1" si="6"/>
        <v>9.4295432076573649E-2</v>
      </c>
      <c r="AJ32" s="32">
        <f ca="1">IF(AF32&lt;Bewertung_Stammdaten!B$38,Bewertung_Stammdaten!A$38,IF(AF32&lt;Bewertung_Stammdaten!B$39,Bewertung_Stammdaten!A$39,IF(AF32&lt;Bewertung_Stammdaten!B$40,Bewertung_Stammdaten!A$40,IF(AF32&lt;Bewertung_Stammdaten!B$41,Bewertung_Stammdaten!A$41,IF(AF32&lt;Bewertung_Stammdaten!B$42,Bewertung_Stammdaten!A$42,IF(AF32&lt;Bewertung_Stammdaten!B$43,Bewertung_Stammdaten!A$43,IF(AF32&lt;Bewertung_Stammdaten!B$44,Bewertung_Stammdaten!A$44,IF(AF32&lt;Bewertung_Stammdaten!B$45,Bewertung_Stammdaten!A$45,IF(AF32&lt;Bewertung_Stammdaten!B$46,Bewertung_Stammdaten!A$46,Bewertung_Stammdaten!A$47)))))))))</f>
        <v>12</v>
      </c>
      <c r="AK32" s="32">
        <f>IF(AG32&lt;Bewertung_Stammdaten!F$38,Bewertung_Stammdaten!E$38,IF(AG32&lt;Bewertung_Stammdaten!F$39,Bewertung_Stammdaten!E$39,IF(AG32&lt;Bewertung_Stammdaten!F$40,Bewertung_Stammdaten!E$40,IF(AG32&lt;Bewertung_Stammdaten!F$41,Bewertung_Stammdaten!E$41,IF(AG32&lt;Bewertung_Stammdaten!F$42,Bewertung_Stammdaten!E$42,IF(AG32&lt;Bewertung_Stammdaten!F$43,Bewertung_Stammdaten!E$43,IF(AG32&lt;Bewertung_Stammdaten!F$44,Bewertung_Stammdaten!E$44,IF(AG32&lt;Bewertung_Stammdaten!F$45,Bewertung_Stammdaten!E$45,IF(AG32&lt;Bewertung_Stammdaten!F$46,Bewertung_Stammdaten!E$46,Bewertung_Stammdaten!E$47)))))))))</f>
        <v>9</v>
      </c>
      <c r="AL32" s="32">
        <f ca="1">IF(AI32&lt;Bewertung_Stammdaten!J$38,Bewertung_Stammdaten!I$38,IF(AI32&lt;Bewertung_Stammdaten!J$39,Bewertung_Stammdaten!I$39,IF(AI32&lt;Bewertung_Stammdaten!J$40,Bewertung_Stammdaten!I$40,IF(AI32&lt;Bewertung_Stammdaten!J$41,Bewertung_Stammdaten!I$41,IF(AI32&lt;Bewertung_Stammdaten!J$42,Bewertung_Stammdaten!I$42,IF(AI32&lt;Bewertung_Stammdaten!J$43,Bewertung_Stammdaten!I$43,IF(AI32&lt;Bewertung_Stammdaten!J$44,Bewertung_Stammdaten!I$44,IF(AI32&lt;Bewertung_Stammdaten!J$45,Bewertung_Stammdaten!I$45,IF(AI32&lt;Bewertung_Stammdaten!J$46,Bewertung_Stammdaten!I$46,Bewertung_Stammdaten!I$47)))))))))</f>
        <v>5</v>
      </c>
      <c r="AM32" s="43"/>
      <c r="AN32" s="14">
        <f ca="1">VLOOKUP(A32,Dividende_je_Aktie!A$3:AM$103,24,FALSE)</f>
        <v>1.2573333333333334</v>
      </c>
      <c r="AO32" s="14">
        <f>VLOOKUP(A32,Dividende_je_Aktie!A$3:AM$103,20,FALSE)</f>
        <v>0.71785714285714275</v>
      </c>
      <c r="AP32" s="12">
        <f ca="1">VLOOKUP(A32,Dividende_je_Aktie!A$3:AM$103,25,FALSE)</f>
        <v>0.75150912106136025</v>
      </c>
      <c r="AQ32" s="40">
        <f>VLOOKUP(A32,Dividende_je_Aktie!A$3:AM$103,39,FALSE)</f>
        <v>0</v>
      </c>
      <c r="AR32" s="16">
        <f t="shared" ca="1" si="7"/>
        <v>1.2573333333333334</v>
      </c>
      <c r="AS32" s="12">
        <f t="shared" ca="1" si="8"/>
        <v>0.75150912106136025</v>
      </c>
      <c r="AT32" s="32">
        <f ca="1">IF(AP32&lt;Bewertung_Stammdaten!B$51,Bewertung_Stammdaten!A$51,IF(AP32&lt;Bewertung_Stammdaten!B$52,Bewertung_Stammdaten!A$52,IF(AP32&lt;Bewertung_Stammdaten!B$53,Bewertung_Stammdaten!A$53,IF(AP32&lt;Bewertung_Stammdaten!B$54,Bewertung_Stammdaten!A$54,IF(AP32&lt;Bewertung_Stammdaten!B$55,Bewertung_Stammdaten!A$55,IF(AP32&lt;Bewertung_Stammdaten!B$56,Bewertung_Stammdaten!A$56,IF(AP32&lt;Bewertung_Stammdaten!B$57,Bewertung_Stammdaten!A$57,IF(AP32&lt;Bewertung_Stammdaten!B$58,Bewertung_Stammdaten!A$58,IF(AP32&lt;Bewertung_Stammdaten!B$59,Bewertung_Stammdaten!A$59,Bewertung_Stammdaten!A$60)))))))))</f>
        <v>20</v>
      </c>
      <c r="AU32" s="32">
        <f>IF(AQ32&lt;Bewertung_Stammdaten!F$51,Bewertung_Stammdaten!E$51,IF(AQ32&lt;Bewertung_Stammdaten!F$52,Bewertung_Stammdaten!E$52,IF(AQ32&lt;Bewertung_Stammdaten!F$53,Bewertung_Stammdaten!E$53,IF(AQ32&lt;Bewertung_Stammdaten!F$54,Bewertung_Stammdaten!E$54,IF(AQ32&lt;Bewertung_Stammdaten!F$55,Bewertung_Stammdaten!E$55,IF(AQ32&lt;Bewertung_Stammdaten!F$56,Bewertung_Stammdaten!E$56,IF(AQ32&lt;Bewertung_Stammdaten!F$57,Bewertung_Stammdaten!E$57,IF(AQ32&lt;Bewertung_Stammdaten!F$58,Bewertung_Stammdaten!E$58,IF(AQ32&lt;Bewertung_Stammdaten!F$59,Bewertung_Stammdaten!E$59,Bewertung_Stammdaten!E$60)))))))))</f>
        <v>12</v>
      </c>
      <c r="AV32" s="32">
        <f ca="1">IF(AS32&lt;Bewertung_Stammdaten!J$51,Bewertung_Stammdaten!I$51,IF(AS32&lt;Bewertung_Stammdaten!J$52,Bewertung_Stammdaten!I$52,IF(AS32&lt;Bewertung_Stammdaten!J$53,Bewertung_Stammdaten!I$53,IF(AS32&lt;Bewertung_Stammdaten!J$54,Bewertung_Stammdaten!I$54,IF(AS32&lt;Bewertung_Stammdaten!J$55,Bewertung_Stammdaten!I$55,IF(AS32&lt;Bewertung_Stammdaten!J$56,Bewertung_Stammdaten!I$56,IF(AS32&lt;Bewertung_Stammdaten!J$57,Bewertung_Stammdaten!I$57,IF(AS32&lt;Bewertung_Stammdaten!J$58,Bewertung_Stammdaten!I$58,IF(AS32&lt;Bewertung_Stammdaten!J$59,Bewertung_Stammdaten!I$59,Bewertung_Stammdaten!I$60)))))))))</f>
        <v>10</v>
      </c>
      <c r="AW32" s="43"/>
      <c r="AX32" s="12">
        <f ca="1">VLOOKUP(A32,Dividendenrendite!A$3:R$103,17,FALSE)</f>
        <v>2.5628482130724283E-2</v>
      </c>
      <c r="AY32" s="12">
        <f>VLOOKUP(A32,Dividendenrendite!A$3:R$103,16,FALSE)</f>
        <v>2.0211895509166817E-2</v>
      </c>
      <c r="AZ32" s="12">
        <f ca="1">VLOOKUP(A32,Dividendenrendite!A$3:R$103,18,FALSE)</f>
        <v>0.26799003681276945</v>
      </c>
      <c r="BA32" s="32">
        <f ca="1">IF(AX32&lt;Bewertung_Stammdaten!B$64,Bewertung_Stammdaten!A$64,IF(AX32&lt;Bewertung_Stammdaten!B$65,Bewertung_Stammdaten!A$65,IF(AX32&lt;Bewertung_Stammdaten!B$66,Bewertung_Stammdaten!A$66,IF(AX32&lt;Bewertung_Stammdaten!B$67,Bewertung_Stammdaten!A$67,IF(AX32&lt;Bewertung_Stammdaten!B$68,Bewertung_Stammdaten!A$68,IF(AX32&lt;Bewertung_Stammdaten!B$69,Bewertung_Stammdaten!A$69,IF(AX32&lt;Bewertung_Stammdaten!B$70,Bewertung_Stammdaten!A$70,IF(AX32&lt;Bewertung_Stammdaten!B$71,Bewertung_Stammdaten!A$71,IF(AX32&lt;Bewertung_Stammdaten!B$72,Bewertung_Stammdaten!A$72,Bewertung_Stammdaten!A$73)))))))))</f>
        <v>9</v>
      </c>
      <c r="BB32" s="32">
        <f>IF(AY32&lt;Bewertung_Stammdaten!F$64,Bewertung_Stammdaten!E$64,IF(AY32&lt;Bewertung_Stammdaten!F$65,Bewertung_Stammdaten!E$65,IF(AY32&lt;Bewertung_Stammdaten!F$66,Bewertung_Stammdaten!E$66,IF(AY32&lt;Bewertung_Stammdaten!F$67,Bewertung_Stammdaten!E$67,IF(AY32&lt;Bewertung_Stammdaten!F$68,Bewertung_Stammdaten!E$68,IF(AY32&lt;Bewertung_Stammdaten!F$69,Bewertung_Stammdaten!E$69,IF(AY32&lt;Bewertung_Stammdaten!F$70,Bewertung_Stammdaten!E$70,IF(AY32&lt;Bewertung_Stammdaten!F$71,Bewertung_Stammdaten!E$71,IF(AY32&lt;Bewertung_Stammdaten!F$72,Bewertung_Stammdaten!E$72,Bewertung_Stammdaten!E$73)))))))))</f>
        <v>5</v>
      </c>
      <c r="BC32" s="32">
        <f ca="1">IF(AZ32&lt;Bewertung_Stammdaten!J$64,Bewertung_Stammdaten!I$64,IF(AZ32&lt;Bewertung_Stammdaten!J$65,Bewertung_Stammdaten!I$65,IF(AZ32&lt;Bewertung_Stammdaten!J$66,Bewertung_Stammdaten!I$66,IF(AZ32&lt;Bewertung_Stammdaten!J$67,Bewertung_Stammdaten!I$67,IF(AZ32&lt;Bewertung_Stammdaten!J$68,Bewertung_Stammdaten!I$68,IF(AZ32&lt;Bewertung_Stammdaten!J$69,Bewertung_Stammdaten!I$69,IF(AZ32&lt;Bewertung_Stammdaten!J$70,Bewertung_Stammdaten!I$70,IF(AZ32&lt;Bewertung_Stammdaten!J$71,Bewertung_Stammdaten!I$71,IF(AZ32&lt;Bewertung_Stammdaten!J$72,Bewertung_Stammdaten!I$72,Bewertung_Stammdaten!I$73)))))))))</f>
        <v>5</v>
      </c>
      <c r="BD32" s="43"/>
      <c r="BE32" s="12">
        <f>VLOOKUP(A32,Aktien_im_Umlauf_splitbereinigt!A$3:Z$103,26,FALSE)</f>
        <v>-1.0686839577329521E-2</v>
      </c>
      <c r="BF32" s="12">
        <f>VLOOKUP(A32,Aktien_im_Umlauf_splitbereinigt!A$3:Y$103,24,FALSE)</f>
        <v>-2.8477223482536045E-2</v>
      </c>
      <c r="BG32" s="12">
        <f>VLOOKUP(A32,Aktien_im_Umlauf_splitbereinigt!A$3:Y$103,25,FALSE)</f>
        <v>-0.6247232605424704</v>
      </c>
      <c r="BH32" s="41">
        <f>IF(BE32&lt;Bewertung_Stammdaten!B$77,Bewertung_Stammdaten!A$77,IF(BE32&lt;Bewertung_Stammdaten!B$78,Bewertung_Stammdaten!A$78,IF(BE32&lt;Bewertung_Stammdaten!B$79,Bewertung_Stammdaten!A$79,IF(BE32&lt;Bewertung_Stammdaten!B$80,Bewertung_Stammdaten!A$80,IF(BE32&lt;Bewertung_Stammdaten!B$81,Bewertung_Stammdaten!A$81,IF(BE32&lt;Bewertung_Stammdaten!B$82,Bewertung_Stammdaten!A$82,IF(BE32&lt;Bewertung_Stammdaten!B$83,Bewertung_Stammdaten!A$83,IF(BE32&lt;Bewertung_Stammdaten!B$84,Bewertung_Stammdaten!A$84,IF(BE32&lt;Bewertung_Stammdaten!B$85,Bewertung_Stammdaten!A$85,Bewertung_Stammdaten!A$86)))))))))</f>
        <v>5</v>
      </c>
      <c r="BI32" s="41">
        <f>IF(BF32&lt;Bewertung_Stammdaten!F$77,Bewertung_Stammdaten!E$77,IF(BF32&lt;Bewertung_Stammdaten!F$78,Bewertung_Stammdaten!E$78,IF(BF32&lt;Bewertung_Stammdaten!F$79,Bewertung_Stammdaten!E$79,IF(BF32&lt;Bewertung_Stammdaten!F$80,Bewertung_Stammdaten!E$80,IF(BF32&lt;Bewertung_Stammdaten!F$81,Bewertung_Stammdaten!E$81,IF(BF32&lt;Bewertung_Stammdaten!F$82,Bewertung_Stammdaten!E$82,IF(BF32&lt;Bewertung_Stammdaten!F$83,Bewertung_Stammdaten!E$83,IF(BF32&lt;Bewertung_Stammdaten!F$84,Bewertung_Stammdaten!E$84,IF(BF32&lt;Bewertung_Stammdaten!F$85,Bewertung_Stammdaten!E$85,Bewertung_Stammdaten!E$86)))))))))</f>
        <v>8</v>
      </c>
      <c r="BJ32" s="41">
        <f>IF(BG32&lt;Bewertung_Stammdaten!J$77,Bewertung_Stammdaten!I$77,IF(BG32&lt;Bewertung_Stammdaten!J$78,Bewertung_Stammdaten!I$78,IF(BG32&lt;Bewertung_Stammdaten!J$79,Bewertung_Stammdaten!I$79,IF(BG32&lt;Bewertung_Stammdaten!J$80,Bewertung_Stammdaten!I$80,IF(BG32&lt;Bewertung_Stammdaten!J$81,Bewertung_Stammdaten!I$81,IF(BG32&lt;Bewertung_Stammdaten!J$82,Bewertung_Stammdaten!I$82,IF(BG32&lt;Bewertung_Stammdaten!J$83,Bewertung_Stammdaten!I$83,IF(BG32&lt;Bewertung_Stammdaten!J$84,Bewertung_Stammdaten!I$84,IF(BG32&lt;Bewertung_Stammdaten!J$85,Bewertung_Stammdaten!I$85,Bewertung_Stammdaten!I$86)))))))))</f>
        <v>1.5</v>
      </c>
      <c r="BK32" s="43"/>
      <c r="BL32" s="12">
        <f ca="1">VLOOKUP(A32,Ausschüttungsquote!A$3:X$103,23,FALSE)</f>
        <v>0.45391683088931395</v>
      </c>
      <c r="BM32" s="12">
        <f>VLOOKUP(A32,Ausschüttungsquote!A$3:X$103,19,FALSE)</f>
        <v>0.33423333266886829</v>
      </c>
      <c r="BN32" s="12">
        <f ca="1">VLOOKUP(A32,Ausschüttungsquote!A$3:X$103,24,FALSE)</f>
        <v>0.35808366946757686</v>
      </c>
      <c r="BO32" s="32">
        <f ca="1">IF(BL32&lt;Bewertung_Stammdaten!B$90,Bewertung_Stammdaten!A$90,IF(BL32&lt;Bewertung_Stammdaten!B$91,Bewertung_Stammdaten!A$91,IF(BL32&lt;Bewertung_Stammdaten!B$92,Bewertung_Stammdaten!A$92,IF(BL32&lt;Bewertung_Stammdaten!B$93,Bewertung_Stammdaten!A$93,IF(BL32&lt;Bewertung_Stammdaten!B$94,Bewertung_Stammdaten!A$94,IF(BL32&lt;Bewertung_Stammdaten!B$95,Bewertung_Stammdaten!A$95,IF(BL32&lt;Bewertung_Stammdaten!B$96,Bewertung_Stammdaten!A$96,IF(BL32&lt;Bewertung_Stammdaten!B$97,Bewertung_Stammdaten!A$97,IF(BL32&lt;Bewertung_Stammdaten!B$98,Bewertung_Stammdaten!A$98,Bewertung_Stammdaten!A$99)))))))))</f>
        <v>8</v>
      </c>
      <c r="BP32" s="41">
        <f>IF(BM32&lt;Bewertung_Stammdaten!F$90,Bewertung_Stammdaten!E$90,IF(BM32&lt;Bewertung_Stammdaten!F$91,Bewertung_Stammdaten!E$91,IF(BM32&lt;Bewertung_Stammdaten!F$92,Bewertung_Stammdaten!E$92,IF(BM32&lt;Bewertung_Stammdaten!F$93,Bewertung_Stammdaten!E$93,IF(BM32&lt;Bewertung_Stammdaten!F$94,Bewertung_Stammdaten!E$94,IF(BM32&lt;Bewertung_Stammdaten!F$95,Bewertung_Stammdaten!E$95,IF(BM32&lt;Bewertung_Stammdaten!F$96,Bewertung_Stammdaten!E$96,IF(BM32&lt;Bewertung_Stammdaten!F$97,Bewertung_Stammdaten!E$97,IF(BM32&lt;Bewertung_Stammdaten!F$98,Bewertung_Stammdaten!E$98,Bewertung_Stammdaten!E$99)))))))))</f>
        <v>10</v>
      </c>
      <c r="BQ32" s="32">
        <f ca="1">IF(BN32&lt;Bewertung_Stammdaten!J$90,Bewertung_Stammdaten!I$90,IF(BN32&lt;Bewertung_Stammdaten!J$91,Bewertung_Stammdaten!I$91,IF(BN32&lt;Bewertung_Stammdaten!J$92,Bewertung_Stammdaten!I$92,IF(BN32&lt;Bewertung_Stammdaten!J$93,Bewertung_Stammdaten!I$93,IF(BN32&lt;Bewertung_Stammdaten!J$94,Bewertung_Stammdaten!I$94,IF(BN32&lt;Bewertung_Stammdaten!J$95,Bewertung_Stammdaten!I$95,IF(BN32&lt;Bewertung_Stammdaten!J$96,Bewertung_Stammdaten!I$96,IF(BN32&lt;Bewertung_Stammdaten!J$97,Bewertung_Stammdaten!I$97,IF(BN32&lt;Bewertung_Stammdaten!J$98,Bewertung_Stammdaten!I$98,Bewertung_Stammdaten!I$99)))))))))</f>
        <v>1</v>
      </c>
    </row>
    <row r="33" spans="1:69" x14ac:dyDescent="0.25">
      <c r="A33" s="38" t="s">
        <v>58</v>
      </c>
      <c r="B33" s="38" t="s">
        <v>59</v>
      </c>
      <c r="C33" s="38" t="s">
        <v>296</v>
      </c>
      <c r="D33" s="32">
        <f t="shared" ca="1" si="0"/>
        <v>142.5</v>
      </c>
      <c r="E33" s="43"/>
      <c r="F33" s="66">
        <v>1</v>
      </c>
      <c r="G33" s="11">
        <f ca="1">VLOOKUP(A33,KGV!A$3:R$103,17,FALSE)</f>
        <v>23.015165031222121</v>
      </c>
      <c r="H33" s="11">
        <f>VLOOKUP(A33,KGV!A$3:R$103,16,FALSE)</f>
        <v>19.95</v>
      </c>
      <c r="I33" s="12">
        <f ca="1">VLOOKUP(A33,KGV!A$3:R$103,18,FALSE)</f>
        <v>0.15364235745474297</v>
      </c>
      <c r="J33" s="16">
        <f t="shared" ca="1" si="1"/>
        <v>34.52274754683318</v>
      </c>
      <c r="K33" s="12">
        <f t="shared" ca="1" si="2"/>
        <v>0.73046353618211435</v>
      </c>
      <c r="L33" s="11">
        <f ca="1">VLOOKUP(A33,KBV!A$3:R$103,17,FALSE)</f>
        <v>2.3399395364460869</v>
      </c>
      <c r="M33" s="11">
        <f>VLOOKUP(A33,KBV!A$3:R$103,16,FALSE)</f>
        <v>1.0010485651214127</v>
      </c>
      <c r="N33" s="12">
        <f ca="1">VLOOKUP(A33,KBV!A$3:R$103,18,FALSE)</f>
        <v>1.3374885275044432</v>
      </c>
      <c r="O33" s="16">
        <f t="shared" ca="1" si="9"/>
        <v>2.6625930696490845</v>
      </c>
      <c r="P33" s="12">
        <f t="shared" ca="1" si="10"/>
        <v>1.6598040918485815</v>
      </c>
      <c r="Q33" s="32">
        <f ca="1">IF(F33=1,IF(I33&lt;Bewertung_Stammdaten!B$12,Bewertung_Stammdaten!A$12,IF(I33&lt;Bewertung_Stammdaten!B$13,Bewertung_Stammdaten!A$13,IF(I33&lt;Bewertung_Stammdaten!B$14,Bewertung_Stammdaten!A$14,IF(I33&lt;Bewertung_Stammdaten!B$15,Bewertung_Stammdaten!A$15,IF(I33&lt;Bewertung_Stammdaten!B$16,Bewertung_Stammdaten!A$16,IF(I33&lt;Bewertung_Stammdaten!B$17,Bewertung_Stammdaten!A$17,IF(I33&lt;Bewertung_Stammdaten!B$18,Bewertung_Stammdaten!A$18,IF(I33&lt;Bewertung_Stammdaten!B$19,Bewertung_Stammdaten!A$19,IF(I33&lt;Bewertung_Stammdaten!B$20,Bewertung_Stammdaten!A$20,Bewertung_Stammdaten!A$21))))))))),IF(N33&lt;Bewertung_Stammdaten!C$12,Bewertung_Stammdaten!A$12,IF(N33&lt;Bewertung_Stammdaten!C$13,Bewertung_Stammdaten!A$13,IF(N33&lt;Bewertung_Stammdaten!C$14,Bewertung_Stammdaten!A$14,IF(N33&lt;Bewertung_Stammdaten!C$15,Bewertung_Stammdaten!A$15,IF(N33&lt;Bewertung_Stammdaten!C$16,Bewertung_Stammdaten!A$16,IF(N33&lt;Bewertung_Stammdaten!C$17,Bewertung_Stammdaten!A$17,IF(N33&lt;Bewertung_Stammdaten!C$18,Bewertung_Stammdaten!A$18,IF(N33&lt;Bewertung_Stammdaten!C$19,Bewertung_Stammdaten!A$19,IF(N33&lt;Bewertung_Stammdaten!C$20,Bewertung_Stammdaten!A$20,Bewertung_Stammdaten!A$21))))))))))</f>
        <v>18</v>
      </c>
      <c r="R33" s="32">
        <f ca="1">IF(F33=1,IF(K33&lt;Bewertung_Stammdaten!F$12,Bewertung_Stammdaten!E$12,IF(K33&lt;Bewertung_Stammdaten!F$13,Bewertung_Stammdaten!E$13,IF(K33&lt;Bewertung_Stammdaten!F$14,Bewertung_Stammdaten!E$14,IF(K33&lt;Bewertung_Stammdaten!F$15,Bewertung_Stammdaten!E$15,IF(K33&lt;Bewertung_Stammdaten!F$16,Bewertung_Stammdaten!E$16,IF(K33&lt;Bewertung_Stammdaten!F$17,Bewertung_Stammdaten!E$17,IF(K33&lt;Bewertung_Stammdaten!F$18,Bewertung_Stammdaten!E$18,IF(K33&lt;Bewertung_Stammdaten!F$19,Bewertung_Stammdaten!E$19,IF(K33&lt;Bewertung_Stammdaten!F$20,Bewertung_Stammdaten!E$20,Bewertung_Stammdaten!E$21))))))))),IF(P33&lt;Bewertung_Stammdaten!G$12,Bewertung_Stammdaten!E$12,IF(P33&lt;Bewertung_Stammdaten!G$13,Bewertung_Stammdaten!E$13,IF(P33&lt;Bewertung_Stammdaten!G$14,Bewertung_Stammdaten!E$14,IF(P33&lt;Bewertung_Stammdaten!G$15,Bewertung_Stammdaten!E$15,IF(P33&lt;Bewertung_Stammdaten!G$16,Bewertung_Stammdaten!E$16,IF(P33&lt;Bewertung_Stammdaten!G$17,Bewertung_Stammdaten!E$17,IF(P33&lt;Bewertung_Stammdaten!G$18,Bewertung_Stammdaten!E$18,IF(P33&lt;Bewertung_Stammdaten!G$19,Bewertung_Stammdaten!E$19,IF(P33&lt;Bewertung_Stammdaten!G$20,Bewertung_Stammdaten!E$20,Bewertung_Stammdaten!E$21))))))))))</f>
        <v>2.5</v>
      </c>
      <c r="S33" s="43"/>
      <c r="T33" s="11">
        <f ca="1">VLOOKUP(A33,Buchwert_je_Aktie!A$3:AK$103,23,FALSE)</f>
        <v>16.538888888888888</v>
      </c>
      <c r="U33" s="11">
        <f>VLOOKUP(A33,Buchwert_je_Aktie!A$3:AK$103,19,FALSE)</f>
        <v>15.981249999999999</v>
      </c>
      <c r="V33" s="12">
        <f ca="1">VLOOKUP(A33,Buchwert_je_Aktie!A$3:AK$103,24,FALSE)</f>
        <v>3.4893321166297397E-2</v>
      </c>
      <c r="W33" s="12">
        <f>VLOOKUP(A33,Buchwert_je_Aktie!A$3:AK$103,37,FALSE)</f>
        <v>-0.12118018967334043</v>
      </c>
      <c r="X33" s="16">
        <f t="shared" ca="1" si="3"/>
        <v>14.53470319634703</v>
      </c>
      <c r="Y33" s="12">
        <f t="shared" ca="1" si="4"/>
        <v>-9.0515247784307862E-2</v>
      </c>
      <c r="Z33" s="51">
        <f ca="1">IF(V33&lt;Bewertung_Stammdaten!B$25,Bewertung_Stammdaten!A$25,IF(V33&lt;Bewertung_Stammdaten!B$26,Bewertung_Stammdaten!A$26,IF(V33&lt;Bewertung_Stammdaten!B$27,Bewertung_Stammdaten!A$27,IF(V33&lt;Bewertung_Stammdaten!B$28,Bewertung_Stammdaten!A$28,IF(V33&lt;Bewertung_Stammdaten!B$29,Bewertung_Stammdaten!A$29,IF(V33&lt;Bewertung_Stammdaten!B$30,Bewertung_Stammdaten!A$30,IF(V33&lt;Bewertung_Stammdaten!B$31,Bewertung_Stammdaten!A$31,IF(V33&lt;Bewertung_Stammdaten!B$32,Bewertung_Stammdaten!A$32,IF(V33&lt;Bewertung_Stammdaten!B$33,Bewertung_Stammdaten!A$33,Bewertung_Stammdaten!A$34)))))))))</f>
        <v>4.5</v>
      </c>
      <c r="AA33" s="51">
        <f>IF(W33&lt;Bewertung_Stammdaten!F$25,Bewertung_Stammdaten!E$25,IF(W33&lt;Bewertung_Stammdaten!F$26,Bewertung_Stammdaten!E$26,IF(W33&lt;Bewertung_Stammdaten!F$27,Bewertung_Stammdaten!E$27,IF(W33&lt;Bewertung_Stammdaten!F$28,Bewertung_Stammdaten!E$28,IF(W33&lt;Bewertung_Stammdaten!F$29,Bewertung_Stammdaten!E$29,IF(W33&lt;Bewertung_Stammdaten!F$30,Bewertung_Stammdaten!E$30,IF(W33&lt;Bewertung_Stammdaten!F$31,Bewertung_Stammdaten!E$31,IF(W33&lt;Bewertung_Stammdaten!F$32,Bewertung_Stammdaten!E$32,IF(W33&lt;Bewertung_Stammdaten!F$33,Bewertung_Stammdaten!E$33,Bewertung_Stammdaten!E$34)))))))))</f>
        <v>7.5</v>
      </c>
      <c r="AB33" s="51">
        <f ca="1">IF(Y33&lt;Bewertung_Stammdaten!J$25,Bewertung_Stammdaten!I$25,IF(Y33&lt;Bewertung_Stammdaten!J$26,Bewertung_Stammdaten!I$26,IF(Y33&lt;Bewertung_Stammdaten!J$27,Bewertung_Stammdaten!I$27,IF(Y33&lt;Bewertung_Stammdaten!J$28,Bewertung_Stammdaten!I$28,IF(Y33&lt;Bewertung_Stammdaten!J$29,Bewertung_Stammdaten!I$29,IF(Y33&lt;Bewertung_Stammdaten!J$30,Bewertung_Stammdaten!I$30,IF(Y33&lt;Bewertung_Stammdaten!J$31,Bewertung_Stammdaten!I$31,IF(Y33&lt;Bewertung_Stammdaten!J$32,Bewertung_Stammdaten!I$32,IF(Y33&lt;Bewertung_Stammdaten!J$33,Bewertung_Stammdaten!I$33,Bewertung_Stammdaten!I$34)))))))))</f>
        <v>2</v>
      </c>
      <c r="AC33" s="43"/>
      <c r="AD33" s="14">
        <f ca="1">VLOOKUP(A33,Ergebnis_je_Aktie_verwässert!A$3:AK$103,23,FALSE)</f>
        <v>1.6815000000000002</v>
      </c>
      <c r="AE33" s="14">
        <f>VLOOKUP(A33,Ergebnis_je_Aktie_verwässert!A$3:AK$103,19,FALSE)</f>
        <v>1.1010000000000002</v>
      </c>
      <c r="AF33" s="12">
        <f ca="1">VLOOKUP(A33,Ergebnis_je_Aktie_verwässert!A$3:AK$103,24,FALSE)</f>
        <v>0.52724795640326971</v>
      </c>
      <c r="AG33" s="40">
        <f>VLOOKUP(A33,Ergebnis_je_Aktie_verwässert!A$3:AK$103,37,FALSE)</f>
        <v>-0.33333333333333326</v>
      </c>
      <c r="AH33" s="16">
        <f t="shared" ca="1" si="5"/>
        <v>1.1210000000000002</v>
      </c>
      <c r="AI33" s="12">
        <f t="shared" ca="1" si="6"/>
        <v>1.8165304268846549E-2</v>
      </c>
      <c r="AJ33" s="32">
        <f ca="1">IF(AF33&lt;Bewertung_Stammdaten!B$38,Bewertung_Stammdaten!A$38,IF(AF33&lt;Bewertung_Stammdaten!B$39,Bewertung_Stammdaten!A$39,IF(AF33&lt;Bewertung_Stammdaten!B$40,Bewertung_Stammdaten!A$40,IF(AF33&lt;Bewertung_Stammdaten!B$41,Bewertung_Stammdaten!A$41,IF(AF33&lt;Bewertung_Stammdaten!B$42,Bewertung_Stammdaten!A$42,IF(AF33&lt;Bewertung_Stammdaten!B$43,Bewertung_Stammdaten!A$43,IF(AF33&lt;Bewertung_Stammdaten!B$44,Bewertung_Stammdaten!A$44,IF(AF33&lt;Bewertung_Stammdaten!B$45,Bewertung_Stammdaten!A$45,IF(AF33&lt;Bewertung_Stammdaten!B$46,Bewertung_Stammdaten!A$46,Bewertung_Stammdaten!A$47)))))))))</f>
        <v>18</v>
      </c>
      <c r="AK33" s="32">
        <f>IF(AG33&lt;Bewertung_Stammdaten!F$38,Bewertung_Stammdaten!E$38,IF(AG33&lt;Bewertung_Stammdaten!F$39,Bewertung_Stammdaten!E$39,IF(AG33&lt;Bewertung_Stammdaten!F$40,Bewertung_Stammdaten!E$40,IF(AG33&lt;Bewertung_Stammdaten!F$41,Bewertung_Stammdaten!E$41,IF(AG33&lt;Bewertung_Stammdaten!F$42,Bewertung_Stammdaten!E$42,IF(AG33&lt;Bewertung_Stammdaten!F$43,Bewertung_Stammdaten!E$43,IF(AG33&lt;Bewertung_Stammdaten!F$44,Bewertung_Stammdaten!E$44,IF(AG33&lt;Bewertung_Stammdaten!F$45,Bewertung_Stammdaten!E$45,IF(AG33&lt;Bewertung_Stammdaten!F$46,Bewertung_Stammdaten!E$46,Bewertung_Stammdaten!E$47)))))))))</f>
        <v>6</v>
      </c>
      <c r="AL33" s="32">
        <f ca="1">IF(AI33&lt;Bewertung_Stammdaten!J$38,Bewertung_Stammdaten!I$38,IF(AI33&lt;Bewertung_Stammdaten!J$39,Bewertung_Stammdaten!I$39,IF(AI33&lt;Bewertung_Stammdaten!J$40,Bewertung_Stammdaten!I$40,IF(AI33&lt;Bewertung_Stammdaten!J$41,Bewertung_Stammdaten!I$41,IF(AI33&lt;Bewertung_Stammdaten!J$42,Bewertung_Stammdaten!I$42,IF(AI33&lt;Bewertung_Stammdaten!J$43,Bewertung_Stammdaten!I$43,IF(AI33&lt;Bewertung_Stammdaten!J$44,Bewertung_Stammdaten!I$44,IF(AI33&lt;Bewertung_Stammdaten!J$45,Bewertung_Stammdaten!I$45,IF(AI33&lt;Bewertung_Stammdaten!J$46,Bewertung_Stammdaten!I$46,Bewertung_Stammdaten!I$47)))))))))</f>
        <v>4</v>
      </c>
      <c r="AM33" s="43"/>
      <c r="AN33" s="14">
        <f ca="1">VLOOKUP(A33,Dividende_je_Aktie!A$3:AM$103,24,FALSE)</f>
        <v>0.62694444444444453</v>
      </c>
      <c r="AO33" s="14">
        <f>VLOOKUP(A33,Dividende_je_Aktie!A$3:AM$103,20,FALSE)</f>
        <v>0.4089625256056757</v>
      </c>
      <c r="AP33" s="12">
        <f ca="1">VLOOKUP(A33,Dividende_je_Aktie!A$3:AM$103,25,FALSE)</f>
        <v>0.53301196366570869</v>
      </c>
      <c r="AQ33" s="40">
        <f>VLOOKUP(A33,Dividende_je_Aktie!A$3:AM$103,39,FALSE)</f>
        <v>-0.2960893854748603</v>
      </c>
      <c r="AR33" s="16">
        <f t="shared" ca="1" si="7"/>
        <v>0.44131284916201124</v>
      </c>
      <c r="AS33" s="12">
        <f t="shared" ca="1" si="8"/>
        <v>7.9103393418320067E-2</v>
      </c>
      <c r="AT33" s="32">
        <f ca="1">IF(AP33&lt;Bewertung_Stammdaten!B$51,Bewertung_Stammdaten!A$51,IF(AP33&lt;Bewertung_Stammdaten!B$52,Bewertung_Stammdaten!A$52,IF(AP33&lt;Bewertung_Stammdaten!B$53,Bewertung_Stammdaten!A$53,IF(AP33&lt;Bewertung_Stammdaten!B$54,Bewertung_Stammdaten!A$54,IF(AP33&lt;Bewertung_Stammdaten!B$55,Bewertung_Stammdaten!A$55,IF(AP33&lt;Bewertung_Stammdaten!B$56,Bewertung_Stammdaten!A$56,IF(AP33&lt;Bewertung_Stammdaten!B$57,Bewertung_Stammdaten!A$57,IF(AP33&lt;Bewertung_Stammdaten!B$58,Bewertung_Stammdaten!A$58,IF(AP33&lt;Bewertung_Stammdaten!B$59,Bewertung_Stammdaten!A$59,Bewertung_Stammdaten!A$60)))))))))</f>
        <v>16</v>
      </c>
      <c r="AU33" s="32">
        <f>IF(AQ33&lt;Bewertung_Stammdaten!F$51,Bewertung_Stammdaten!E$51,IF(AQ33&lt;Bewertung_Stammdaten!F$52,Bewertung_Stammdaten!E$52,IF(AQ33&lt;Bewertung_Stammdaten!F$53,Bewertung_Stammdaten!E$53,IF(AQ33&lt;Bewertung_Stammdaten!F$54,Bewertung_Stammdaten!E$54,IF(AQ33&lt;Bewertung_Stammdaten!F$55,Bewertung_Stammdaten!E$55,IF(AQ33&lt;Bewertung_Stammdaten!F$56,Bewertung_Stammdaten!E$56,IF(AQ33&lt;Bewertung_Stammdaten!F$57,Bewertung_Stammdaten!E$57,IF(AQ33&lt;Bewertung_Stammdaten!F$58,Bewertung_Stammdaten!E$58,IF(AQ33&lt;Bewertung_Stammdaten!F$59,Bewertung_Stammdaten!E$59,Bewertung_Stammdaten!E$60)))))))))</f>
        <v>7.5</v>
      </c>
      <c r="AV33" s="32">
        <f ca="1">IF(AS33&lt;Bewertung_Stammdaten!J$51,Bewertung_Stammdaten!I$51,IF(AS33&lt;Bewertung_Stammdaten!J$52,Bewertung_Stammdaten!I$52,IF(AS33&lt;Bewertung_Stammdaten!J$53,Bewertung_Stammdaten!I$53,IF(AS33&lt;Bewertung_Stammdaten!J$54,Bewertung_Stammdaten!I$54,IF(AS33&lt;Bewertung_Stammdaten!J$55,Bewertung_Stammdaten!I$55,IF(AS33&lt;Bewertung_Stammdaten!J$56,Bewertung_Stammdaten!I$56,IF(AS33&lt;Bewertung_Stammdaten!J$57,Bewertung_Stammdaten!I$57,IF(AS33&lt;Bewertung_Stammdaten!J$58,Bewertung_Stammdaten!I$58,IF(AS33&lt;Bewertung_Stammdaten!J$59,Bewertung_Stammdaten!I$59,Bewertung_Stammdaten!I$60)))))))))</f>
        <v>5</v>
      </c>
      <c r="AW33" s="43"/>
      <c r="AX33" s="12">
        <f ca="1">VLOOKUP(A33,Dividendenrendite!A$3:R$103,17,FALSE)</f>
        <v>1.6200114843525699E-2</v>
      </c>
      <c r="AY33" s="12">
        <f>VLOOKUP(A33,Dividendenrendite!A$3:R$103,16,FALSE)</f>
        <v>2.0897016260737002E-2</v>
      </c>
      <c r="AZ33" s="12">
        <f ca="1">VLOOKUP(A33,Dividendenrendite!A$3:R$103,18,FALSE)</f>
        <v>-0.2247642131588049</v>
      </c>
      <c r="BA33" s="32">
        <f ca="1">IF(AX33&lt;Bewertung_Stammdaten!B$64,Bewertung_Stammdaten!A$64,IF(AX33&lt;Bewertung_Stammdaten!B$65,Bewertung_Stammdaten!A$65,IF(AX33&lt;Bewertung_Stammdaten!B$66,Bewertung_Stammdaten!A$66,IF(AX33&lt;Bewertung_Stammdaten!B$67,Bewertung_Stammdaten!A$67,IF(AX33&lt;Bewertung_Stammdaten!B$68,Bewertung_Stammdaten!A$68,IF(AX33&lt;Bewertung_Stammdaten!B$69,Bewertung_Stammdaten!A$69,IF(AX33&lt;Bewertung_Stammdaten!B$70,Bewertung_Stammdaten!A$70,IF(AX33&lt;Bewertung_Stammdaten!B$71,Bewertung_Stammdaten!A$71,IF(AX33&lt;Bewertung_Stammdaten!B$72,Bewertung_Stammdaten!A$72,Bewertung_Stammdaten!A$73)))))))))</f>
        <v>6</v>
      </c>
      <c r="BB33" s="32">
        <f>IF(AY33&lt;Bewertung_Stammdaten!F$64,Bewertung_Stammdaten!E$64,IF(AY33&lt;Bewertung_Stammdaten!F$65,Bewertung_Stammdaten!E$65,IF(AY33&lt;Bewertung_Stammdaten!F$66,Bewertung_Stammdaten!E$66,IF(AY33&lt;Bewertung_Stammdaten!F$67,Bewertung_Stammdaten!E$67,IF(AY33&lt;Bewertung_Stammdaten!F$68,Bewertung_Stammdaten!E$68,IF(AY33&lt;Bewertung_Stammdaten!F$69,Bewertung_Stammdaten!E$69,IF(AY33&lt;Bewertung_Stammdaten!F$70,Bewertung_Stammdaten!E$70,IF(AY33&lt;Bewertung_Stammdaten!F$71,Bewertung_Stammdaten!E$71,IF(AY33&lt;Bewertung_Stammdaten!F$72,Bewertung_Stammdaten!E$72,Bewertung_Stammdaten!E$73)))))))))</f>
        <v>5</v>
      </c>
      <c r="BC33" s="32">
        <f ca="1">IF(AZ33&lt;Bewertung_Stammdaten!J$64,Bewertung_Stammdaten!I$64,IF(AZ33&lt;Bewertung_Stammdaten!J$65,Bewertung_Stammdaten!I$65,IF(AZ33&lt;Bewertung_Stammdaten!J$66,Bewertung_Stammdaten!I$66,IF(AZ33&lt;Bewertung_Stammdaten!J$67,Bewertung_Stammdaten!I$67,IF(AZ33&lt;Bewertung_Stammdaten!J$68,Bewertung_Stammdaten!I$68,IF(AZ33&lt;Bewertung_Stammdaten!J$69,Bewertung_Stammdaten!I$69,IF(AZ33&lt;Bewertung_Stammdaten!J$70,Bewertung_Stammdaten!I$70,IF(AZ33&lt;Bewertung_Stammdaten!J$71,Bewertung_Stammdaten!I$71,IF(AZ33&lt;Bewertung_Stammdaten!J$72,Bewertung_Stammdaten!I$72,Bewertung_Stammdaten!I$73)))))))))</f>
        <v>0.5</v>
      </c>
      <c r="BD33" s="43"/>
      <c r="BE33" s="12">
        <f>VLOOKUP(A33,Aktien_im_Umlauf_splitbereinigt!A$3:Z$103,26,FALSE)</f>
        <v>-2.404692082111437E-2</v>
      </c>
      <c r="BF33" s="12">
        <f>VLOOKUP(A33,Aktien_im_Umlauf_splitbereinigt!A$3:Y$103,24,FALSE)</f>
        <v>1.7575913838881031E-3</v>
      </c>
      <c r="BG33" s="12">
        <f>VLOOKUP(A33,Aktien_im_Umlauf_splitbereinigt!A$3:Y$103,25,FALSE)</f>
        <v>14.681747100920765</v>
      </c>
      <c r="BH33" s="41">
        <f>IF(BE33&lt;Bewertung_Stammdaten!B$77,Bewertung_Stammdaten!A$77,IF(BE33&lt;Bewertung_Stammdaten!B$78,Bewertung_Stammdaten!A$78,IF(BE33&lt;Bewertung_Stammdaten!B$79,Bewertung_Stammdaten!A$79,IF(BE33&lt;Bewertung_Stammdaten!B$80,Bewertung_Stammdaten!A$80,IF(BE33&lt;Bewertung_Stammdaten!B$81,Bewertung_Stammdaten!A$81,IF(BE33&lt;Bewertung_Stammdaten!B$82,Bewertung_Stammdaten!A$82,IF(BE33&lt;Bewertung_Stammdaten!B$83,Bewertung_Stammdaten!A$83,IF(BE33&lt;Bewertung_Stammdaten!B$84,Bewertung_Stammdaten!A$84,IF(BE33&lt;Bewertung_Stammdaten!B$85,Bewertung_Stammdaten!A$85,Bewertung_Stammdaten!A$86)))))))))</f>
        <v>7</v>
      </c>
      <c r="BI33" s="41">
        <f>IF(BF33&lt;Bewertung_Stammdaten!F$77,Bewertung_Stammdaten!E$77,IF(BF33&lt;Bewertung_Stammdaten!F$78,Bewertung_Stammdaten!E$78,IF(BF33&lt;Bewertung_Stammdaten!F$79,Bewertung_Stammdaten!E$79,IF(BF33&lt;Bewertung_Stammdaten!F$80,Bewertung_Stammdaten!E$80,IF(BF33&lt;Bewertung_Stammdaten!F$81,Bewertung_Stammdaten!E$81,IF(BF33&lt;Bewertung_Stammdaten!F$82,Bewertung_Stammdaten!E$82,IF(BF33&lt;Bewertung_Stammdaten!F$83,Bewertung_Stammdaten!E$83,IF(BF33&lt;Bewertung_Stammdaten!F$84,Bewertung_Stammdaten!E$84,IF(BF33&lt;Bewertung_Stammdaten!F$85,Bewertung_Stammdaten!E$85,Bewertung_Stammdaten!E$86)))))))))</f>
        <v>2</v>
      </c>
      <c r="BJ33" s="41">
        <f>IF(BG33&lt;Bewertung_Stammdaten!J$77,Bewertung_Stammdaten!I$77,IF(BG33&lt;Bewertung_Stammdaten!J$78,Bewertung_Stammdaten!I$78,IF(BG33&lt;Bewertung_Stammdaten!J$79,Bewertung_Stammdaten!I$79,IF(BG33&lt;Bewertung_Stammdaten!J$80,Bewertung_Stammdaten!I$80,IF(BG33&lt;Bewertung_Stammdaten!J$81,Bewertung_Stammdaten!I$81,IF(BG33&lt;Bewertung_Stammdaten!J$82,Bewertung_Stammdaten!I$82,IF(BG33&lt;Bewertung_Stammdaten!J$83,Bewertung_Stammdaten!I$83,IF(BG33&lt;Bewertung_Stammdaten!J$84,Bewertung_Stammdaten!I$84,IF(BG33&lt;Bewertung_Stammdaten!J$85,Bewertung_Stammdaten!I$85,Bewertung_Stammdaten!I$86)))))))))</f>
        <v>5</v>
      </c>
      <c r="BK33" s="43"/>
      <c r="BL33" s="12">
        <f ca="1">VLOOKUP(A33,Ausschüttungsquote!A$3:X$103,23,FALSE)</f>
        <v>0.37388471855909466</v>
      </c>
      <c r="BM33" s="12">
        <f>VLOOKUP(A33,Ausschüttungsquote!A$3:X$103,19,FALSE)</f>
        <v>0.37418846510275861</v>
      </c>
      <c r="BN33" s="12">
        <f ca="1">VLOOKUP(A33,Ausschüttungsquote!A$3:X$103,24,FALSE)</f>
        <v>-8.11747480191638E-4</v>
      </c>
      <c r="BO33" s="32">
        <f ca="1">IF(BL33&lt;Bewertung_Stammdaten!B$90,Bewertung_Stammdaten!A$90,IF(BL33&lt;Bewertung_Stammdaten!B$91,Bewertung_Stammdaten!A$91,IF(BL33&lt;Bewertung_Stammdaten!B$92,Bewertung_Stammdaten!A$92,IF(BL33&lt;Bewertung_Stammdaten!B$93,Bewertung_Stammdaten!A$93,IF(BL33&lt;Bewertung_Stammdaten!B$94,Bewertung_Stammdaten!A$94,IF(BL33&lt;Bewertung_Stammdaten!B$95,Bewertung_Stammdaten!A$95,IF(BL33&lt;Bewertung_Stammdaten!B$96,Bewertung_Stammdaten!A$96,IF(BL33&lt;Bewertung_Stammdaten!B$97,Bewertung_Stammdaten!A$97,IF(BL33&lt;Bewertung_Stammdaten!B$98,Bewertung_Stammdaten!A$98,Bewertung_Stammdaten!A$99)))))))))</f>
        <v>10</v>
      </c>
      <c r="BP33" s="41">
        <f>IF(BM33&lt;Bewertung_Stammdaten!F$90,Bewertung_Stammdaten!E$90,IF(BM33&lt;Bewertung_Stammdaten!F$91,Bewertung_Stammdaten!E$91,IF(BM33&lt;Bewertung_Stammdaten!F$92,Bewertung_Stammdaten!E$92,IF(BM33&lt;Bewertung_Stammdaten!F$93,Bewertung_Stammdaten!E$93,IF(BM33&lt;Bewertung_Stammdaten!F$94,Bewertung_Stammdaten!E$94,IF(BM33&lt;Bewertung_Stammdaten!F$95,Bewertung_Stammdaten!E$95,IF(BM33&lt;Bewertung_Stammdaten!F$96,Bewertung_Stammdaten!E$96,IF(BM33&lt;Bewertung_Stammdaten!F$97,Bewertung_Stammdaten!E$97,IF(BM33&lt;Bewertung_Stammdaten!F$98,Bewertung_Stammdaten!E$98,Bewertung_Stammdaten!E$99)))))))))</f>
        <v>10</v>
      </c>
      <c r="BQ33" s="32">
        <f ca="1">IF(BN33&lt;Bewertung_Stammdaten!J$90,Bewertung_Stammdaten!I$90,IF(BN33&lt;Bewertung_Stammdaten!J$91,Bewertung_Stammdaten!I$91,IF(BN33&lt;Bewertung_Stammdaten!J$92,Bewertung_Stammdaten!I$92,IF(BN33&lt;Bewertung_Stammdaten!J$93,Bewertung_Stammdaten!I$93,IF(BN33&lt;Bewertung_Stammdaten!J$94,Bewertung_Stammdaten!I$94,IF(BN33&lt;Bewertung_Stammdaten!J$95,Bewertung_Stammdaten!I$95,IF(BN33&lt;Bewertung_Stammdaten!J$96,Bewertung_Stammdaten!I$96,IF(BN33&lt;Bewertung_Stammdaten!J$97,Bewertung_Stammdaten!I$97,IF(BN33&lt;Bewertung_Stammdaten!J$98,Bewertung_Stammdaten!I$98,Bewertung_Stammdaten!I$99)))))))))</f>
        <v>6</v>
      </c>
    </row>
    <row r="34" spans="1:69" x14ac:dyDescent="0.25">
      <c r="A34" s="38" t="s">
        <v>60</v>
      </c>
      <c r="B34" s="38" t="s">
        <v>61</v>
      </c>
      <c r="C34" s="38" t="s">
        <v>296</v>
      </c>
      <c r="D34" s="32">
        <f t="shared" ca="1" si="0"/>
        <v>186</v>
      </c>
      <c r="E34" s="43"/>
      <c r="F34" s="66">
        <v>1</v>
      </c>
      <c r="G34" s="11">
        <f ca="1">VLOOKUP(A34,KGV!A$3:R$103,17,FALSE)</f>
        <v>17.935432443204462</v>
      </c>
      <c r="H34" s="11">
        <f>VLOOKUP(A34,KGV!A$3:R$103,16,FALSE)</f>
        <v>19.265193370165743</v>
      </c>
      <c r="I34" s="12">
        <f ca="1">VLOOKUP(A34,KGV!A$3:R$103,18,FALSE)</f>
        <v>-6.9024011408084895E-2</v>
      </c>
      <c r="J34" s="16">
        <f t="shared" ca="1" si="1"/>
        <v>33.521244915683454</v>
      </c>
      <c r="K34" s="12">
        <f t="shared" ca="1" si="2"/>
        <v>0.73999005728095946</v>
      </c>
      <c r="L34" s="11">
        <f ca="1">VLOOKUP(A34,KBV!A$3:R$103,17,FALSE)</f>
        <v>6.74838625546065</v>
      </c>
      <c r="M34" s="11">
        <f>VLOOKUP(A34,KBV!A$3:R$103,16,FALSE)</f>
        <v>4.080748976009362</v>
      </c>
      <c r="N34" s="12">
        <f ca="1">VLOOKUP(A34,KBV!A$3:R$103,18,FALSE)</f>
        <v>0.65371266283083607</v>
      </c>
      <c r="O34" s="16">
        <f t="shared" ca="1" si="9"/>
        <v>9.8710221629473693</v>
      </c>
      <c r="P34" s="12">
        <f t="shared" ca="1" si="10"/>
        <v>1.4189241291191648</v>
      </c>
      <c r="Q34" s="32">
        <f ca="1">IF(F34=1,IF(I34&lt;Bewertung_Stammdaten!B$12,Bewertung_Stammdaten!A$12,IF(I34&lt;Bewertung_Stammdaten!B$13,Bewertung_Stammdaten!A$13,IF(I34&lt;Bewertung_Stammdaten!B$14,Bewertung_Stammdaten!A$14,IF(I34&lt;Bewertung_Stammdaten!B$15,Bewertung_Stammdaten!A$15,IF(I34&lt;Bewertung_Stammdaten!B$16,Bewertung_Stammdaten!A$16,IF(I34&lt;Bewertung_Stammdaten!B$17,Bewertung_Stammdaten!A$17,IF(I34&lt;Bewertung_Stammdaten!B$18,Bewertung_Stammdaten!A$18,IF(I34&lt;Bewertung_Stammdaten!B$19,Bewertung_Stammdaten!A$19,IF(I34&lt;Bewertung_Stammdaten!B$20,Bewertung_Stammdaten!A$20,Bewertung_Stammdaten!A$21))))))))),IF(N34&lt;Bewertung_Stammdaten!C$12,Bewertung_Stammdaten!A$12,IF(N34&lt;Bewertung_Stammdaten!C$13,Bewertung_Stammdaten!A$13,IF(N34&lt;Bewertung_Stammdaten!C$14,Bewertung_Stammdaten!A$14,IF(N34&lt;Bewertung_Stammdaten!C$15,Bewertung_Stammdaten!A$15,IF(N34&lt;Bewertung_Stammdaten!C$16,Bewertung_Stammdaten!A$16,IF(N34&lt;Bewertung_Stammdaten!C$17,Bewertung_Stammdaten!A$17,IF(N34&lt;Bewertung_Stammdaten!C$18,Bewertung_Stammdaten!A$18,IF(N34&lt;Bewertung_Stammdaten!C$19,Bewertung_Stammdaten!A$19,IF(N34&lt;Bewertung_Stammdaten!C$20,Bewertung_Stammdaten!A$20,Bewertung_Stammdaten!A$21))))))))))</f>
        <v>48</v>
      </c>
      <c r="R34" s="32">
        <f ca="1">IF(F34=1,IF(K34&lt;Bewertung_Stammdaten!F$12,Bewertung_Stammdaten!E$12,IF(K34&lt;Bewertung_Stammdaten!F$13,Bewertung_Stammdaten!E$13,IF(K34&lt;Bewertung_Stammdaten!F$14,Bewertung_Stammdaten!E$14,IF(K34&lt;Bewertung_Stammdaten!F$15,Bewertung_Stammdaten!E$15,IF(K34&lt;Bewertung_Stammdaten!F$16,Bewertung_Stammdaten!E$16,IF(K34&lt;Bewertung_Stammdaten!F$17,Bewertung_Stammdaten!E$17,IF(K34&lt;Bewertung_Stammdaten!F$18,Bewertung_Stammdaten!E$18,IF(K34&lt;Bewertung_Stammdaten!F$19,Bewertung_Stammdaten!E$19,IF(K34&lt;Bewertung_Stammdaten!F$20,Bewertung_Stammdaten!E$20,Bewertung_Stammdaten!E$21))))))))),IF(P34&lt;Bewertung_Stammdaten!G$12,Bewertung_Stammdaten!E$12,IF(P34&lt;Bewertung_Stammdaten!G$13,Bewertung_Stammdaten!E$13,IF(P34&lt;Bewertung_Stammdaten!G$14,Bewertung_Stammdaten!E$14,IF(P34&lt;Bewertung_Stammdaten!G$15,Bewertung_Stammdaten!E$15,IF(P34&lt;Bewertung_Stammdaten!G$16,Bewertung_Stammdaten!E$16,IF(P34&lt;Bewertung_Stammdaten!G$17,Bewertung_Stammdaten!E$17,IF(P34&lt;Bewertung_Stammdaten!G$18,Bewertung_Stammdaten!E$18,IF(P34&lt;Bewertung_Stammdaten!G$19,Bewertung_Stammdaten!E$19,IF(P34&lt;Bewertung_Stammdaten!G$20,Bewertung_Stammdaten!E$20,Bewertung_Stammdaten!E$21))))))))))</f>
        <v>2.5</v>
      </c>
      <c r="S34" s="43"/>
      <c r="T34" s="11">
        <f ca="1">VLOOKUP(A34,Buchwert_je_Aktie!A$3:AK$103,23,FALSE)</f>
        <v>17.041111111111114</v>
      </c>
      <c r="U34" s="11">
        <f>VLOOKUP(A34,Buchwert_je_Aktie!A$3:AK$103,19,FALSE)</f>
        <v>17.569230769230767</v>
      </c>
      <c r="V34" s="12">
        <f ca="1">VLOOKUP(A34,Buchwert_je_Aktie!A$3:AK$103,24,FALSE)</f>
        <v>-3.0059350068106339E-2</v>
      </c>
      <c r="W34" s="12">
        <f>VLOOKUP(A34,Buchwert_je_Aktie!A$3:AK$103,37,FALSE)</f>
        <v>-0.31634372367312547</v>
      </c>
      <c r="X34" s="16">
        <f t="shared" ca="1" si="3"/>
        <v>11.650262566694751</v>
      </c>
      <c r="Y34" s="12">
        <f t="shared" ca="1" si="4"/>
        <v>-0.33689398700949302</v>
      </c>
      <c r="Z34" s="51">
        <f ca="1">IF(V34&lt;Bewertung_Stammdaten!B$25,Bewertung_Stammdaten!A$25,IF(V34&lt;Bewertung_Stammdaten!B$26,Bewertung_Stammdaten!A$26,IF(V34&lt;Bewertung_Stammdaten!B$27,Bewertung_Stammdaten!A$27,IF(V34&lt;Bewertung_Stammdaten!B$28,Bewertung_Stammdaten!A$28,IF(V34&lt;Bewertung_Stammdaten!B$29,Bewertung_Stammdaten!A$29,IF(V34&lt;Bewertung_Stammdaten!B$30,Bewertung_Stammdaten!A$30,IF(V34&lt;Bewertung_Stammdaten!B$31,Bewertung_Stammdaten!A$31,IF(V34&lt;Bewertung_Stammdaten!B$32,Bewertung_Stammdaten!A$32,IF(V34&lt;Bewertung_Stammdaten!B$33,Bewertung_Stammdaten!A$33,Bewertung_Stammdaten!A$34)))))))))</f>
        <v>3</v>
      </c>
      <c r="AA34" s="51">
        <f>IF(W34&lt;Bewertung_Stammdaten!F$25,Bewertung_Stammdaten!E$25,IF(W34&lt;Bewertung_Stammdaten!F$26,Bewertung_Stammdaten!E$26,IF(W34&lt;Bewertung_Stammdaten!F$27,Bewertung_Stammdaten!E$27,IF(W34&lt;Bewertung_Stammdaten!F$28,Bewertung_Stammdaten!E$28,IF(W34&lt;Bewertung_Stammdaten!F$29,Bewertung_Stammdaten!E$29,IF(W34&lt;Bewertung_Stammdaten!F$30,Bewertung_Stammdaten!E$30,IF(W34&lt;Bewertung_Stammdaten!F$31,Bewertung_Stammdaten!E$31,IF(W34&lt;Bewertung_Stammdaten!F$32,Bewertung_Stammdaten!E$32,IF(W34&lt;Bewertung_Stammdaten!F$33,Bewertung_Stammdaten!E$33,Bewertung_Stammdaten!E$34)))))))))</f>
        <v>1.5</v>
      </c>
      <c r="AB34" s="51">
        <f ca="1">IF(Y34&lt;Bewertung_Stammdaten!J$25,Bewertung_Stammdaten!I$25,IF(Y34&lt;Bewertung_Stammdaten!J$26,Bewertung_Stammdaten!I$26,IF(Y34&lt;Bewertung_Stammdaten!J$27,Bewertung_Stammdaten!I$27,IF(Y34&lt;Bewertung_Stammdaten!J$28,Bewertung_Stammdaten!I$28,IF(Y34&lt;Bewertung_Stammdaten!J$29,Bewertung_Stammdaten!I$29,IF(Y34&lt;Bewertung_Stammdaten!J$30,Bewertung_Stammdaten!I$30,IF(Y34&lt;Bewertung_Stammdaten!J$31,Bewertung_Stammdaten!I$31,IF(Y34&lt;Bewertung_Stammdaten!J$32,Bewertung_Stammdaten!I$32,IF(Y34&lt;Bewertung_Stammdaten!J$33,Bewertung_Stammdaten!I$33,Bewertung_Stammdaten!I$34)))))))))</f>
        <v>1</v>
      </c>
      <c r="AC34" s="43"/>
      <c r="AD34" s="14">
        <f ca="1">VLOOKUP(A34,Ergebnis_je_Aktie_verwässert!A$3:AK$103,23,FALSE)</f>
        <v>6.411888888888889</v>
      </c>
      <c r="AE34" s="14">
        <f>VLOOKUP(A34,Ergebnis_je_Aktie_verwässert!A$3:AK$103,19,FALSE)</f>
        <v>3.8769230769230765</v>
      </c>
      <c r="AF34" s="12">
        <f ca="1">VLOOKUP(A34,Ergebnis_je_Aktie_verwässert!A$3:AK$103,24,FALSE)</f>
        <v>0.65386022927689624</v>
      </c>
      <c r="AG34" s="40">
        <f>VLOOKUP(A34,Ergebnis_je_Aktie_verwässert!A$3:AK$103,37,FALSE)</f>
        <v>-0.46495327102803741</v>
      </c>
      <c r="AH34" s="16">
        <f t="shared" ca="1" si="5"/>
        <v>3.4306601765316715</v>
      </c>
      <c r="AI34" s="12">
        <f t="shared" ca="1" si="6"/>
        <v>-0.11510749414857668</v>
      </c>
      <c r="AJ34" s="32">
        <f ca="1">IF(AF34&lt;Bewertung_Stammdaten!B$38,Bewertung_Stammdaten!A$38,IF(AF34&lt;Bewertung_Stammdaten!B$39,Bewertung_Stammdaten!A$39,IF(AF34&lt;Bewertung_Stammdaten!B$40,Bewertung_Stammdaten!A$40,IF(AF34&lt;Bewertung_Stammdaten!B$41,Bewertung_Stammdaten!A$41,IF(AF34&lt;Bewertung_Stammdaten!B$42,Bewertung_Stammdaten!A$42,IF(AF34&lt;Bewertung_Stammdaten!B$43,Bewertung_Stammdaten!A$43,IF(AF34&lt;Bewertung_Stammdaten!B$44,Bewertung_Stammdaten!A$44,IF(AF34&lt;Bewertung_Stammdaten!B$45,Bewertung_Stammdaten!A$45,IF(AF34&lt;Bewertung_Stammdaten!B$46,Bewertung_Stammdaten!A$46,Bewertung_Stammdaten!A$47)))))))))</f>
        <v>20</v>
      </c>
      <c r="AK34" s="32">
        <f>IF(AG34&lt;Bewertung_Stammdaten!F$38,Bewertung_Stammdaten!E$38,IF(AG34&lt;Bewertung_Stammdaten!F$39,Bewertung_Stammdaten!E$39,IF(AG34&lt;Bewertung_Stammdaten!F$40,Bewertung_Stammdaten!E$40,IF(AG34&lt;Bewertung_Stammdaten!F$41,Bewertung_Stammdaten!E$41,IF(AG34&lt;Bewertung_Stammdaten!F$42,Bewertung_Stammdaten!E$42,IF(AG34&lt;Bewertung_Stammdaten!F$43,Bewertung_Stammdaten!E$43,IF(AG34&lt;Bewertung_Stammdaten!F$44,Bewertung_Stammdaten!E$44,IF(AG34&lt;Bewertung_Stammdaten!F$45,Bewertung_Stammdaten!E$45,IF(AG34&lt;Bewertung_Stammdaten!F$46,Bewertung_Stammdaten!E$46,Bewertung_Stammdaten!E$47)))))))))</f>
        <v>4.5</v>
      </c>
      <c r="AL34" s="32">
        <f ca="1">IF(AI34&lt;Bewertung_Stammdaten!J$38,Bewertung_Stammdaten!I$38,IF(AI34&lt;Bewertung_Stammdaten!J$39,Bewertung_Stammdaten!I$39,IF(AI34&lt;Bewertung_Stammdaten!J$40,Bewertung_Stammdaten!I$40,IF(AI34&lt;Bewertung_Stammdaten!J$41,Bewertung_Stammdaten!I$41,IF(AI34&lt;Bewertung_Stammdaten!J$42,Bewertung_Stammdaten!I$42,IF(AI34&lt;Bewertung_Stammdaten!J$43,Bewertung_Stammdaten!I$43,IF(AI34&lt;Bewertung_Stammdaten!J$44,Bewertung_Stammdaten!I$44,IF(AI34&lt;Bewertung_Stammdaten!J$45,Bewertung_Stammdaten!I$45,IF(AI34&lt;Bewertung_Stammdaten!J$46,Bewertung_Stammdaten!I$46,Bewertung_Stammdaten!I$47)))))))))</f>
        <v>3</v>
      </c>
      <c r="AM34" s="43"/>
      <c r="AN34" s="14">
        <f ca="1">VLOOKUP(A34,Dividende_je_Aktie!A$3:AM$103,24,FALSE)</f>
        <v>2.020833333333333</v>
      </c>
      <c r="AO34" s="14">
        <f>VLOOKUP(A34,Dividende_je_Aktie!A$3:AM$103,20,FALSE)</f>
        <v>1.1707142857142858</v>
      </c>
      <c r="AP34" s="12">
        <f ca="1">VLOOKUP(A34,Dividende_je_Aktie!A$3:AM$103,25,FALSE)</f>
        <v>0.72615415904006464</v>
      </c>
      <c r="AQ34" s="40">
        <f>VLOOKUP(A34,Dividende_je_Aktie!A$3:AM$103,39,FALSE)</f>
        <v>-4.8309178743960457E-3</v>
      </c>
      <c r="AR34" s="16">
        <f t="shared" ca="1" si="7"/>
        <v>2.0110708534621575</v>
      </c>
      <c r="AS34" s="12">
        <f t="shared" ca="1" si="8"/>
        <v>0.71781525005919478</v>
      </c>
      <c r="AT34" s="32">
        <f ca="1">IF(AP34&lt;Bewertung_Stammdaten!B$51,Bewertung_Stammdaten!A$51,IF(AP34&lt;Bewertung_Stammdaten!B$52,Bewertung_Stammdaten!A$52,IF(AP34&lt;Bewertung_Stammdaten!B$53,Bewertung_Stammdaten!A$53,IF(AP34&lt;Bewertung_Stammdaten!B$54,Bewertung_Stammdaten!A$54,IF(AP34&lt;Bewertung_Stammdaten!B$55,Bewertung_Stammdaten!A$55,IF(AP34&lt;Bewertung_Stammdaten!B$56,Bewertung_Stammdaten!A$56,IF(AP34&lt;Bewertung_Stammdaten!B$57,Bewertung_Stammdaten!A$57,IF(AP34&lt;Bewertung_Stammdaten!B$58,Bewertung_Stammdaten!A$58,IF(AP34&lt;Bewertung_Stammdaten!B$59,Bewertung_Stammdaten!A$59,Bewertung_Stammdaten!A$60)))))))))</f>
        <v>20</v>
      </c>
      <c r="AU34" s="32">
        <f>IF(AQ34&lt;Bewertung_Stammdaten!F$51,Bewertung_Stammdaten!E$51,IF(AQ34&lt;Bewertung_Stammdaten!F$52,Bewertung_Stammdaten!E$52,IF(AQ34&lt;Bewertung_Stammdaten!F$53,Bewertung_Stammdaten!E$53,IF(AQ34&lt;Bewertung_Stammdaten!F$54,Bewertung_Stammdaten!E$54,IF(AQ34&lt;Bewertung_Stammdaten!F$55,Bewertung_Stammdaten!E$55,IF(AQ34&lt;Bewertung_Stammdaten!F$56,Bewertung_Stammdaten!E$56,IF(AQ34&lt;Bewertung_Stammdaten!F$57,Bewertung_Stammdaten!E$57,IF(AQ34&lt;Bewertung_Stammdaten!F$58,Bewertung_Stammdaten!E$58,IF(AQ34&lt;Bewertung_Stammdaten!F$59,Bewertung_Stammdaten!E$59,Bewertung_Stammdaten!E$60)))))))))</f>
        <v>10.5</v>
      </c>
      <c r="AV34" s="32">
        <f ca="1">IF(AS34&lt;Bewertung_Stammdaten!J$51,Bewertung_Stammdaten!I$51,IF(AS34&lt;Bewertung_Stammdaten!J$52,Bewertung_Stammdaten!I$52,IF(AS34&lt;Bewertung_Stammdaten!J$53,Bewertung_Stammdaten!I$53,IF(AS34&lt;Bewertung_Stammdaten!J$54,Bewertung_Stammdaten!I$54,IF(AS34&lt;Bewertung_Stammdaten!J$55,Bewertung_Stammdaten!I$55,IF(AS34&lt;Bewertung_Stammdaten!J$56,Bewertung_Stammdaten!I$56,IF(AS34&lt;Bewertung_Stammdaten!J$57,Bewertung_Stammdaten!I$57,IF(AS34&lt;Bewertung_Stammdaten!J$58,Bewertung_Stammdaten!I$58,IF(AS34&lt;Bewertung_Stammdaten!J$59,Bewertung_Stammdaten!I$59,Bewertung_Stammdaten!I$60)))))))))</f>
        <v>10</v>
      </c>
      <c r="AW34" s="43"/>
      <c r="AX34" s="12">
        <f ca="1">VLOOKUP(A34,Dividendenrendite!A$3:R$103,17,FALSE)</f>
        <v>1.7572463768115939E-2</v>
      </c>
      <c r="AY34" s="12">
        <f>VLOOKUP(A34,Dividendenrendite!A$3:R$103,16,FALSE)</f>
        <v>1.4077536974321254E-2</v>
      </c>
      <c r="AZ34" s="12">
        <f ca="1">VLOOKUP(A34,Dividendenrendite!A$3:R$103,18,FALSE)</f>
        <v>0.24826266130003849</v>
      </c>
      <c r="BA34" s="32">
        <f ca="1">IF(AX34&lt;Bewertung_Stammdaten!B$64,Bewertung_Stammdaten!A$64,IF(AX34&lt;Bewertung_Stammdaten!B$65,Bewertung_Stammdaten!A$65,IF(AX34&lt;Bewertung_Stammdaten!B$66,Bewertung_Stammdaten!A$66,IF(AX34&lt;Bewertung_Stammdaten!B$67,Bewertung_Stammdaten!A$67,IF(AX34&lt;Bewertung_Stammdaten!B$68,Bewertung_Stammdaten!A$68,IF(AX34&lt;Bewertung_Stammdaten!B$69,Bewertung_Stammdaten!A$69,IF(AX34&lt;Bewertung_Stammdaten!B$70,Bewertung_Stammdaten!A$70,IF(AX34&lt;Bewertung_Stammdaten!B$71,Bewertung_Stammdaten!A$71,IF(AX34&lt;Bewertung_Stammdaten!B$72,Bewertung_Stammdaten!A$72,Bewertung_Stammdaten!A$73)))))))))</f>
        <v>6</v>
      </c>
      <c r="BB34" s="32">
        <f>IF(AY34&lt;Bewertung_Stammdaten!F$64,Bewertung_Stammdaten!E$64,IF(AY34&lt;Bewertung_Stammdaten!F$65,Bewertung_Stammdaten!E$65,IF(AY34&lt;Bewertung_Stammdaten!F$66,Bewertung_Stammdaten!E$66,IF(AY34&lt;Bewertung_Stammdaten!F$67,Bewertung_Stammdaten!E$67,IF(AY34&lt;Bewertung_Stammdaten!F$68,Bewertung_Stammdaten!E$68,IF(AY34&lt;Bewertung_Stammdaten!F$69,Bewertung_Stammdaten!E$69,IF(AY34&lt;Bewertung_Stammdaten!F$70,Bewertung_Stammdaten!E$70,IF(AY34&lt;Bewertung_Stammdaten!F$71,Bewertung_Stammdaten!E$71,IF(AY34&lt;Bewertung_Stammdaten!F$72,Bewertung_Stammdaten!E$72,Bewertung_Stammdaten!E$73)))))))))</f>
        <v>3</v>
      </c>
      <c r="BC34" s="32">
        <f ca="1">IF(AZ34&lt;Bewertung_Stammdaten!J$64,Bewertung_Stammdaten!I$64,IF(AZ34&lt;Bewertung_Stammdaten!J$65,Bewertung_Stammdaten!I$65,IF(AZ34&lt;Bewertung_Stammdaten!J$66,Bewertung_Stammdaten!I$66,IF(AZ34&lt;Bewertung_Stammdaten!J$67,Bewertung_Stammdaten!I$67,IF(AZ34&lt;Bewertung_Stammdaten!J$68,Bewertung_Stammdaten!I$68,IF(AZ34&lt;Bewertung_Stammdaten!J$69,Bewertung_Stammdaten!I$69,IF(AZ34&lt;Bewertung_Stammdaten!J$70,Bewertung_Stammdaten!I$70,IF(AZ34&lt;Bewertung_Stammdaten!J$71,Bewertung_Stammdaten!I$71,IF(AZ34&lt;Bewertung_Stammdaten!J$72,Bewertung_Stammdaten!I$72,Bewertung_Stammdaten!I$73)))))))))</f>
        <v>5</v>
      </c>
      <c r="BD34" s="43"/>
      <c r="BE34" s="12">
        <f>VLOOKUP(A34,Aktien_im_Umlauf_splitbereinigt!A$3:Z$103,26,FALSE)</f>
        <v>-8.2736328752622712E-2</v>
      </c>
      <c r="BF34" s="12">
        <f>VLOOKUP(A34,Aktien_im_Umlauf_splitbereinigt!A$3:Y$103,24,FALSE)</f>
        <v>-1.0700780386646347E-2</v>
      </c>
      <c r="BG34" s="12">
        <f>VLOOKUP(A34,Aktien_im_Umlauf_splitbereinigt!A$3:Y$103,25,FALSE)</f>
        <v>6.7318032669720544</v>
      </c>
      <c r="BH34" s="41">
        <f>IF(BE34&lt;Bewertung_Stammdaten!B$77,Bewertung_Stammdaten!A$77,IF(BE34&lt;Bewertung_Stammdaten!B$78,Bewertung_Stammdaten!A$78,IF(BE34&lt;Bewertung_Stammdaten!B$79,Bewertung_Stammdaten!A$79,IF(BE34&lt;Bewertung_Stammdaten!B$80,Bewertung_Stammdaten!A$80,IF(BE34&lt;Bewertung_Stammdaten!B$81,Bewertung_Stammdaten!A$81,IF(BE34&lt;Bewertung_Stammdaten!B$82,Bewertung_Stammdaten!A$82,IF(BE34&lt;Bewertung_Stammdaten!B$83,Bewertung_Stammdaten!A$83,IF(BE34&lt;Bewertung_Stammdaten!B$84,Bewertung_Stammdaten!A$84,IF(BE34&lt;Bewertung_Stammdaten!B$85,Bewertung_Stammdaten!A$85,Bewertung_Stammdaten!A$86)))))))))</f>
        <v>10</v>
      </c>
      <c r="BI34" s="41">
        <f>IF(BF34&lt;Bewertung_Stammdaten!F$77,Bewertung_Stammdaten!E$77,IF(BF34&lt;Bewertung_Stammdaten!F$78,Bewertung_Stammdaten!E$78,IF(BF34&lt;Bewertung_Stammdaten!F$79,Bewertung_Stammdaten!E$79,IF(BF34&lt;Bewertung_Stammdaten!F$80,Bewertung_Stammdaten!E$80,IF(BF34&lt;Bewertung_Stammdaten!F$81,Bewertung_Stammdaten!E$81,IF(BF34&lt;Bewertung_Stammdaten!F$82,Bewertung_Stammdaten!E$82,IF(BF34&lt;Bewertung_Stammdaten!F$83,Bewertung_Stammdaten!E$83,IF(BF34&lt;Bewertung_Stammdaten!F$84,Bewertung_Stammdaten!E$84,IF(BF34&lt;Bewertung_Stammdaten!F$85,Bewertung_Stammdaten!E$85,Bewertung_Stammdaten!E$86)))))))))</f>
        <v>5</v>
      </c>
      <c r="BJ34" s="41">
        <f>IF(BG34&lt;Bewertung_Stammdaten!J$77,Bewertung_Stammdaten!I$77,IF(BG34&lt;Bewertung_Stammdaten!J$78,Bewertung_Stammdaten!I$78,IF(BG34&lt;Bewertung_Stammdaten!J$79,Bewertung_Stammdaten!I$79,IF(BG34&lt;Bewertung_Stammdaten!J$80,Bewertung_Stammdaten!I$80,IF(BG34&lt;Bewertung_Stammdaten!J$81,Bewertung_Stammdaten!I$81,IF(BG34&lt;Bewertung_Stammdaten!J$82,Bewertung_Stammdaten!I$82,IF(BG34&lt;Bewertung_Stammdaten!J$83,Bewertung_Stammdaten!I$83,IF(BG34&lt;Bewertung_Stammdaten!J$84,Bewertung_Stammdaten!I$84,IF(BG34&lt;Bewertung_Stammdaten!J$85,Bewertung_Stammdaten!I$85,Bewertung_Stammdaten!I$86)))))))))</f>
        <v>5</v>
      </c>
      <c r="BK34" s="43"/>
      <c r="BL34" s="12">
        <f ca="1">VLOOKUP(A34,Ausschüttungsquote!A$3:X$103,23,FALSE)</f>
        <v>0.31594965191959135</v>
      </c>
      <c r="BM34" s="12">
        <f>VLOOKUP(A34,Ausschüttungsquote!A$3:X$103,19,FALSE)</f>
        <v>0.3544423166131665</v>
      </c>
      <c r="BN34" s="12">
        <f ca="1">VLOOKUP(A34,Ausschüttungsquote!A$3:X$103,24,FALSE)</f>
        <v>-0.10860064639399569</v>
      </c>
      <c r="BO34" s="32">
        <f ca="1">IF(BL34&lt;Bewertung_Stammdaten!B$90,Bewertung_Stammdaten!A$90,IF(BL34&lt;Bewertung_Stammdaten!B$91,Bewertung_Stammdaten!A$91,IF(BL34&lt;Bewertung_Stammdaten!B$92,Bewertung_Stammdaten!A$92,IF(BL34&lt;Bewertung_Stammdaten!B$93,Bewertung_Stammdaten!A$93,IF(BL34&lt;Bewertung_Stammdaten!B$94,Bewertung_Stammdaten!A$94,IF(BL34&lt;Bewertung_Stammdaten!B$95,Bewertung_Stammdaten!A$95,IF(BL34&lt;Bewertung_Stammdaten!B$96,Bewertung_Stammdaten!A$96,IF(BL34&lt;Bewertung_Stammdaten!B$97,Bewertung_Stammdaten!A$97,IF(BL34&lt;Bewertung_Stammdaten!B$98,Bewertung_Stammdaten!A$98,Bewertung_Stammdaten!A$99)))))))))</f>
        <v>10</v>
      </c>
      <c r="BP34" s="41">
        <f>IF(BM34&lt;Bewertung_Stammdaten!F$90,Bewertung_Stammdaten!E$90,IF(BM34&lt;Bewertung_Stammdaten!F$91,Bewertung_Stammdaten!E$91,IF(BM34&lt;Bewertung_Stammdaten!F$92,Bewertung_Stammdaten!E$92,IF(BM34&lt;Bewertung_Stammdaten!F$93,Bewertung_Stammdaten!E$93,IF(BM34&lt;Bewertung_Stammdaten!F$94,Bewertung_Stammdaten!E$94,IF(BM34&lt;Bewertung_Stammdaten!F$95,Bewertung_Stammdaten!E$95,IF(BM34&lt;Bewertung_Stammdaten!F$96,Bewertung_Stammdaten!E$96,IF(BM34&lt;Bewertung_Stammdaten!F$97,Bewertung_Stammdaten!E$97,IF(BM34&lt;Bewertung_Stammdaten!F$98,Bewertung_Stammdaten!E$98,Bewertung_Stammdaten!E$99)))))))))</f>
        <v>10</v>
      </c>
      <c r="BQ34" s="32">
        <f ca="1">IF(BN34&lt;Bewertung_Stammdaten!J$90,Bewertung_Stammdaten!I$90,IF(BN34&lt;Bewertung_Stammdaten!J$91,Bewertung_Stammdaten!I$91,IF(BN34&lt;Bewertung_Stammdaten!J$92,Bewertung_Stammdaten!I$92,IF(BN34&lt;Bewertung_Stammdaten!J$93,Bewertung_Stammdaten!I$93,IF(BN34&lt;Bewertung_Stammdaten!J$94,Bewertung_Stammdaten!I$94,IF(BN34&lt;Bewertung_Stammdaten!J$95,Bewertung_Stammdaten!I$95,IF(BN34&lt;Bewertung_Stammdaten!J$96,Bewertung_Stammdaten!I$96,IF(BN34&lt;Bewertung_Stammdaten!J$97,Bewertung_Stammdaten!I$97,IF(BN34&lt;Bewertung_Stammdaten!J$98,Bewertung_Stammdaten!I$98,Bewertung_Stammdaten!I$99)))))))))</f>
        <v>8</v>
      </c>
    </row>
    <row r="35" spans="1:69" x14ac:dyDescent="0.25">
      <c r="A35" s="38" t="s">
        <v>62</v>
      </c>
      <c r="B35" s="38" t="s">
        <v>63</v>
      </c>
      <c r="C35" s="38" t="s">
        <v>296</v>
      </c>
      <c r="D35" s="32">
        <f t="shared" ref="D35:D102" ca="1" si="11">SUM(Q35:R35,Z35:AB35,AJ35:AL35,BA35:BC35,BH35:BJ35,BO35:BQ35,AT35:AV35)</f>
        <v>226</v>
      </c>
      <c r="E35" s="43"/>
      <c r="F35" s="66">
        <v>1</v>
      </c>
      <c r="G35" s="11">
        <f ca="1">VLOOKUP(A35,KGV!A$3:R$103,17,FALSE)</f>
        <v>17.86024844720497</v>
      </c>
      <c r="H35" s="11">
        <f>VLOOKUP(A35,KGV!A$3:R$103,16,FALSE)</f>
        <v>17.555555555555554</v>
      </c>
      <c r="I35" s="12">
        <f ca="1">VLOOKUP(A35,KGV!A$3:R$103,18,FALSE)</f>
        <v>1.7355924207878237E-2</v>
      </c>
      <c r="J35" s="16">
        <f t="shared" ref="J35:J102" ca="1" si="12">IF(AG35&gt;0,G35,IF(G35/(1+AG35)&lt;0,99,G35/(1+AG35)))</f>
        <v>18.322151424287856</v>
      </c>
      <c r="K35" s="12">
        <f t="shared" ref="K35:K101" ca="1" si="13">(J35/H35)-1</f>
        <v>4.3666853282219753E-2</v>
      </c>
      <c r="L35" s="11">
        <f ca="1">VLOOKUP(A35,KBV!A$3:R$103,17,FALSE)</f>
        <v>3.6667273886510601</v>
      </c>
      <c r="M35" s="11">
        <f>VLOOKUP(A35,KBV!A$3:R$103,16,FALSE)</f>
        <v>3.8200000000000003</v>
      </c>
      <c r="N35" s="12">
        <f ca="1">VLOOKUP(A35,KBV!A$3:R$103,18,FALSE)</f>
        <v>-4.0123720248413708E-2</v>
      </c>
      <c r="O35" s="16">
        <f t="shared" ca="1" si="9"/>
        <v>3.6667273886510601</v>
      </c>
      <c r="P35" s="12">
        <f t="shared" ca="1" si="10"/>
        <v>-4.0123720248413708E-2</v>
      </c>
      <c r="Q35" s="32">
        <f ca="1">IF(F35=1,IF(I35&lt;Bewertung_Stammdaten!B$12,Bewertung_Stammdaten!A$12,IF(I35&lt;Bewertung_Stammdaten!B$13,Bewertung_Stammdaten!A$13,IF(I35&lt;Bewertung_Stammdaten!B$14,Bewertung_Stammdaten!A$14,IF(I35&lt;Bewertung_Stammdaten!B$15,Bewertung_Stammdaten!A$15,IF(I35&lt;Bewertung_Stammdaten!B$16,Bewertung_Stammdaten!A$16,IF(I35&lt;Bewertung_Stammdaten!B$17,Bewertung_Stammdaten!A$17,IF(I35&lt;Bewertung_Stammdaten!B$18,Bewertung_Stammdaten!A$18,IF(I35&lt;Bewertung_Stammdaten!B$19,Bewertung_Stammdaten!A$19,IF(I35&lt;Bewertung_Stammdaten!B$20,Bewertung_Stammdaten!A$20,Bewertung_Stammdaten!A$21))))))))),IF(N35&lt;Bewertung_Stammdaten!C$12,Bewertung_Stammdaten!A$12,IF(N35&lt;Bewertung_Stammdaten!C$13,Bewertung_Stammdaten!A$13,IF(N35&lt;Bewertung_Stammdaten!C$14,Bewertung_Stammdaten!A$14,IF(N35&lt;Bewertung_Stammdaten!C$15,Bewertung_Stammdaten!A$15,IF(N35&lt;Bewertung_Stammdaten!C$16,Bewertung_Stammdaten!A$16,IF(N35&lt;Bewertung_Stammdaten!C$17,Bewertung_Stammdaten!A$17,IF(N35&lt;Bewertung_Stammdaten!C$18,Bewertung_Stammdaten!A$18,IF(N35&lt;Bewertung_Stammdaten!C$19,Bewertung_Stammdaten!A$19,IF(N35&lt;Bewertung_Stammdaten!C$20,Bewertung_Stammdaten!A$20,Bewertung_Stammdaten!A$21))))))))))</f>
        <v>36</v>
      </c>
      <c r="R35" s="32">
        <f ca="1">IF(F35=1,IF(K35&lt;Bewertung_Stammdaten!F$12,Bewertung_Stammdaten!E$12,IF(K35&lt;Bewertung_Stammdaten!F$13,Bewertung_Stammdaten!E$13,IF(K35&lt;Bewertung_Stammdaten!F$14,Bewertung_Stammdaten!E$14,IF(K35&lt;Bewertung_Stammdaten!F$15,Bewertung_Stammdaten!E$15,IF(K35&lt;Bewertung_Stammdaten!F$16,Bewertung_Stammdaten!E$16,IF(K35&lt;Bewertung_Stammdaten!F$17,Bewertung_Stammdaten!E$17,IF(K35&lt;Bewertung_Stammdaten!F$18,Bewertung_Stammdaten!E$18,IF(K35&lt;Bewertung_Stammdaten!F$19,Bewertung_Stammdaten!E$19,IF(K35&lt;Bewertung_Stammdaten!F$20,Bewertung_Stammdaten!E$20,Bewertung_Stammdaten!E$21))))))))),IF(P35&lt;Bewertung_Stammdaten!G$12,Bewertung_Stammdaten!E$12,IF(P35&lt;Bewertung_Stammdaten!G$13,Bewertung_Stammdaten!E$13,IF(P35&lt;Bewertung_Stammdaten!G$14,Bewertung_Stammdaten!E$14,IF(P35&lt;Bewertung_Stammdaten!G$15,Bewertung_Stammdaten!E$15,IF(P35&lt;Bewertung_Stammdaten!G$16,Bewertung_Stammdaten!E$16,IF(P35&lt;Bewertung_Stammdaten!G$17,Bewertung_Stammdaten!E$17,IF(P35&lt;Bewertung_Stammdaten!G$18,Bewertung_Stammdaten!E$18,IF(P35&lt;Bewertung_Stammdaten!G$19,Bewertung_Stammdaten!E$19,IF(P35&lt;Bewertung_Stammdaten!G$20,Bewertung_Stammdaten!E$20,Bewertung_Stammdaten!E$21))))))))))</f>
        <v>22.5</v>
      </c>
      <c r="S35" s="43"/>
      <c r="T35" s="11">
        <f ca="1">VLOOKUP(A35,Buchwert_je_Aktie!A$3:AK$103,23,FALSE)</f>
        <v>12.198888888888892</v>
      </c>
      <c r="U35" s="11">
        <f>VLOOKUP(A35,Buchwert_je_Aktie!A$3:AK$103,19,FALSE)</f>
        <v>7.5284615384615385</v>
      </c>
      <c r="V35" s="12">
        <f ca="1">VLOOKUP(A35,Buchwert_je_Aktie!A$3:AK$103,24,FALSE)</f>
        <v>0.62036942429299669</v>
      </c>
      <c r="W35" s="12">
        <f>VLOOKUP(A35,Buchwert_je_Aktie!A$3:AK$103,37,FALSE)</f>
        <v>4.7619047619047672E-2</v>
      </c>
      <c r="X35" s="16">
        <f t="shared" ref="X35:X101" ca="1" si="14">IF(W35&gt;0,T35,IF(T35&lt;0,ABS(T35)*(1+W35),T35*(1+W35)))</f>
        <v>12.198888888888892</v>
      </c>
      <c r="Y35" s="12">
        <f t="shared" ref="Y35:Y101" ca="1" si="15">IF(U35&gt;0,(X35/U35)-1,-99.99999)</f>
        <v>0.62036942429299669</v>
      </c>
      <c r="Z35" s="51">
        <f ca="1">IF(V35&lt;Bewertung_Stammdaten!B$25,Bewertung_Stammdaten!A$25,IF(V35&lt;Bewertung_Stammdaten!B$26,Bewertung_Stammdaten!A$26,IF(V35&lt;Bewertung_Stammdaten!B$27,Bewertung_Stammdaten!A$27,IF(V35&lt;Bewertung_Stammdaten!B$28,Bewertung_Stammdaten!A$28,IF(V35&lt;Bewertung_Stammdaten!B$29,Bewertung_Stammdaten!A$29,IF(V35&lt;Bewertung_Stammdaten!B$30,Bewertung_Stammdaten!A$30,IF(V35&lt;Bewertung_Stammdaten!B$31,Bewertung_Stammdaten!A$31,IF(V35&lt;Bewertung_Stammdaten!B$32,Bewertung_Stammdaten!A$32,IF(V35&lt;Bewertung_Stammdaten!B$33,Bewertung_Stammdaten!A$33,Bewertung_Stammdaten!A$34)))))))))</f>
        <v>13.5</v>
      </c>
      <c r="AA35" s="51">
        <f>IF(W35&lt;Bewertung_Stammdaten!F$25,Bewertung_Stammdaten!E$25,IF(W35&lt;Bewertung_Stammdaten!F$26,Bewertung_Stammdaten!E$26,IF(W35&lt;Bewertung_Stammdaten!F$27,Bewertung_Stammdaten!E$27,IF(W35&lt;Bewertung_Stammdaten!F$28,Bewertung_Stammdaten!E$28,IF(W35&lt;Bewertung_Stammdaten!F$29,Bewertung_Stammdaten!E$29,IF(W35&lt;Bewertung_Stammdaten!F$30,Bewertung_Stammdaten!E$30,IF(W35&lt;Bewertung_Stammdaten!F$31,Bewertung_Stammdaten!E$31,IF(W35&lt;Bewertung_Stammdaten!F$32,Bewertung_Stammdaten!E$32,IF(W35&lt;Bewertung_Stammdaten!F$33,Bewertung_Stammdaten!E$33,Bewertung_Stammdaten!E$34)))))))))</f>
        <v>12</v>
      </c>
      <c r="AB35" s="51">
        <f ca="1">IF(Y35&lt;Bewertung_Stammdaten!J$25,Bewertung_Stammdaten!I$25,IF(Y35&lt;Bewertung_Stammdaten!J$26,Bewertung_Stammdaten!I$26,IF(Y35&lt;Bewertung_Stammdaten!J$27,Bewertung_Stammdaten!I$27,IF(Y35&lt;Bewertung_Stammdaten!J$28,Bewertung_Stammdaten!I$28,IF(Y35&lt;Bewertung_Stammdaten!J$29,Bewertung_Stammdaten!I$29,IF(Y35&lt;Bewertung_Stammdaten!J$30,Bewertung_Stammdaten!I$30,IF(Y35&lt;Bewertung_Stammdaten!J$31,Bewertung_Stammdaten!I$31,IF(Y35&lt;Bewertung_Stammdaten!J$32,Bewertung_Stammdaten!I$32,IF(Y35&lt;Bewertung_Stammdaten!J$33,Bewertung_Stammdaten!I$33,Bewertung_Stammdaten!I$34)))))))))</f>
        <v>9</v>
      </c>
      <c r="AC35" s="43"/>
      <c r="AD35" s="14">
        <f ca="1">VLOOKUP(A35,Ergebnis_je_Aktie_verwässert!A$3:AK$103,23,FALSE)</f>
        <v>2.5044444444444443</v>
      </c>
      <c r="AE35" s="14">
        <f>VLOOKUP(A35,Ergebnis_je_Aktie_verwässert!A$3:AK$103,19,FALSE)</f>
        <v>1.629230769230769</v>
      </c>
      <c r="AF35" s="12">
        <f ca="1">VLOOKUP(A35,Ergebnis_je_Aktie_verwässert!A$3:AK$103,24,FALSE)</f>
        <v>0.53719441821424829</v>
      </c>
      <c r="AG35" s="40">
        <f>VLOOKUP(A35,Ergebnis_je_Aktie_verwässert!A$3:AK$103,37,FALSE)</f>
        <v>-2.5210084033613467E-2</v>
      </c>
      <c r="AH35" s="16">
        <f t="shared" ref="AH35:AH101" ca="1" si="16">IF(AG35&gt;0,AD35,AD35*(1+AG35))</f>
        <v>2.4413071895424836</v>
      </c>
      <c r="AI35" s="12">
        <f t="shared" ref="AI35:AI101" ca="1" si="17">IF(AE35&gt;0,(AH35/AE35)-1,-99.99999)</f>
        <v>0.49844161775506568</v>
      </c>
      <c r="AJ35" s="32">
        <f ca="1">IF(AF35&lt;Bewertung_Stammdaten!B$38,Bewertung_Stammdaten!A$38,IF(AF35&lt;Bewertung_Stammdaten!B$39,Bewertung_Stammdaten!A$39,IF(AF35&lt;Bewertung_Stammdaten!B$40,Bewertung_Stammdaten!A$40,IF(AF35&lt;Bewertung_Stammdaten!B$41,Bewertung_Stammdaten!A$41,IF(AF35&lt;Bewertung_Stammdaten!B$42,Bewertung_Stammdaten!A$42,IF(AF35&lt;Bewertung_Stammdaten!B$43,Bewertung_Stammdaten!A$43,IF(AF35&lt;Bewertung_Stammdaten!B$44,Bewertung_Stammdaten!A$44,IF(AF35&lt;Bewertung_Stammdaten!B$45,Bewertung_Stammdaten!A$45,IF(AF35&lt;Bewertung_Stammdaten!B$46,Bewertung_Stammdaten!A$46,Bewertung_Stammdaten!A$47)))))))))</f>
        <v>18</v>
      </c>
      <c r="AK35" s="32">
        <f>IF(AG35&lt;Bewertung_Stammdaten!F$38,Bewertung_Stammdaten!E$38,IF(AG35&lt;Bewertung_Stammdaten!F$39,Bewertung_Stammdaten!E$39,IF(AG35&lt;Bewertung_Stammdaten!F$40,Bewertung_Stammdaten!E$40,IF(AG35&lt;Bewertung_Stammdaten!F$41,Bewertung_Stammdaten!E$41,IF(AG35&lt;Bewertung_Stammdaten!F$42,Bewertung_Stammdaten!E$42,IF(AG35&lt;Bewertung_Stammdaten!F$43,Bewertung_Stammdaten!E$43,IF(AG35&lt;Bewertung_Stammdaten!F$44,Bewertung_Stammdaten!E$44,IF(AG35&lt;Bewertung_Stammdaten!F$45,Bewertung_Stammdaten!E$45,IF(AG35&lt;Bewertung_Stammdaten!F$46,Bewertung_Stammdaten!E$46,Bewertung_Stammdaten!E$47)))))))))</f>
        <v>10.5</v>
      </c>
      <c r="AL35" s="32">
        <f ca="1">IF(AI35&lt;Bewertung_Stammdaten!J$38,Bewertung_Stammdaten!I$38,IF(AI35&lt;Bewertung_Stammdaten!J$39,Bewertung_Stammdaten!I$39,IF(AI35&lt;Bewertung_Stammdaten!J$40,Bewertung_Stammdaten!I$40,IF(AI35&lt;Bewertung_Stammdaten!J$41,Bewertung_Stammdaten!I$41,IF(AI35&lt;Bewertung_Stammdaten!J$42,Bewertung_Stammdaten!I$42,IF(AI35&lt;Bewertung_Stammdaten!J$43,Bewertung_Stammdaten!I$43,IF(AI35&lt;Bewertung_Stammdaten!J$44,Bewertung_Stammdaten!I$44,IF(AI35&lt;Bewertung_Stammdaten!J$45,Bewertung_Stammdaten!I$45,IF(AI35&lt;Bewertung_Stammdaten!J$46,Bewertung_Stammdaten!I$46,Bewertung_Stammdaten!I$47)))))))))</f>
        <v>9</v>
      </c>
      <c r="AM35" s="43"/>
      <c r="AN35" s="14">
        <f ca="1">VLOOKUP(A35,Dividende_je_Aktie!A$3:AM$103,24,FALSE)</f>
        <v>0.5461111111111111</v>
      </c>
      <c r="AO35" s="14">
        <f>VLOOKUP(A35,Dividende_je_Aktie!A$3:AM$103,20,FALSE)</f>
        <v>0.2207142857142857</v>
      </c>
      <c r="AP35" s="12">
        <f ca="1">VLOOKUP(A35,Dividende_je_Aktie!A$3:AM$103,25,FALSE)</f>
        <v>1.4742898238043871</v>
      </c>
      <c r="AQ35" s="40">
        <f>VLOOKUP(A35,Dividende_je_Aktie!A$3:AM$103,39,FALSE)</f>
        <v>1.8181818181818299E-2</v>
      </c>
      <c r="AR35" s="16">
        <f t="shared" ref="AR35:AR101" ca="1" si="18">IF(AQ35&gt;0,AN35,AN35*(1+AQ35))</f>
        <v>0.5461111111111111</v>
      </c>
      <c r="AS35" s="12">
        <f t="shared" ref="AS35:AS101" ca="1" si="19">IF(AO35&gt;0,(AR35/AO35)-1,-99.99999)</f>
        <v>1.4742898238043871</v>
      </c>
      <c r="AT35" s="32">
        <f ca="1">IF(AP35&lt;Bewertung_Stammdaten!B$51,Bewertung_Stammdaten!A$51,IF(AP35&lt;Bewertung_Stammdaten!B$52,Bewertung_Stammdaten!A$52,IF(AP35&lt;Bewertung_Stammdaten!B$53,Bewertung_Stammdaten!A$53,IF(AP35&lt;Bewertung_Stammdaten!B$54,Bewertung_Stammdaten!A$54,IF(AP35&lt;Bewertung_Stammdaten!B$55,Bewertung_Stammdaten!A$55,IF(AP35&lt;Bewertung_Stammdaten!B$56,Bewertung_Stammdaten!A$56,IF(AP35&lt;Bewertung_Stammdaten!B$57,Bewertung_Stammdaten!A$57,IF(AP35&lt;Bewertung_Stammdaten!B$58,Bewertung_Stammdaten!A$58,IF(AP35&lt;Bewertung_Stammdaten!B$59,Bewertung_Stammdaten!A$59,Bewertung_Stammdaten!A$60)))))))))</f>
        <v>20</v>
      </c>
      <c r="AU35" s="32">
        <f>IF(AQ35&lt;Bewertung_Stammdaten!F$51,Bewertung_Stammdaten!E$51,IF(AQ35&lt;Bewertung_Stammdaten!F$52,Bewertung_Stammdaten!E$52,IF(AQ35&lt;Bewertung_Stammdaten!F$53,Bewertung_Stammdaten!E$53,IF(AQ35&lt;Bewertung_Stammdaten!F$54,Bewertung_Stammdaten!E$54,IF(AQ35&lt;Bewertung_Stammdaten!F$55,Bewertung_Stammdaten!E$55,IF(AQ35&lt;Bewertung_Stammdaten!F$56,Bewertung_Stammdaten!E$56,IF(AQ35&lt;Bewertung_Stammdaten!F$57,Bewertung_Stammdaten!E$57,IF(AQ35&lt;Bewertung_Stammdaten!F$58,Bewertung_Stammdaten!E$58,IF(AQ35&lt;Bewertung_Stammdaten!F$59,Bewertung_Stammdaten!E$59,Bewertung_Stammdaten!E$60)))))))))</f>
        <v>12</v>
      </c>
      <c r="AV35" s="32">
        <f ca="1">IF(AS35&lt;Bewertung_Stammdaten!J$51,Bewertung_Stammdaten!I$51,IF(AS35&lt;Bewertung_Stammdaten!J$52,Bewertung_Stammdaten!I$52,IF(AS35&lt;Bewertung_Stammdaten!J$53,Bewertung_Stammdaten!I$53,IF(AS35&lt;Bewertung_Stammdaten!J$54,Bewertung_Stammdaten!I$54,IF(AS35&lt;Bewertung_Stammdaten!J$55,Bewertung_Stammdaten!I$55,IF(AS35&lt;Bewertung_Stammdaten!J$56,Bewertung_Stammdaten!I$56,IF(AS35&lt;Bewertung_Stammdaten!J$57,Bewertung_Stammdaten!I$57,IF(AS35&lt;Bewertung_Stammdaten!J$58,Bewertung_Stammdaten!I$58,IF(AS35&lt;Bewertung_Stammdaten!J$59,Bewertung_Stammdaten!I$59,Bewertung_Stammdaten!I$60)))))))))</f>
        <v>10</v>
      </c>
      <c r="AW35" s="43"/>
      <c r="AX35" s="12">
        <f ca="1">VLOOKUP(A35,Dividendenrendite!A$3:R$103,17,FALSE)</f>
        <v>1.2209056809995778E-2</v>
      </c>
      <c r="AY35" s="12">
        <f>VLOOKUP(A35,Dividendenrendite!A$3:R$103,16,FALSE)</f>
        <v>5.4150444728833912E-3</v>
      </c>
      <c r="AZ35" s="12">
        <f ca="1">VLOOKUP(A35,Dividendenrendite!A$3:R$103,18,FALSE)</f>
        <v>1.2546549471817587</v>
      </c>
      <c r="BA35" s="32">
        <f ca="1">IF(AX35&lt;Bewertung_Stammdaten!B$64,Bewertung_Stammdaten!A$64,IF(AX35&lt;Bewertung_Stammdaten!B$65,Bewertung_Stammdaten!A$65,IF(AX35&lt;Bewertung_Stammdaten!B$66,Bewertung_Stammdaten!A$66,IF(AX35&lt;Bewertung_Stammdaten!B$67,Bewertung_Stammdaten!A$67,IF(AX35&lt;Bewertung_Stammdaten!B$68,Bewertung_Stammdaten!A$68,IF(AX35&lt;Bewertung_Stammdaten!B$69,Bewertung_Stammdaten!A$69,IF(AX35&lt;Bewertung_Stammdaten!B$70,Bewertung_Stammdaten!A$70,IF(AX35&lt;Bewertung_Stammdaten!B$71,Bewertung_Stammdaten!A$71,IF(AX35&lt;Bewertung_Stammdaten!B$72,Bewertung_Stammdaten!A$72,Bewertung_Stammdaten!A$73)))))))))</f>
        <v>4.5</v>
      </c>
      <c r="BB35" s="32">
        <f>IF(AY35&lt;Bewertung_Stammdaten!F$64,Bewertung_Stammdaten!E$64,IF(AY35&lt;Bewertung_Stammdaten!F$65,Bewertung_Stammdaten!E$65,IF(AY35&lt;Bewertung_Stammdaten!F$66,Bewertung_Stammdaten!E$66,IF(AY35&lt;Bewertung_Stammdaten!F$67,Bewertung_Stammdaten!E$67,IF(AY35&lt;Bewertung_Stammdaten!F$68,Bewertung_Stammdaten!E$68,IF(AY35&lt;Bewertung_Stammdaten!F$69,Bewertung_Stammdaten!E$69,IF(AY35&lt;Bewertung_Stammdaten!F$70,Bewertung_Stammdaten!E$70,IF(AY35&lt;Bewertung_Stammdaten!F$71,Bewertung_Stammdaten!E$71,IF(AY35&lt;Bewertung_Stammdaten!F$72,Bewertung_Stammdaten!E$72,Bewertung_Stammdaten!E$73)))))))))</f>
        <v>2</v>
      </c>
      <c r="BC35" s="32">
        <f ca="1">IF(AZ35&lt;Bewertung_Stammdaten!J$64,Bewertung_Stammdaten!I$64,IF(AZ35&lt;Bewertung_Stammdaten!J$65,Bewertung_Stammdaten!I$65,IF(AZ35&lt;Bewertung_Stammdaten!J$66,Bewertung_Stammdaten!I$66,IF(AZ35&lt;Bewertung_Stammdaten!J$67,Bewertung_Stammdaten!I$67,IF(AZ35&lt;Bewertung_Stammdaten!J$68,Bewertung_Stammdaten!I$68,IF(AZ35&lt;Bewertung_Stammdaten!J$69,Bewertung_Stammdaten!I$69,IF(AZ35&lt;Bewertung_Stammdaten!J$70,Bewertung_Stammdaten!I$70,IF(AZ35&lt;Bewertung_Stammdaten!J$71,Bewertung_Stammdaten!I$71,IF(AZ35&lt;Bewertung_Stammdaten!J$72,Bewertung_Stammdaten!I$72,Bewertung_Stammdaten!I$73)))))))))</f>
        <v>5</v>
      </c>
      <c r="BD35" s="43"/>
      <c r="BE35" s="12">
        <f>VLOOKUP(A35,Aktien_im_Umlauf_splitbereinigt!A$3:Z$103,26,FALSE)</f>
        <v>-3.9173482565647899E-2</v>
      </c>
      <c r="BF35" s="12">
        <f>VLOOKUP(A35,Aktien_im_Umlauf_splitbereinigt!A$3:Y$103,24,FALSE)</f>
        <v>-1.5368565623002706E-2</v>
      </c>
      <c r="BG35" s="12">
        <f>VLOOKUP(A35,Aktien_im_Umlauf_splitbereinigt!A$3:Y$103,25,FALSE)</f>
        <v>1.5489355042357036</v>
      </c>
      <c r="BH35" s="41">
        <f>IF(BE35&lt;Bewertung_Stammdaten!B$77,Bewertung_Stammdaten!A$77,IF(BE35&lt;Bewertung_Stammdaten!B$78,Bewertung_Stammdaten!A$78,IF(BE35&lt;Bewertung_Stammdaten!B$79,Bewertung_Stammdaten!A$79,IF(BE35&lt;Bewertung_Stammdaten!B$80,Bewertung_Stammdaten!A$80,IF(BE35&lt;Bewertung_Stammdaten!B$81,Bewertung_Stammdaten!A$81,IF(BE35&lt;Bewertung_Stammdaten!B$82,Bewertung_Stammdaten!A$82,IF(BE35&lt;Bewertung_Stammdaten!B$83,Bewertung_Stammdaten!A$83,IF(BE35&lt;Bewertung_Stammdaten!B$84,Bewertung_Stammdaten!A$84,IF(BE35&lt;Bewertung_Stammdaten!B$85,Bewertung_Stammdaten!A$85,Bewertung_Stammdaten!A$86)))))))))</f>
        <v>10</v>
      </c>
      <c r="BI35" s="41">
        <f>IF(BF35&lt;Bewertung_Stammdaten!F$77,Bewertung_Stammdaten!E$77,IF(BF35&lt;Bewertung_Stammdaten!F$78,Bewertung_Stammdaten!E$78,IF(BF35&lt;Bewertung_Stammdaten!F$79,Bewertung_Stammdaten!E$79,IF(BF35&lt;Bewertung_Stammdaten!F$80,Bewertung_Stammdaten!E$80,IF(BF35&lt;Bewertung_Stammdaten!F$81,Bewertung_Stammdaten!E$81,IF(BF35&lt;Bewertung_Stammdaten!F$82,Bewertung_Stammdaten!E$82,IF(BF35&lt;Bewertung_Stammdaten!F$83,Bewertung_Stammdaten!E$83,IF(BF35&lt;Bewertung_Stammdaten!F$84,Bewertung_Stammdaten!E$84,IF(BF35&lt;Bewertung_Stammdaten!F$85,Bewertung_Stammdaten!E$85,Bewertung_Stammdaten!E$86)))))))))</f>
        <v>6</v>
      </c>
      <c r="BJ35" s="41">
        <f>IF(BG35&lt;Bewertung_Stammdaten!J$77,Bewertung_Stammdaten!I$77,IF(BG35&lt;Bewertung_Stammdaten!J$78,Bewertung_Stammdaten!I$78,IF(BG35&lt;Bewertung_Stammdaten!J$79,Bewertung_Stammdaten!I$79,IF(BG35&lt;Bewertung_Stammdaten!J$80,Bewertung_Stammdaten!I$80,IF(BG35&lt;Bewertung_Stammdaten!J$81,Bewertung_Stammdaten!I$81,IF(BG35&lt;Bewertung_Stammdaten!J$82,Bewertung_Stammdaten!I$82,IF(BG35&lt;Bewertung_Stammdaten!J$83,Bewertung_Stammdaten!I$83,IF(BG35&lt;Bewertung_Stammdaten!J$84,Bewertung_Stammdaten!I$84,IF(BG35&lt;Bewertung_Stammdaten!J$85,Bewertung_Stammdaten!I$85,Bewertung_Stammdaten!I$86)))))))))</f>
        <v>5</v>
      </c>
      <c r="BK35" s="43"/>
      <c r="BL35" s="12">
        <f ca="1">VLOOKUP(A35,Ausschüttungsquote!A$3:X$103,23,FALSE)</f>
        <v>0.21804111171927268</v>
      </c>
      <c r="BM35" s="12">
        <f>VLOOKUP(A35,Ausschüttungsquote!A$3:X$103,19,FALSE)</f>
        <v>0.11032273919784091</v>
      </c>
      <c r="BN35" s="12">
        <f ca="1">VLOOKUP(A35,Ausschüttungsquote!A$3:X$103,24,FALSE)</f>
        <v>0.97639320148007958</v>
      </c>
      <c r="BO35" s="32">
        <f ca="1">IF(BL35&lt;Bewertung_Stammdaten!B$90,Bewertung_Stammdaten!A$90,IF(BL35&lt;Bewertung_Stammdaten!B$91,Bewertung_Stammdaten!A$91,IF(BL35&lt;Bewertung_Stammdaten!B$92,Bewertung_Stammdaten!A$92,IF(BL35&lt;Bewertung_Stammdaten!B$93,Bewertung_Stammdaten!A$93,IF(BL35&lt;Bewertung_Stammdaten!B$94,Bewertung_Stammdaten!A$94,IF(BL35&lt;Bewertung_Stammdaten!B$95,Bewertung_Stammdaten!A$95,IF(BL35&lt;Bewertung_Stammdaten!B$96,Bewertung_Stammdaten!A$96,IF(BL35&lt;Bewertung_Stammdaten!B$97,Bewertung_Stammdaten!A$97,IF(BL35&lt;Bewertung_Stammdaten!B$98,Bewertung_Stammdaten!A$98,Bewertung_Stammdaten!A$99)))))))))</f>
        <v>10</v>
      </c>
      <c r="BP35" s="41">
        <f>IF(BM35&lt;Bewertung_Stammdaten!F$90,Bewertung_Stammdaten!E$90,IF(BM35&lt;Bewertung_Stammdaten!F$91,Bewertung_Stammdaten!E$91,IF(BM35&lt;Bewertung_Stammdaten!F$92,Bewertung_Stammdaten!E$92,IF(BM35&lt;Bewertung_Stammdaten!F$93,Bewertung_Stammdaten!E$93,IF(BM35&lt;Bewertung_Stammdaten!F$94,Bewertung_Stammdaten!E$94,IF(BM35&lt;Bewertung_Stammdaten!F$95,Bewertung_Stammdaten!E$95,IF(BM35&lt;Bewertung_Stammdaten!F$96,Bewertung_Stammdaten!E$96,IF(BM35&lt;Bewertung_Stammdaten!F$97,Bewertung_Stammdaten!E$97,IF(BM35&lt;Bewertung_Stammdaten!F$98,Bewertung_Stammdaten!E$98,Bewertung_Stammdaten!E$99)))))))))</f>
        <v>10</v>
      </c>
      <c r="BQ35" s="32">
        <f ca="1">IF(BN35&lt;Bewertung_Stammdaten!J$90,Bewertung_Stammdaten!I$90,IF(BN35&lt;Bewertung_Stammdaten!J$91,Bewertung_Stammdaten!I$91,IF(BN35&lt;Bewertung_Stammdaten!J$92,Bewertung_Stammdaten!I$92,IF(BN35&lt;Bewertung_Stammdaten!J$93,Bewertung_Stammdaten!I$93,IF(BN35&lt;Bewertung_Stammdaten!J$94,Bewertung_Stammdaten!I$94,IF(BN35&lt;Bewertung_Stammdaten!J$95,Bewertung_Stammdaten!I$95,IF(BN35&lt;Bewertung_Stammdaten!J$96,Bewertung_Stammdaten!I$96,IF(BN35&lt;Bewertung_Stammdaten!J$97,Bewertung_Stammdaten!I$97,IF(BN35&lt;Bewertung_Stammdaten!J$98,Bewertung_Stammdaten!I$98,Bewertung_Stammdaten!I$99)))))))))</f>
        <v>1</v>
      </c>
    </row>
    <row r="36" spans="1:69" x14ac:dyDescent="0.25">
      <c r="A36" s="38" t="s">
        <v>64</v>
      </c>
      <c r="B36" s="38" t="s">
        <v>65</v>
      </c>
      <c r="C36" s="38" t="s">
        <v>296</v>
      </c>
      <c r="D36" s="32">
        <f t="shared" ca="1" si="11"/>
        <v>147.5</v>
      </c>
      <c r="E36" s="43"/>
      <c r="F36" s="66">
        <v>1</v>
      </c>
      <c r="G36" s="11">
        <f ca="1">VLOOKUP(A36,KGV!A$3:R$103,17,FALSE)</f>
        <v>20.491900172490741</v>
      </c>
      <c r="H36" s="11">
        <f>VLOOKUP(A36,KGV!A$3:R$103,16,FALSE)</f>
        <v>17.807547169811322</v>
      </c>
      <c r="I36" s="12">
        <f ca="1">VLOOKUP(A36,KGV!A$3:R$103,18,FALSE)</f>
        <v>0.15074243392880815</v>
      </c>
      <c r="J36" s="16">
        <f t="shared" ca="1" si="12"/>
        <v>21.768654077318825</v>
      </c>
      <c r="K36" s="12">
        <f t="shared" ca="1" si="13"/>
        <v>0.2224397818371453</v>
      </c>
      <c r="L36" s="11">
        <f ca="1">VLOOKUP(A36,KBV!A$3:R$103,17,FALSE)</f>
        <v>8.6587155963302749</v>
      </c>
      <c r="M36" s="11">
        <f>VLOOKUP(A36,KBV!A$3:R$103,16,FALSE)</f>
        <v>6.0346820809248554</v>
      </c>
      <c r="N36" s="12">
        <f ca="1">VLOOKUP(A36,KBV!A$3:R$103,18,FALSE)</f>
        <v>0.43482547716967201</v>
      </c>
      <c r="O36" s="16">
        <f t="shared" ca="1" si="9"/>
        <v>11.886455634148048</v>
      </c>
      <c r="P36" s="12">
        <f t="shared" ca="1" si="10"/>
        <v>0.9696904451222339</v>
      </c>
      <c r="Q36" s="32">
        <f ca="1">IF(F36=1,IF(I36&lt;Bewertung_Stammdaten!B$12,Bewertung_Stammdaten!A$12,IF(I36&lt;Bewertung_Stammdaten!B$13,Bewertung_Stammdaten!A$13,IF(I36&lt;Bewertung_Stammdaten!B$14,Bewertung_Stammdaten!A$14,IF(I36&lt;Bewertung_Stammdaten!B$15,Bewertung_Stammdaten!A$15,IF(I36&lt;Bewertung_Stammdaten!B$16,Bewertung_Stammdaten!A$16,IF(I36&lt;Bewertung_Stammdaten!B$17,Bewertung_Stammdaten!A$17,IF(I36&lt;Bewertung_Stammdaten!B$18,Bewertung_Stammdaten!A$18,IF(I36&lt;Bewertung_Stammdaten!B$19,Bewertung_Stammdaten!A$19,IF(I36&lt;Bewertung_Stammdaten!B$20,Bewertung_Stammdaten!A$20,Bewertung_Stammdaten!A$21))))))))),IF(N36&lt;Bewertung_Stammdaten!C$12,Bewertung_Stammdaten!A$12,IF(N36&lt;Bewertung_Stammdaten!C$13,Bewertung_Stammdaten!A$13,IF(N36&lt;Bewertung_Stammdaten!C$14,Bewertung_Stammdaten!A$14,IF(N36&lt;Bewertung_Stammdaten!C$15,Bewertung_Stammdaten!A$15,IF(N36&lt;Bewertung_Stammdaten!C$16,Bewertung_Stammdaten!A$16,IF(N36&lt;Bewertung_Stammdaten!C$17,Bewertung_Stammdaten!A$17,IF(N36&lt;Bewertung_Stammdaten!C$18,Bewertung_Stammdaten!A$18,IF(N36&lt;Bewertung_Stammdaten!C$19,Bewertung_Stammdaten!A$19,IF(N36&lt;Bewertung_Stammdaten!C$20,Bewertung_Stammdaten!A$20,Bewertung_Stammdaten!A$21))))))))))</f>
        <v>18</v>
      </c>
      <c r="R36" s="32">
        <f ca="1">IF(F36=1,IF(K36&lt;Bewertung_Stammdaten!F$12,Bewertung_Stammdaten!E$12,IF(K36&lt;Bewertung_Stammdaten!F$13,Bewertung_Stammdaten!E$13,IF(K36&lt;Bewertung_Stammdaten!F$14,Bewertung_Stammdaten!E$14,IF(K36&lt;Bewertung_Stammdaten!F$15,Bewertung_Stammdaten!E$15,IF(K36&lt;Bewertung_Stammdaten!F$16,Bewertung_Stammdaten!E$16,IF(K36&lt;Bewertung_Stammdaten!F$17,Bewertung_Stammdaten!E$17,IF(K36&lt;Bewertung_Stammdaten!F$18,Bewertung_Stammdaten!E$18,IF(K36&lt;Bewertung_Stammdaten!F$19,Bewertung_Stammdaten!E$19,IF(K36&lt;Bewertung_Stammdaten!F$20,Bewertung_Stammdaten!E$20,Bewertung_Stammdaten!E$21))))))))),IF(P36&lt;Bewertung_Stammdaten!G$12,Bewertung_Stammdaten!E$12,IF(P36&lt;Bewertung_Stammdaten!G$13,Bewertung_Stammdaten!E$13,IF(P36&lt;Bewertung_Stammdaten!G$14,Bewertung_Stammdaten!E$14,IF(P36&lt;Bewertung_Stammdaten!G$15,Bewertung_Stammdaten!E$15,IF(P36&lt;Bewertung_Stammdaten!G$16,Bewertung_Stammdaten!E$16,IF(P36&lt;Bewertung_Stammdaten!G$17,Bewertung_Stammdaten!E$17,IF(P36&lt;Bewertung_Stammdaten!G$18,Bewertung_Stammdaten!E$18,IF(P36&lt;Bewertung_Stammdaten!G$19,Bewertung_Stammdaten!E$19,IF(P36&lt;Bewertung_Stammdaten!G$20,Bewertung_Stammdaten!E$20,Bewertung_Stammdaten!E$21))))))))))</f>
        <v>12.5</v>
      </c>
      <c r="S36" s="43"/>
      <c r="T36" s="11">
        <f ca="1">VLOOKUP(A36,Buchwert_je_Aktie!A$3:AK$103,23,FALSE)</f>
        <v>10.9</v>
      </c>
      <c r="U36" s="11">
        <f>VLOOKUP(A36,Buchwert_je_Aktie!A$3:AK$103,19,FALSE)</f>
        <v>11.612307692307693</v>
      </c>
      <c r="V36" s="12">
        <f ca="1">VLOOKUP(A36,Buchwert_je_Aktie!A$3:AK$103,24,FALSE)</f>
        <v>-6.1340752517223152E-2</v>
      </c>
      <c r="W36" s="12">
        <f>VLOOKUP(A36,Buchwert_je_Aktie!A$3:AK$103,37,FALSE)</f>
        <v>-0.27154772937905458</v>
      </c>
      <c r="X36" s="16">
        <f t="shared" ca="1" si="14"/>
        <v>7.940129749768305</v>
      </c>
      <c r="Y36" s="12">
        <f t="shared" ca="1" si="15"/>
        <v>-0.31623153983182328</v>
      </c>
      <c r="Z36" s="51">
        <f ca="1">IF(V36&lt;Bewertung_Stammdaten!B$25,Bewertung_Stammdaten!A$25,IF(V36&lt;Bewertung_Stammdaten!B$26,Bewertung_Stammdaten!A$26,IF(V36&lt;Bewertung_Stammdaten!B$27,Bewertung_Stammdaten!A$27,IF(V36&lt;Bewertung_Stammdaten!B$28,Bewertung_Stammdaten!A$28,IF(V36&lt;Bewertung_Stammdaten!B$29,Bewertung_Stammdaten!A$29,IF(V36&lt;Bewertung_Stammdaten!B$30,Bewertung_Stammdaten!A$30,IF(V36&lt;Bewertung_Stammdaten!B$31,Bewertung_Stammdaten!A$31,IF(V36&lt;Bewertung_Stammdaten!B$32,Bewertung_Stammdaten!A$32,IF(V36&lt;Bewertung_Stammdaten!B$33,Bewertung_Stammdaten!A$33,Bewertung_Stammdaten!A$34)))))))))</f>
        <v>3</v>
      </c>
      <c r="AA36" s="51">
        <f>IF(W36&lt;Bewertung_Stammdaten!F$25,Bewertung_Stammdaten!E$25,IF(W36&lt;Bewertung_Stammdaten!F$26,Bewertung_Stammdaten!E$26,IF(W36&lt;Bewertung_Stammdaten!F$27,Bewertung_Stammdaten!E$27,IF(W36&lt;Bewertung_Stammdaten!F$28,Bewertung_Stammdaten!E$28,IF(W36&lt;Bewertung_Stammdaten!F$29,Bewertung_Stammdaten!E$29,IF(W36&lt;Bewertung_Stammdaten!F$30,Bewertung_Stammdaten!E$30,IF(W36&lt;Bewertung_Stammdaten!F$31,Bewertung_Stammdaten!E$31,IF(W36&lt;Bewertung_Stammdaten!F$32,Bewertung_Stammdaten!E$32,IF(W36&lt;Bewertung_Stammdaten!F$33,Bewertung_Stammdaten!E$33,Bewertung_Stammdaten!E$34)))))))))</f>
        <v>3</v>
      </c>
      <c r="AB36" s="51">
        <f ca="1">IF(Y36&lt;Bewertung_Stammdaten!J$25,Bewertung_Stammdaten!I$25,IF(Y36&lt;Bewertung_Stammdaten!J$26,Bewertung_Stammdaten!I$26,IF(Y36&lt;Bewertung_Stammdaten!J$27,Bewertung_Stammdaten!I$27,IF(Y36&lt;Bewertung_Stammdaten!J$28,Bewertung_Stammdaten!I$28,IF(Y36&lt;Bewertung_Stammdaten!J$29,Bewertung_Stammdaten!I$29,IF(Y36&lt;Bewertung_Stammdaten!J$30,Bewertung_Stammdaten!I$30,IF(Y36&lt;Bewertung_Stammdaten!J$31,Bewertung_Stammdaten!I$31,IF(Y36&lt;Bewertung_Stammdaten!J$32,Bewertung_Stammdaten!I$32,IF(Y36&lt;Bewertung_Stammdaten!J$33,Bewertung_Stammdaten!I$33,Bewertung_Stammdaten!I$34)))))))))</f>
        <v>1</v>
      </c>
      <c r="AC36" s="43"/>
      <c r="AD36" s="14">
        <f ca="1">VLOOKUP(A36,Ergebnis_je_Aktie_verwässert!A$3:AK$103,23,FALSE)</f>
        <v>4.6057222222222221</v>
      </c>
      <c r="AE36" s="14">
        <f>VLOOKUP(A36,Ergebnis_je_Aktie_verwässert!A$3:AK$103,19,FALSE)</f>
        <v>3.94</v>
      </c>
      <c r="AF36" s="12">
        <f ca="1">VLOOKUP(A36,Ergebnis_je_Aktie_verwässert!A$3:AK$103,24,FALSE)</f>
        <v>0.16896503102086857</v>
      </c>
      <c r="AG36" s="40">
        <f>VLOOKUP(A36,Ergebnis_je_Aktie_verwässert!A$3:AK$103,37,FALSE)</f>
        <v>-5.8651026392961936E-2</v>
      </c>
      <c r="AH36" s="16">
        <f t="shared" ca="1" si="16"/>
        <v>4.3355918866080154</v>
      </c>
      <c r="AI36" s="12">
        <f t="shared" ca="1" si="17"/>
        <v>0.10040403213401405</v>
      </c>
      <c r="AJ36" s="32">
        <f ca="1">IF(AF36&lt;Bewertung_Stammdaten!B$38,Bewertung_Stammdaten!A$38,IF(AF36&lt;Bewertung_Stammdaten!B$39,Bewertung_Stammdaten!A$39,IF(AF36&lt;Bewertung_Stammdaten!B$40,Bewertung_Stammdaten!A$40,IF(AF36&lt;Bewertung_Stammdaten!B$41,Bewertung_Stammdaten!A$41,IF(AF36&lt;Bewertung_Stammdaten!B$42,Bewertung_Stammdaten!A$42,IF(AF36&lt;Bewertung_Stammdaten!B$43,Bewertung_Stammdaten!A$43,IF(AF36&lt;Bewertung_Stammdaten!B$44,Bewertung_Stammdaten!A$44,IF(AF36&lt;Bewertung_Stammdaten!B$45,Bewertung_Stammdaten!A$45,IF(AF36&lt;Bewertung_Stammdaten!B$46,Bewertung_Stammdaten!A$46,Bewertung_Stammdaten!A$47)))))))))</f>
        <v>10</v>
      </c>
      <c r="AK36" s="32">
        <f>IF(AG36&lt;Bewertung_Stammdaten!F$38,Bewertung_Stammdaten!E$38,IF(AG36&lt;Bewertung_Stammdaten!F$39,Bewertung_Stammdaten!E$39,IF(AG36&lt;Bewertung_Stammdaten!F$40,Bewertung_Stammdaten!E$40,IF(AG36&lt;Bewertung_Stammdaten!F$41,Bewertung_Stammdaten!E$41,IF(AG36&lt;Bewertung_Stammdaten!F$42,Bewertung_Stammdaten!E$42,IF(AG36&lt;Bewertung_Stammdaten!F$43,Bewertung_Stammdaten!E$43,IF(AG36&lt;Bewertung_Stammdaten!F$44,Bewertung_Stammdaten!E$44,IF(AG36&lt;Bewertung_Stammdaten!F$45,Bewertung_Stammdaten!E$45,IF(AG36&lt;Bewertung_Stammdaten!F$46,Bewertung_Stammdaten!E$46,Bewertung_Stammdaten!E$47)))))))))</f>
        <v>10.5</v>
      </c>
      <c r="AL36" s="32">
        <f ca="1">IF(AI36&lt;Bewertung_Stammdaten!J$38,Bewertung_Stammdaten!I$38,IF(AI36&lt;Bewertung_Stammdaten!J$39,Bewertung_Stammdaten!I$39,IF(AI36&lt;Bewertung_Stammdaten!J$40,Bewertung_Stammdaten!I$40,IF(AI36&lt;Bewertung_Stammdaten!J$41,Bewertung_Stammdaten!I$41,IF(AI36&lt;Bewertung_Stammdaten!J$42,Bewertung_Stammdaten!I$42,IF(AI36&lt;Bewertung_Stammdaten!J$43,Bewertung_Stammdaten!I$43,IF(AI36&lt;Bewertung_Stammdaten!J$44,Bewertung_Stammdaten!I$44,IF(AI36&lt;Bewertung_Stammdaten!J$45,Bewertung_Stammdaten!I$45,IF(AI36&lt;Bewertung_Stammdaten!J$46,Bewertung_Stammdaten!I$46,Bewertung_Stammdaten!I$47)))))))))</f>
        <v>5</v>
      </c>
      <c r="AM36" s="43"/>
      <c r="AN36" s="14">
        <f ca="1">VLOOKUP(A36,Dividende_je_Aktie!A$3:AM$103,24,FALSE)</f>
        <v>2.8277777777777779</v>
      </c>
      <c r="AO36" s="14">
        <f>VLOOKUP(A36,Dividende_je_Aktie!A$3:AM$103,20,FALSE)</f>
        <v>1.975714285714286</v>
      </c>
      <c r="AP36" s="12">
        <f ca="1">VLOOKUP(A36,Dividende_je_Aktie!A$3:AM$103,25,FALSE)</f>
        <v>0.4312685787740016</v>
      </c>
      <c r="AQ36" s="40">
        <f>VLOOKUP(A36,Dividende_je_Aktie!A$3:AM$103,39,FALSE)</f>
        <v>4.9261083743842304E-2</v>
      </c>
      <c r="AR36" s="16">
        <f t="shared" ca="1" si="18"/>
        <v>2.8277777777777779</v>
      </c>
      <c r="AS36" s="12">
        <f t="shared" ca="1" si="19"/>
        <v>0.4312685787740016</v>
      </c>
      <c r="AT36" s="32">
        <f ca="1">IF(AP36&lt;Bewertung_Stammdaten!B$51,Bewertung_Stammdaten!A$51,IF(AP36&lt;Bewertung_Stammdaten!B$52,Bewertung_Stammdaten!A$52,IF(AP36&lt;Bewertung_Stammdaten!B$53,Bewertung_Stammdaten!A$53,IF(AP36&lt;Bewertung_Stammdaten!B$54,Bewertung_Stammdaten!A$54,IF(AP36&lt;Bewertung_Stammdaten!B$55,Bewertung_Stammdaten!A$55,IF(AP36&lt;Bewertung_Stammdaten!B$56,Bewertung_Stammdaten!A$56,IF(AP36&lt;Bewertung_Stammdaten!B$57,Bewertung_Stammdaten!A$57,IF(AP36&lt;Bewertung_Stammdaten!B$58,Bewertung_Stammdaten!A$58,IF(AP36&lt;Bewertung_Stammdaten!B$59,Bewertung_Stammdaten!A$59,Bewertung_Stammdaten!A$60)))))))))</f>
        <v>14</v>
      </c>
      <c r="AU36" s="32">
        <f>IF(AQ36&lt;Bewertung_Stammdaten!F$51,Bewertung_Stammdaten!E$51,IF(AQ36&lt;Bewertung_Stammdaten!F$52,Bewertung_Stammdaten!E$52,IF(AQ36&lt;Bewertung_Stammdaten!F$53,Bewertung_Stammdaten!E$53,IF(AQ36&lt;Bewertung_Stammdaten!F$54,Bewertung_Stammdaten!E$54,IF(AQ36&lt;Bewertung_Stammdaten!F$55,Bewertung_Stammdaten!E$55,IF(AQ36&lt;Bewertung_Stammdaten!F$56,Bewertung_Stammdaten!E$56,IF(AQ36&lt;Bewertung_Stammdaten!F$57,Bewertung_Stammdaten!E$57,IF(AQ36&lt;Bewertung_Stammdaten!F$58,Bewertung_Stammdaten!E$58,IF(AQ36&lt;Bewertung_Stammdaten!F$59,Bewertung_Stammdaten!E$59,Bewertung_Stammdaten!E$60)))))))))</f>
        <v>12</v>
      </c>
      <c r="AV36" s="32">
        <f ca="1">IF(AS36&lt;Bewertung_Stammdaten!J$51,Bewertung_Stammdaten!I$51,IF(AS36&lt;Bewertung_Stammdaten!J$52,Bewertung_Stammdaten!I$52,IF(AS36&lt;Bewertung_Stammdaten!J$53,Bewertung_Stammdaten!I$53,IF(AS36&lt;Bewertung_Stammdaten!J$54,Bewertung_Stammdaten!I$54,IF(AS36&lt;Bewertung_Stammdaten!J$55,Bewertung_Stammdaten!I$55,IF(AS36&lt;Bewertung_Stammdaten!J$56,Bewertung_Stammdaten!I$56,IF(AS36&lt;Bewertung_Stammdaten!J$57,Bewertung_Stammdaten!I$57,IF(AS36&lt;Bewertung_Stammdaten!J$58,Bewertung_Stammdaten!I$58,IF(AS36&lt;Bewertung_Stammdaten!J$59,Bewertung_Stammdaten!I$59,Bewertung_Stammdaten!I$60)))))))))</f>
        <v>8</v>
      </c>
      <c r="AW36" s="43"/>
      <c r="AX36" s="12">
        <f ca="1">VLOOKUP(A36,Dividendenrendite!A$3:R$103,17,FALSE)</f>
        <v>2.9961620870711782E-2</v>
      </c>
      <c r="AY36" s="12">
        <f>VLOOKUP(A36,Dividendenrendite!A$3:R$103,16,FALSE)</f>
        <v>2.5775436777737713E-2</v>
      </c>
      <c r="AZ36" s="12">
        <f ca="1">VLOOKUP(A36,Dividendenrendite!A$3:R$103,18,FALSE)</f>
        <v>0.16240982176448249</v>
      </c>
      <c r="BA36" s="32">
        <f ca="1">IF(AX36&lt;Bewertung_Stammdaten!B$64,Bewertung_Stammdaten!A$64,IF(AX36&lt;Bewertung_Stammdaten!B$65,Bewertung_Stammdaten!A$65,IF(AX36&lt;Bewertung_Stammdaten!B$66,Bewertung_Stammdaten!A$66,IF(AX36&lt;Bewertung_Stammdaten!B$67,Bewertung_Stammdaten!A$67,IF(AX36&lt;Bewertung_Stammdaten!B$68,Bewertung_Stammdaten!A$68,IF(AX36&lt;Bewertung_Stammdaten!B$69,Bewertung_Stammdaten!A$69,IF(AX36&lt;Bewertung_Stammdaten!B$70,Bewertung_Stammdaten!A$70,IF(AX36&lt;Bewertung_Stammdaten!B$71,Bewertung_Stammdaten!A$71,IF(AX36&lt;Bewertung_Stammdaten!B$72,Bewertung_Stammdaten!A$72,Bewertung_Stammdaten!A$73)))))))))</f>
        <v>9</v>
      </c>
      <c r="BB36" s="32">
        <f>IF(AY36&lt;Bewertung_Stammdaten!F$64,Bewertung_Stammdaten!E$64,IF(AY36&lt;Bewertung_Stammdaten!F$65,Bewertung_Stammdaten!E$65,IF(AY36&lt;Bewertung_Stammdaten!F$66,Bewertung_Stammdaten!E$66,IF(AY36&lt;Bewertung_Stammdaten!F$67,Bewertung_Stammdaten!E$67,IF(AY36&lt;Bewertung_Stammdaten!F$68,Bewertung_Stammdaten!E$68,IF(AY36&lt;Bewertung_Stammdaten!F$69,Bewertung_Stammdaten!E$69,IF(AY36&lt;Bewertung_Stammdaten!F$70,Bewertung_Stammdaten!E$70,IF(AY36&lt;Bewertung_Stammdaten!F$71,Bewertung_Stammdaten!E$71,IF(AY36&lt;Bewertung_Stammdaten!F$72,Bewertung_Stammdaten!E$72,Bewertung_Stammdaten!E$73)))))))))</f>
        <v>6</v>
      </c>
      <c r="BC36" s="32">
        <f ca="1">IF(AZ36&lt;Bewertung_Stammdaten!J$64,Bewertung_Stammdaten!I$64,IF(AZ36&lt;Bewertung_Stammdaten!J$65,Bewertung_Stammdaten!I$65,IF(AZ36&lt;Bewertung_Stammdaten!J$66,Bewertung_Stammdaten!I$66,IF(AZ36&lt;Bewertung_Stammdaten!J$67,Bewertung_Stammdaten!I$67,IF(AZ36&lt;Bewertung_Stammdaten!J$68,Bewertung_Stammdaten!I$68,IF(AZ36&lt;Bewertung_Stammdaten!J$69,Bewertung_Stammdaten!I$69,IF(AZ36&lt;Bewertung_Stammdaten!J$70,Bewertung_Stammdaten!I$70,IF(AZ36&lt;Bewertung_Stammdaten!J$71,Bewertung_Stammdaten!I$71,IF(AZ36&lt;Bewertung_Stammdaten!J$72,Bewertung_Stammdaten!I$72,Bewertung_Stammdaten!I$73)))))))))</f>
        <v>4.5</v>
      </c>
      <c r="BD36" s="43"/>
      <c r="BE36" s="12">
        <f>VLOOKUP(A36,Aktien_im_Umlauf_splitbereinigt!A$3:Z$103,26,FALSE)</f>
        <v>-2.6281208935611033E-2</v>
      </c>
      <c r="BF36" s="12">
        <f>VLOOKUP(A36,Aktien_im_Umlauf_splitbereinigt!A$3:Y$103,24,FALSE)</f>
        <v>-1.2170563896515571E-2</v>
      </c>
      <c r="BG36" s="12">
        <f>VLOOKUP(A36,Aktien_im_Umlauf_splitbereinigt!A$3:Y$103,25,FALSE)</f>
        <v>1.1594076625435026</v>
      </c>
      <c r="BH36" s="41">
        <f>IF(BE36&lt;Bewertung_Stammdaten!B$77,Bewertung_Stammdaten!A$77,IF(BE36&lt;Bewertung_Stammdaten!B$78,Bewertung_Stammdaten!A$78,IF(BE36&lt;Bewertung_Stammdaten!B$79,Bewertung_Stammdaten!A$79,IF(BE36&lt;Bewertung_Stammdaten!B$80,Bewertung_Stammdaten!A$80,IF(BE36&lt;Bewertung_Stammdaten!B$81,Bewertung_Stammdaten!A$81,IF(BE36&lt;Bewertung_Stammdaten!B$82,Bewertung_Stammdaten!A$82,IF(BE36&lt;Bewertung_Stammdaten!B$83,Bewertung_Stammdaten!A$83,IF(BE36&lt;Bewertung_Stammdaten!B$84,Bewertung_Stammdaten!A$84,IF(BE36&lt;Bewertung_Stammdaten!B$85,Bewertung_Stammdaten!A$85,Bewertung_Stammdaten!A$86)))))))))</f>
        <v>8</v>
      </c>
      <c r="BI36" s="41">
        <f>IF(BF36&lt;Bewertung_Stammdaten!F$77,Bewertung_Stammdaten!E$77,IF(BF36&lt;Bewertung_Stammdaten!F$78,Bewertung_Stammdaten!E$78,IF(BF36&lt;Bewertung_Stammdaten!F$79,Bewertung_Stammdaten!E$79,IF(BF36&lt;Bewertung_Stammdaten!F$80,Bewertung_Stammdaten!E$80,IF(BF36&lt;Bewertung_Stammdaten!F$81,Bewertung_Stammdaten!E$81,IF(BF36&lt;Bewertung_Stammdaten!F$82,Bewertung_Stammdaten!E$82,IF(BF36&lt;Bewertung_Stammdaten!F$83,Bewertung_Stammdaten!E$83,IF(BF36&lt;Bewertung_Stammdaten!F$84,Bewertung_Stammdaten!E$84,IF(BF36&lt;Bewertung_Stammdaten!F$85,Bewertung_Stammdaten!E$85,Bewertung_Stammdaten!E$86)))))))))</f>
        <v>5</v>
      </c>
      <c r="BJ36" s="41">
        <f>IF(BG36&lt;Bewertung_Stammdaten!J$77,Bewertung_Stammdaten!I$77,IF(BG36&lt;Bewertung_Stammdaten!J$78,Bewertung_Stammdaten!I$78,IF(BG36&lt;Bewertung_Stammdaten!J$79,Bewertung_Stammdaten!I$79,IF(BG36&lt;Bewertung_Stammdaten!J$80,Bewertung_Stammdaten!I$80,IF(BG36&lt;Bewertung_Stammdaten!J$81,Bewertung_Stammdaten!I$81,IF(BG36&lt;Bewertung_Stammdaten!J$82,Bewertung_Stammdaten!I$82,IF(BG36&lt;Bewertung_Stammdaten!J$83,Bewertung_Stammdaten!I$83,IF(BG36&lt;Bewertung_Stammdaten!J$84,Bewertung_Stammdaten!I$84,IF(BG36&lt;Bewertung_Stammdaten!J$85,Bewertung_Stammdaten!I$85,Bewertung_Stammdaten!I$86)))))))))</f>
        <v>5</v>
      </c>
      <c r="BK36" s="43"/>
      <c r="BL36" s="12">
        <f ca="1">VLOOKUP(A36,Ausschüttungsquote!A$3:X$103,23,FALSE)</f>
        <v>0.6142532832428016</v>
      </c>
      <c r="BM36" s="12">
        <f>VLOOKUP(A36,Ausschüttungsquote!A$3:X$103,19,FALSE)</f>
        <v>0.51172178272675795</v>
      </c>
      <c r="BN36" s="12">
        <f ca="1">VLOOKUP(A36,Ausschüttungsquote!A$3:X$103,24,FALSE)</f>
        <v>0.20036571429438643</v>
      </c>
      <c r="BO36" s="32">
        <f ca="1">IF(BL36&lt;Bewertung_Stammdaten!B$90,Bewertung_Stammdaten!A$90,IF(BL36&lt;Bewertung_Stammdaten!B$91,Bewertung_Stammdaten!A$91,IF(BL36&lt;Bewertung_Stammdaten!B$92,Bewertung_Stammdaten!A$92,IF(BL36&lt;Bewertung_Stammdaten!B$93,Bewertung_Stammdaten!A$93,IF(BL36&lt;Bewertung_Stammdaten!B$94,Bewertung_Stammdaten!A$94,IF(BL36&lt;Bewertung_Stammdaten!B$95,Bewertung_Stammdaten!A$95,IF(BL36&lt;Bewertung_Stammdaten!B$96,Bewertung_Stammdaten!A$96,IF(BL36&lt;Bewertung_Stammdaten!B$97,Bewertung_Stammdaten!A$97,IF(BL36&lt;Bewertung_Stammdaten!B$98,Bewertung_Stammdaten!A$98,Bewertung_Stammdaten!A$99)))))))))</f>
        <v>5</v>
      </c>
      <c r="BP36" s="41">
        <f>IF(BM36&lt;Bewertung_Stammdaten!F$90,Bewertung_Stammdaten!E$90,IF(BM36&lt;Bewertung_Stammdaten!F$91,Bewertung_Stammdaten!E$91,IF(BM36&lt;Bewertung_Stammdaten!F$92,Bewertung_Stammdaten!E$92,IF(BM36&lt;Bewertung_Stammdaten!F$93,Bewertung_Stammdaten!E$93,IF(BM36&lt;Bewertung_Stammdaten!F$94,Bewertung_Stammdaten!E$94,IF(BM36&lt;Bewertung_Stammdaten!F$95,Bewertung_Stammdaten!E$95,IF(BM36&lt;Bewertung_Stammdaten!F$96,Bewertung_Stammdaten!E$96,IF(BM36&lt;Bewertung_Stammdaten!F$97,Bewertung_Stammdaten!E$97,IF(BM36&lt;Bewertung_Stammdaten!F$98,Bewertung_Stammdaten!E$98,Bewertung_Stammdaten!E$99)))))))))</f>
        <v>7</v>
      </c>
      <c r="BQ36" s="32">
        <f ca="1">IF(BN36&lt;Bewertung_Stammdaten!J$90,Bewertung_Stammdaten!I$90,IF(BN36&lt;Bewertung_Stammdaten!J$91,Bewertung_Stammdaten!I$91,IF(BN36&lt;Bewertung_Stammdaten!J$92,Bewertung_Stammdaten!I$92,IF(BN36&lt;Bewertung_Stammdaten!J$93,Bewertung_Stammdaten!I$93,IF(BN36&lt;Bewertung_Stammdaten!J$94,Bewertung_Stammdaten!I$94,IF(BN36&lt;Bewertung_Stammdaten!J$95,Bewertung_Stammdaten!I$95,IF(BN36&lt;Bewertung_Stammdaten!J$96,Bewertung_Stammdaten!I$96,IF(BN36&lt;Bewertung_Stammdaten!J$97,Bewertung_Stammdaten!I$97,IF(BN36&lt;Bewertung_Stammdaten!J$98,Bewertung_Stammdaten!I$98,Bewertung_Stammdaten!I$99)))))))))</f>
        <v>1</v>
      </c>
    </row>
    <row r="37" spans="1:69" x14ac:dyDescent="0.25">
      <c r="A37" s="38" t="s">
        <v>66</v>
      </c>
      <c r="B37" s="38" t="s">
        <v>67</v>
      </c>
      <c r="C37" s="38" t="s">
        <v>296</v>
      </c>
      <c r="D37" s="32">
        <f t="shared" ca="1" si="11"/>
        <v>136.5</v>
      </c>
      <c r="E37" s="43"/>
      <c r="F37" s="66">
        <v>1</v>
      </c>
      <c r="G37" s="11">
        <f ca="1">VLOOKUP(A37,KGV!A$3:R$103,17,FALSE)</f>
        <v>19.548981724891519</v>
      </c>
      <c r="H37" s="11">
        <f>VLOOKUP(A37,KGV!A$3:R$103,16,FALSE)</f>
        <v>17.833333333333336</v>
      </c>
      <c r="I37" s="12">
        <f ca="1">VLOOKUP(A37,KGV!A$3:R$103,18,FALSE)</f>
        <v>9.6204582704197072E-2</v>
      </c>
      <c r="J37" s="16">
        <f t="shared" ca="1" si="12"/>
        <v>25.396967710970181</v>
      </c>
      <c r="K37" s="12">
        <f t="shared" ca="1" si="13"/>
        <v>0.42412903052169226</v>
      </c>
      <c r="L37" s="11">
        <f ca="1">VLOOKUP(A37,KBV!A$3:R$103,17,FALSE)</f>
        <v>3.1172727272727272</v>
      </c>
      <c r="M37" s="11">
        <f>VLOOKUP(A37,KBV!A$3:R$103,16,FALSE)</f>
        <v>2.1039681208053693</v>
      </c>
      <c r="N37" s="12">
        <f ca="1">VLOOKUP(A37,KBV!A$3:R$103,18,FALSE)</f>
        <v>0.4816159505684332</v>
      </c>
      <c r="O37" s="16">
        <f t="shared" ca="1" si="9"/>
        <v>3.2796020219850757</v>
      </c>
      <c r="P37" s="12">
        <f t="shared" ca="1" si="10"/>
        <v>0.55876982619379723</v>
      </c>
      <c r="Q37" s="32">
        <f ca="1">IF(F37=1,IF(I37&lt;Bewertung_Stammdaten!B$12,Bewertung_Stammdaten!A$12,IF(I37&lt;Bewertung_Stammdaten!B$13,Bewertung_Stammdaten!A$13,IF(I37&lt;Bewertung_Stammdaten!B$14,Bewertung_Stammdaten!A$14,IF(I37&lt;Bewertung_Stammdaten!B$15,Bewertung_Stammdaten!A$15,IF(I37&lt;Bewertung_Stammdaten!B$16,Bewertung_Stammdaten!A$16,IF(I37&lt;Bewertung_Stammdaten!B$17,Bewertung_Stammdaten!A$17,IF(I37&lt;Bewertung_Stammdaten!B$18,Bewertung_Stammdaten!A$18,IF(I37&lt;Bewertung_Stammdaten!B$19,Bewertung_Stammdaten!A$19,IF(I37&lt;Bewertung_Stammdaten!B$20,Bewertung_Stammdaten!A$20,Bewertung_Stammdaten!A$21))))))))),IF(N37&lt;Bewertung_Stammdaten!C$12,Bewertung_Stammdaten!A$12,IF(N37&lt;Bewertung_Stammdaten!C$13,Bewertung_Stammdaten!A$13,IF(N37&lt;Bewertung_Stammdaten!C$14,Bewertung_Stammdaten!A$14,IF(N37&lt;Bewertung_Stammdaten!C$15,Bewertung_Stammdaten!A$15,IF(N37&lt;Bewertung_Stammdaten!C$16,Bewertung_Stammdaten!A$16,IF(N37&lt;Bewertung_Stammdaten!C$17,Bewertung_Stammdaten!A$17,IF(N37&lt;Bewertung_Stammdaten!C$18,Bewertung_Stammdaten!A$18,IF(N37&lt;Bewertung_Stammdaten!C$19,Bewertung_Stammdaten!A$19,IF(N37&lt;Bewertung_Stammdaten!C$20,Bewertung_Stammdaten!A$20,Bewertung_Stammdaten!A$21))))))))))</f>
        <v>30</v>
      </c>
      <c r="R37" s="32">
        <f ca="1">IF(F37=1,IF(K37&lt;Bewertung_Stammdaten!F$12,Bewertung_Stammdaten!E$12,IF(K37&lt;Bewertung_Stammdaten!F$13,Bewertung_Stammdaten!E$13,IF(K37&lt;Bewertung_Stammdaten!F$14,Bewertung_Stammdaten!E$14,IF(K37&lt;Bewertung_Stammdaten!F$15,Bewertung_Stammdaten!E$15,IF(K37&lt;Bewertung_Stammdaten!F$16,Bewertung_Stammdaten!E$16,IF(K37&lt;Bewertung_Stammdaten!F$17,Bewertung_Stammdaten!E$17,IF(K37&lt;Bewertung_Stammdaten!F$18,Bewertung_Stammdaten!E$18,IF(K37&lt;Bewertung_Stammdaten!F$19,Bewertung_Stammdaten!E$19,IF(K37&lt;Bewertung_Stammdaten!F$20,Bewertung_Stammdaten!E$20,Bewertung_Stammdaten!E$21))))))))),IF(P37&lt;Bewertung_Stammdaten!G$12,Bewertung_Stammdaten!E$12,IF(P37&lt;Bewertung_Stammdaten!G$13,Bewertung_Stammdaten!E$13,IF(P37&lt;Bewertung_Stammdaten!G$14,Bewertung_Stammdaten!E$14,IF(P37&lt;Bewertung_Stammdaten!G$15,Bewertung_Stammdaten!E$15,IF(P37&lt;Bewertung_Stammdaten!G$16,Bewertung_Stammdaten!E$16,IF(P37&lt;Bewertung_Stammdaten!G$17,Bewertung_Stammdaten!E$17,IF(P37&lt;Bewertung_Stammdaten!G$18,Bewertung_Stammdaten!E$18,IF(P37&lt;Bewertung_Stammdaten!G$19,Bewertung_Stammdaten!E$19,IF(P37&lt;Bewertung_Stammdaten!G$20,Bewertung_Stammdaten!E$20,Bewertung_Stammdaten!E$21))))))))))</f>
        <v>2.5</v>
      </c>
      <c r="S37" s="43"/>
      <c r="T37" s="11">
        <f ca="1">VLOOKUP(A37,Buchwert_je_Aktie!A$3:AK$103,23,FALSE)</f>
        <v>11</v>
      </c>
      <c r="U37" s="11">
        <f>VLOOKUP(A37,Buchwert_je_Aktie!A$3:AK$103,19,FALSE)</f>
        <v>11.186666666666667</v>
      </c>
      <c r="V37" s="12">
        <f ca="1">VLOOKUP(A37,Buchwert_je_Aktie!A$3:AK$103,24,FALSE)</f>
        <v>-1.6686531585220599E-2</v>
      </c>
      <c r="W37" s="12">
        <f>VLOOKUP(A37,Buchwert_je_Aktie!A$3:AK$103,37,FALSE)</f>
        <v>-4.9496644295301984E-2</v>
      </c>
      <c r="X37" s="16">
        <f t="shared" ca="1" si="14"/>
        <v>10.455536912751679</v>
      </c>
      <c r="Y37" s="12">
        <f t="shared" ca="1" si="15"/>
        <v>-6.5357248562126435E-2</v>
      </c>
      <c r="Z37" s="51">
        <f ca="1">IF(V37&lt;Bewertung_Stammdaten!B$25,Bewertung_Stammdaten!A$25,IF(V37&lt;Bewertung_Stammdaten!B$26,Bewertung_Stammdaten!A$26,IF(V37&lt;Bewertung_Stammdaten!B$27,Bewertung_Stammdaten!A$27,IF(V37&lt;Bewertung_Stammdaten!B$28,Bewertung_Stammdaten!A$28,IF(V37&lt;Bewertung_Stammdaten!B$29,Bewertung_Stammdaten!A$29,IF(V37&lt;Bewertung_Stammdaten!B$30,Bewertung_Stammdaten!A$30,IF(V37&lt;Bewertung_Stammdaten!B$31,Bewertung_Stammdaten!A$31,IF(V37&lt;Bewertung_Stammdaten!B$32,Bewertung_Stammdaten!A$32,IF(V37&lt;Bewertung_Stammdaten!B$33,Bewertung_Stammdaten!A$33,Bewertung_Stammdaten!A$34)))))))))</f>
        <v>3</v>
      </c>
      <c r="AA37" s="51">
        <f>IF(W37&lt;Bewertung_Stammdaten!F$25,Bewertung_Stammdaten!E$25,IF(W37&lt;Bewertung_Stammdaten!F$26,Bewertung_Stammdaten!E$26,IF(W37&lt;Bewertung_Stammdaten!F$27,Bewertung_Stammdaten!E$27,IF(W37&lt;Bewertung_Stammdaten!F$28,Bewertung_Stammdaten!E$28,IF(W37&lt;Bewertung_Stammdaten!F$29,Bewertung_Stammdaten!E$29,IF(W37&lt;Bewertung_Stammdaten!F$30,Bewertung_Stammdaten!E$30,IF(W37&lt;Bewertung_Stammdaten!F$31,Bewertung_Stammdaten!E$31,IF(W37&lt;Bewertung_Stammdaten!F$32,Bewertung_Stammdaten!E$32,IF(W37&lt;Bewertung_Stammdaten!F$33,Bewertung_Stammdaten!E$33,Bewertung_Stammdaten!E$34)))))))))</f>
        <v>10.5</v>
      </c>
      <c r="AB37" s="51">
        <f ca="1">IF(Y37&lt;Bewertung_Stammdaten!J$25,Bewertung_Stammdaten!I$25,IF(Y37&lt;Bewertung_Stammdaten!J$26,Bewertung_Stammdaten!I$26,IF(Y37&lt;Bewertung_Stammdaten!J$27,Bewertung_Stammdaten!I$27,IF(Y37&lt;Bewertung_Stammdaten!J$28,Bewertung_Stammdaten!I$28,IF(Y37&lt;Bewertung_Stammdaten!J$29,Bewertung_Stammdaten!I$29,IF(Y37&lt;Bewertung_Stammdaten!J$30,Bewertung_Stammdaten!I$30,IF(Y37&lt;Bewertung_Stammdaten!J$31,Bewertung_Stammdaten!I$31,IF(Y37&lt;Bewertung_Stammdaten!J$32,Bewertung_Stammdaten!I$32,IF(Y37&lt;Bewertung_Stammdaten!J$33,Bewertung_Stammdaten!I$33,Bewertung_Stammdaten!I$34)))))))))</f>
        <v>2</v>
      </c>
      <c r="AC37" s="43"/>
      <c r="AD37" s="14">
        <f ca="1">VLOOKUP(A37,Ergebnis_je_Aktie_verwässert!A$3:AK$103,23,FALSE)</f>
        <v>1.7540555555555557</v>
      </c>
      <c r="AE37" s="14">
        <f>VLOOKUP(A37,Ergebnis_je_Aktie_verwässert!A$3:AK$103,19,FALSE)</f>
        <v>1.4630769230769227</v>
      </c>
      <c r="AF37" s="12">
        <f ca="1">VLOOKUP(A37,Ergebnis_je_Aktie_verwässert!A$3:AK$103,24,FALSE)</f>
        <v>0.19888129454375547</v>
      </c>
      <c r="AG37" s="40">
        <f>VLOOKUP(A37,Ergebnis_je_Aktie_verwässert!A$3:AK$103,37,FALSE)</f>
        <v>-0.23026315789473695</v>
      </c>
      <c r="AH37" s="16">
        <f t="shared" ca="1" si="16"/>
        <v>1.3501611842105263</v>
      </c>
      <c r="AI37" s="12">
        <f t="shared" ca="1" si="17"/>
        <v>-7.7176898278819794E-2</v>
      </c>
      <c r="AJ37" s="32">
        <f ca="1">IF(AF37&lt;Bewertung_Stammdaten!B$38,Bewertung_Stammdaten!A$38,IF(AF37&lt;Bewertung_Stammdaten!B$39,Bewertung_Stammdaten!A$39,IF(AF37&lt;Bewertung_Stammdaten!B$40,Bewertung_Stammdaten!A$40,IF(AF37&lt;Bewertung_Stammdaten!B$41,Bewertung_Stammdaten!A$41,IF(AF37&lt;Bewertung_Stammdaten!B$42,Bewertung_Stammdaten!A$42,IF(AF37&lt;Bewertung_Stammdaten!B$43,Bewertung_Stammdaten!A$43,IF(AF37&lt;Bewertung_Stammdaten!B$44,Bewertung_Stammdaten!A$44,IF(AF37&lt;Bewertung_Stammdaten!B$45,Bewertung_Stammdaten!A$45,IF(AF37&lt;Bewertung_Stammdaten!B$46,Bewertung_Stammdaten!A$46,Bewertung_Stammdaten!A$47)))))))))</f>
        <v>10</v>
      </c>
      <c r="AK37" s="32">
        <f>IF(AG37&lt;Bewertung_Stammdaten!F$38,Bewertung_Stammdaten!E$38,IF(AG37&lt;Bewertung_Stammdaten!F$39,Bewertung_Stammdaten!E$39,IF(AG37&lt;Bewertung_Stammdaten!F$40,Bewertung_Stammdaten!E$40,IF(AG37&lt;Bewertung_Stammdaten!F$41,Bewertung_Stammdaten!E$41,IF(AG37&lt;Bewertung_Stammdaten!F$42,Bewertung_Stammdaten!E$42,IF(AG37&lt;Bewertung_Stammdaten!F$43,Bewertung_Stammdaten!E$43,IF(AG37&lt;Bewertung_Stammdaten!F$44,Bewertung_Stammdaten!E$44,IF(AG37&lt;Bewertung_Stammdaten!F$45,Bewertung_Stammdaten!E$45,IF(AG37&lt;Bewertung_Stammdaten!F$46,Bewertung_Stammdaten!E$46,Bewertung_Stammdaten!E$47)))))))))</f>
        <v>7.5</v>
      </c>
      <c r="AL37" s="32">
        <f ca="1">IF(AI37&lt;Bewertung_Stammdaten!J$38,Bewertung_Stammdaten!I$38,IF(AI37&lt;Bewertung_Stammdaten!J$39,Bewertung_Stammdaten!I$39,IF(AI37&lt;Bewertung_Stammdaten!J$40,Bewertung_Stammdaten!I$40,IF(AI37&lt;Bewertung_Stammdaten!J$41,Bewertung_Stammdaten!I$41,IF(AI37&lt;Bewertung_Stammdaten!J$42,Bewertung_Stammdaten!I$42,IF(AI37&lt;Bewertung_Stammdaten!J$43,Bewertung_Stammdaten!I$43,IF(AI37&lt;Bewertung_Stammdaten!J$44,Bewertung_Stammdaten!I$44,IF(AI37&lt;Bewertung_Stammdaten!J$45,Bewertung_Stammdaten!I$45,IF(AI37&lt;Bewertung_Stammdaten!J$46,Bewertung_Stammdaten!I$46,Bewertung_Stammdaten!I$47)))))))))</f>
        <v>3</v>
      </c>
      <c r="AM37" s="43"/>
      <c r="AN37" s="14">
        <f ca="1">VLOOKUP(A37,Dividende_je_Aktie!A$3:AM$103,24,FALSE)</f>
        <v>1.1235555555555556</v>
      </c>
      <c r="AO37" s="14">
        <f>VLOOKUP(A37,Dividende_je_Aktie!A$3:AM$103,20,FALSE)</f>
        <v>0.96499999999999997</v>
      </c>
      <c r="AP37" s="12">
        <f ca="1">VLOOKUP(A37,Dividende_je_Aktie!A$3:AM$103,25,FALSE)</f>
        <v>0.16430627518710428</v>
      </c>
      <c r="AQ37" s="40">
        <f>VLOOKUP(A37,Dividende_je_Aktie!A$3:AM$103,39,FALSE)</f>
        <v>-0.375</v>
      </c>
      <c r="AR37" s="16">
        <f t="shared" ca="1" si="18"/>
        <v>0.7022222222222223</v>
      </c>
      <c r="AS37" s="12">
        <f t="shared" ca="1" si="19"/>
        <v>-0.27230857800805974</v>
      </c>
      <c r="AT37" s="32">
        <f ca="1">IF(AP37&lt;Bewertung_Stammdaten!B$51,Bewertung_Stammdaten!A$51,IF(AP37&lt;Bewertung_Stammdaten!B$52,Bewertung_Stammdaten!A$52,IF(AP37&lt;Bewertung_Stammdaten!B$53,Bewertung_Stammdaten!A$53,IF(AP37&lt;Bewertung_Stammdaten!B$54,Bewertung_Stammdaten!A$54,IF(AP37&lt;Bewertung_Stammdaten!B$55,Bewertung_Stammdaten!A$55,IF(AP37&lt;Bewertung_Stammdaten!B$56,Bewertung_Stammdaten!A$56,IF(AP37&lt;Bewertung_Stammdaten!B$57,Bewertung_Stammdaten!A$57,IF(AP37&lt;Bewertung_Stammdaten!B$58,Bewertung_Stammdaten!A$58,IF(AP37&lt;Bewertung_Stammdaten!B$59,Bewertung_Stammdaten!A$59,Bewertung_Stammdaten!A$60)))))))))</f>
        <v>8</v>
      </c>
      <c r="AU37" s="32">
        <f>IF(AQ37&lt;Bewertung_Stammdaten!F$51,Bewertung_Stammdaten!E$51,IF(AQ37&lt;Bewertung_Stammdaten!F$52,Bewertung_Stammdaten!E$52,IF(AQ37&lt;Bewertung_Stammdaten!F$53,Bewertung_Stammdaten!E$53,IF(AQ37&lt;Bewertung_Stammdaten!F$54,Bewertung_Stammdaten!E$54,IF(AQ37&lt;Bewertung_Stammdaten!F$55,Bewertung_Stammdaten!E$55,IF(AQ37&lt;Bewertung_Stammdaten!F$56,Bewertung_Stammdaten!E$56,IF(AQ37&lt;Bewertung_Stammdaten!F$57,Bewertung_Stammdaten!E$57,IF(AQ37&lt;Bewertung_Stammdaten!F$58,Bewertung_Stammdaten!E$58,IF(AQ37&lt;Bewertung_Stammdaten!F$59,Bewertung_Stammdaten!E$59,Bewertung_Stammdaten!E$60)))))))))</f>
        <v>6</v>
      </c>
      <c r="AV37" s="32">
        <f ca="1">IF(AS37&lt;Bewertung_Stammdaten!J$51,Bewertung_Stammdaten!I$51,IF(AS37&lt;Bewertung_Stammdaten!J$52,Bewertung_Stammdaten!I$52,IF(AS37&lt;Bewertung_Stammdaten!J$53,Bewertung_Stammdaten!I$53,IF(AS37&lt;Bewertung_Stammdaten!J$54,Bewertung_Stammdaten!I$54,IF(AS37&lt;Bewertung_Stammdaten!J$55,Bewertung_Stammdaten!I$55,IF(AS37&lt;Bewertung_Stammdaten!J$56,Bewertung_Stammdaten!I$56,IF(AS37&lt;Bewertung_Stammdaten!J$57,Bewertung_Stammdaten!I$57,IF(AS37&lt;Bewertung_Stammdaten!J$58,Bewertung_Stammdaten!I$58,IF(AS37&lt;Bewertung_Stammdaten!J$59,Bewertung_Stammdaten!I$59,Bewertung_Stammdaten!I$60)))))))))</f>
        <v>1</v>
      </c>
      <c r="AW37" s="43"/>
      <c r="AX37" s="12">
        <f ca="1">VLOOKUP(A37,Dividendenrendite!A$3:R$103,17,FALSE)</f>
        <v>3.2766274586047119E-2</v>
      </c>
      <c r="AY37" s="12">
        <f>VLOOKUP(A37,Dividendenrendite!A$3:R$103,16,FALSE)</f>
        <v>3.8919027016559297E-2</v>
      </c>
      <c r="AZ37" s="12">
        <f ca="1">VLOOKUP(A37,Dividendenrendite!A$3:R$103,18,FALSE)</f>
        <v>-0.15809111640674622</v>
      </c>
      <c r="BA37" s="32">
        <f ca="1">IF(AX37&lt;Bewertung_Stammdaten!B$64,Bewertung_Stammdaten!A$64,IF(AX37&lt;Bewertung_Stammdaten!B$65,Bewertung_Stammdaten!A$65,IF(AX37&lt;Bewertung_Stammdaten!B$66,Bewertung_Stammdaten!A$66,IF(AX37&lt;Bewertung_Stammdaten!B$67,Bewertung_Stammdaten!A$67,IF(AX37&lt;Bewertung_Stammdaten!B$68,Bewertung_Stammdaten!A$68,IF(AX37&lt;Bewertung_Stammdaten!B$69,Bewertung_Stammdaten!A$69,IF(AX37&lt;Bewertung_Stammdaten!B$70,Bewertung_Stammdaten!A$70,IF(AX37&lt;Bewertung_Stammdaten!B$71,Bewertung_Stammdaten!A$71,IF(AX37&lt;Bewertung_Stammdaten!B$72,Bewertung_Stammdaten!A$72,Bewertung_Stammdaten!A$73)))))))))</f>
        <v>10.5</v>
      </c>
      <c r="BB37" s="32">
        <f>IF(AY37&lt;Bewertung_Stammdaten!F$64,Bewertung_Stammdaten!E$64,IF(AY37&lt;Bewertung_Stammdaten!F$65,Bewertung_Stammdaten!E$65,IF(AY37&lt;Bewertung_Stammdaten!F$66,Bewertung_Stammdaten!E$66,IF(AY37&lt;Bewertung_Stammdaten!F$67,Bewertung_Stammdaten!E$67,IF(AY37&lt;Bewertung_Stammdaten!F$68,Bewertung_Stammdaten!E$68,IF(AY37&lt;Bewertung_Stammdaten!F$69,Bewertung_Stammdaten!E$69,IF(AY37&lt;Bewertung_Stammdaten!F$70,Bewertung_Stammdaten!E$70,IF(AY37&lt;Bewertung_Stammdaten!F$71,Bewertung_Stammdaten!E$71,IF(AY37&lt;Bewertung_Stammdaten!F$72,Bewertung_Stammdaten!E$72,Bewertung_Stammdaten!E$73)))))))))</f>
        <v>8</v>
      </c>
      <c r="BC37" s="32">
        <f ca="1">IF(AZ37&lt;Bewertung_Stammdaten!J$64,Bewertung_Stammdaten!I$64,IF(AZ37&lt;Bewertung_Stammdaten!J$65,Bewertung_Stammdaten!I$65,IF(AZ37&lt;Bewertung_Stammdaten!J$66,Bewertung_Stammdaten!I$66,IF(AZ37&lt;Bewertung_Stammdaten!J$67,Bewertung_Stammdaten!I$67,IF(AZ37&lt;Bewertung_Stammdaten!J$68,Bewertung_Stammdaten!I$68,IF(AZ37&lt;Bewertung_Stammdaten!J$69,Bewertung_Stammdaten!I$69,IF(AZ37&lt;Bewertung_Stammdaten!J$70,Bewertung_Stammdaten!I$70,IF(AZ37&lt;Bewertung_Stammdaten!J$71,Bewertung_Stammdaten!I$71,IF(AZ37&lt;Bewertung_Stammdaten!J$72,Bewertung_Stammdaten!I$72,Bewertung_Stammdaten!I$73)))))))))</f>
        <v>1</v>
      </c>
      <c r="BD37" s="43"/>
      <c r="BE37" s="12">
        <f>VLOOKUP(A37,Aktien_im_Umlauf_splitbereinigt!A$3:Z$103,26,FALSE)</f>
        <v>-1.6877637130801704E-2</v>
      </c>
      <c r="BF37" s="12">
        <f>VLOOKUP(A37,Aktien_im_Umlauf_splitbereinigt!A$3:Y$103,24,FALSE)</f>
        <v>-4.7722628468798801E-2</v>
      </c>
      <c r="BG37" s="12">
        <f>VLOOKUP(A37,Aktien_im_Umlauf_splitbereinigt!A$3:Y$103,25,FALSE)</f>
        <v>-0.64633890310890241</v>
      </c>
      <c r="BH37" s="41">
        <f>IF(BE37&lt;Bewertung_Stammdaten!B$77,Bewertung_Stammdaten!A$77,IF(BE37&lt;Bewertung_Stammdaten!B$78,Bewertung_Stammdaten!A$78,IF(BE37&lt;Bewertung_Stammdaten!B$79,Bewertung_Stammdaten!A$79,IF(BE37&lt;Bewertung_Stammdaten!B$80,Bewertung_Stammdaten!A$80,IF(BE37&lt;Bewertung_Stammdaten!B$81,Bewertung_Stammdaten!A$81,IF(BE37&lt;Bewertung_Stammdaten!B$82,Bewertung_Stammdaten!A$82,IF(BE37&lt;Bewertung_Stammdaten!B$83,Bewertung_Stammdaten!A$83,IF(BE37&lt;Bewertung_Stammdaten!B$84,Bewertung_Stammdaten!A$84,IF(BE37&lt;Bewertung_Stammdaten!B$85,Bewertung_Stammdaten!A$85,Bewertung_Stammdaten!A$86)))))))))</f>
        <v>6</v>
      </c>
      <c r="BI37" s="41">
        <f>IF(BF37&lt;Bewertung_Stammdaten!F$77,Bewertung_Stammdaten!E$77,IF(BF37&lt;Bewertung_Stammdaten!F$78,Bewertung_Stammdaten!E$78,IF(BF37&lt;Bewertung_Stammdaten!F$79,Bewertung_Stammdaten!E$79,IF(BF37&lt;Bewertung_Stammdaten!F$80,Bewertung_Stammdaten!E$80,IF(BF37&lt;Bewertung_Stammdaten!F$81,Bewertung_Stammdaten!E$81,IF(BF37&lt;Bewertung_Stammdaten!F$82,Bewertung_Stammdaten!E$82,IF(BF37&lt;Bewertung_Stammdaten!F$83,Bewertung_Stammdaten!E$83,IF(BF37&lt;Bewertung_Stammdaten!F$84,Bewertung_Stammdaten!E$84,IF(BF37&lt;Bewertung_Stammdaten!F$85,Bewertung_Stammdaten!E$85,Bewertung_Stammdaten!E$86)))))))))</f>
        <v>10</v>
      </c>
      <c r="BJ37" s="41">
        <f>IF(BG37&lt;Bewertung_Stammdaten!J$77,Bewertung_Stammdaten!I$77,IF(BG37&lt;Bewertung_Stammdaten!J$78,Bewertung_Stammdaten!I$78,IF(BG37&lt;Bewertung_Stammdaten!J$79,Bewertung_Stammdaten!I$79,IF(BG37&lt;Bewertung_Stammdaten!J$80,Bewertung_Stammdaten!I$80,IF(BG37&lt;Bewertung_Stammdaten!J$81,Bewertung_Stammdaten!I$81,IF(BG37&lt;Bewertung_Stammdaten!J$82,Bewertung_Stammdaten!I$82,IF(BG37&lt;Bewertung_Stammdaten!J$83,Bewertung_Stammdaten!I$83,IF(BG37&lt;Bewertung_Stammdaten!J$84,Bewertung_Stammdaten!I$84,IF(BG37&lt;Bewertung_Stammdaten!J$85,Bewertung_Stammdaten!I$85,Bewertung_Stammdaten!I$86)))))))))</f>
        <v>1.5</v>
      </c>
      <c r="BK37" s="43"/>
      <c r="BL37" s="12">
        <f ca="1">VLOOKUP(A37,Ausschüttungsquote!A$3:X$103,23,FALSE)</f>
        <v>0.64094785575048729</v>
      </c>
      <c r="BM37" s="12">
        <f>VLOOKUP(A37,Ausschüttungsquote!A$3:X$103,19,FALSE)</f>
        <v>0.6948036130761488</v>
      </c>
      <c r="BN37" s="12">
        <f ca="1">VLOOKUP(A37,Ausschüttungsquote!A$3:X$103,24,FALSE)</f>
        <v>-7.7512201019252713E-2</v>
      </c>
      <c r="BO37" s="32">
        <f ca="1">IF(BL37&lt;Bewertung_Stammdaten!B$90,Bewertung_Stammdaten!A$90,IF(BL37&lt;Bewertung_Stammdaten!B$91,Bewertung_Stammdaten!A$91,IF(BL37&lt;Bewertung_Stammdaten!B$92,Bewertung_Stammdaten!A$92,IF(BL37&lt;Bewertung_Stammdaten!B$93,Bewertung_Stammdaten!A$93,IF(BL37&lt;Bewertung_Stammdaten!B$94,Bewertung_Stammdaten!A$94,IF(BL37&lt;Bewertung_Stammdaten!B$95,Bewertung_Stammdaten!A$95,IF(BL37&lt;Bewertung_Stammdaten!B$96,Bewertung_Stammdaten!A$96,IF(BL37&lt;Bewertung_Stammdaten!B$97,Bewertung_Stammdaten!A$97,IF(BL37&lt;Bewertung_Stammdaten!B$98,Bewertung_Stammdaten!A$98,Bewertung_Stammdaten!A$99)))))))))</f>
        <v>5</v>
      </c>
      <c r="BP37" s="41">
        <f>IF(BM37&lt;Bewertung_Stammdaten!F$90,Bewertung_Stammdaten!E$90,IF(BM37&lt;Bewertung_Stammdaten!F$91,Bewertung_Stammdaten!E$91,IF(BM37&lt;Bewertung_Stammdaten!F$92,Bewertung_Stammdaten!E$92,IF(BM37&lt;Bewertung_Stammdaten!F$93,Bewertung_Stammdaten!E$93,IF(BM37&lt;Bewertung_Stammdaten!F$94,Bewertung_Stammdaten!E$94,IF(BM37&lt;Bewertung_Stammdaten!F$95,Bewertung_Stammdaten!E$95,IF(BM37&lt;Bewertung_Stammdaten!F$96,Bewertung_Stammdaten!E$96,IF(BM37&lt;Bewertung_Stammdaten!F$97,Bewertung_Stammdaten!E$97,IF(BM37&lt;Bewertung_Stammdaten!F$98,Bewertung_Stammdaten!E$98,Bewertung_Stammdaten!E$99)))))))))</f>
        <v>4</v>
      </c>
      <c r="BQ37" s="32">
        <f ca="1">IF(BN37&lt;Bewertung_Stammdaten!J$90,Bewertung_Stammdaten!I$90,IF(BN37&lt;Bewertung_Stammdaten!J$91,Bewertung_Stammdaten!I$91,IF(BN37&lt;Bewertung_Stammdaten!J$92,Bewertung_Stammdaten!I$92,IF(BN37&lt;Bewertung_Stammdaten!J$93,Bewertung_Stammdaten!I$93,IF(BN37&lt;Bewertung_Stammdaten!J$94,Bewertung_Stammdaten!I$94,IF(BN37&lt;Bewertung_Stammdaten!J$95,Bewertung_Stammdaten!I$95,IF(BN37&lt;Bewertung_Stammdaten!J$96,Bewertung_Stammdaten!I$96,IF(BN37&lt;Bewertung_Stammdaten!J$97,Bewertung_Stammdaten!I$97,IF(BN37&lt;Bewertung_Stammdaten!J$98,Bewertung_Stammdaten!I$98,Bewertung_Stammdaten!I$99)))))))))</f>
        <v>7</v>
      </c>
    </row>
    <row r="38" spans="1:69" x14ac:dyDescent="0.25">
      <c r="A38" s="38" t="s">
        <v>68</v>
      </c>
      <c r="B38" s="38" t="s">
        <v>69</v>
      </c>
      <c r="C38" s="38" t="s">
        <v>296</v>
      </c>
      <c r="D38" s="32">
        <f t="shared" ca="1" si="11"/>
        <v>134</v>
      </c>
      <c r="E38" s="43"/>
      <c r="F38" s="66">
        <v>1</v>
      </c>
      <c r="G38" s="11">
        <f ca="1">VLOOKUP(A38,KGV!A$3:R$103,17,FALSE)</f>
        <v>18.553718493415232</v>
      </c>
      <c r="H38" s="11">
        <f>VLOOKUP(A38,KGV!A$3:R$103,16,FALSE)</f>
        <v>15.901140684410647</v>
      </c>
      <c r="I38" s="12">
        <f ca="1">VLOOKUP(A38,KGV!A$3:R$103,18,FALSE)</f>
        <v>0.16681682538694553</v>
      </c>
      <c r="J38" s="16">
        <f t="shared" ca="1" si="12"/>
        <v>20.502638503227757</v>
      </c>
      <c r="K38" s="12">
        <f t="shared" ca="1" si="13"/>
        <v>0.28938161796960782</v>
      </c>
      <c r="L38" s="11">
        <f ca="1">VLOOKUP(A38,KBV!A$3:R$103,17,FALSE)</f>
        <v>-26.269051651143101</v>
      </c>
      <c r="M38" s="11">
        <f>VLOOKUP(A38,KBV!A$3:R$103,16,FALSE)</f>
        <v>-17.10429447852761</v>
      </c>
      <c r="N38" s="12">
        <f ca="1">VLOOKUP(A38,KBV!A$3:R$103,18,FALSE)</f>
        <v>-0.53581614746640072</v>
      </c>
      <c r="O38" s="16">
        <f t="shared" ca="1" si="9"/>
        <v>1.5382777993912626</v>
      </c>
      <c r="P38" s="12">
        <f t="shared" ca="1" si="10"/>
        <v>-1.089935179806591</v>
      </c>
      <c r="Q38" s="32">
        <f ca="1">IF(F38=1,IF(I38&lt;Bewertung_Stammdaten!B$12,Bewertung_Stammdaten!A$12,IF(I38&lt;Bewertung_Stammdaten!B$13,Bewertung_Stammdaten!A$13,IF(I38&lt;Bewertung_Stammdaten!B$14,Bewertung_Stammdaten!A$14,IF(I38&lt;Bewertung_Stammdaten!B$15,Bewertung_Stammdaten!A$15,IF(I38&lt;Bewertung_Stammdaten!B$16,Bewertung_Stammdaten!A$16,IF(I38&lt;Bewertung_Stammdaten!B$17,Bewertung_Stammdaten!A$17,IF(I38&lt;Bewertung_Stammdaten!B$18,Bewertung_Stammdaten!A$18,IF(I38&lt;Bewertung_Stammdaten!B$19,Bewertung_Stammdaten!A$19,IF(I38&lt;Bewertung_Stammdaten!B$20,Bewertung_Stammdaten!A$20,Bewertung_Stammdaten!A$21))))))))),IF(N38&lt;Bewertung_Stammdaten!C$12,Bewertung_Stammdaten!A$12,IF(N38&lt;Bewertung_Stammdaten!C$13,Bewertung_Stammdaten!A$13,IF(N38&lt;Bewertung_Stammdaten!C$14,Bewertung_Stammdaten!A$14,IF(N38&lt;Bewertung_Stammdaten!C$15,Bewertung_Stammdaten!A$15,IF(N38&lt;Bewertung_Stammdaten!C$16,Bewertung_Stammdaten!A$16,IF(N38&lt;Bewertung_Stammdaten!C$17,Bewertung_Stammdaten!A$17,IF(N38&lt;Bewertung_Stammdaten!C$18,Bewertung_Stammdaten!A$18,IF(N38&lt;Bewertung_Stammdaten!C$19,Bewertung_Stammdaten!A$19,IF(N38&lt;Bewertung_Stammdaten!C$20,Bewertung_Stammdaten!A$20,Bewertung_Stammdaten!A$21))))))))))</f>
        <v>18</v>
      </c>
      <c r="R38" s="32">
        <f ca="1">IF(F38=1,IF(K38&lt;Bewertung_Stammdaten!F$12,Bewertung_Stammdaten!E$12,IF(K38&lt;Bewertung_Stammdaten!F$13,Bewertung_Stammdaten!E$13,IF(K38&lt;Bewertung_Stammdaten!F$14,Bewertung_Stammdaten!E$14,IF(K38&lt;Bewertung_Stammdaten!F$15,Bewertung_Stammdaten!E$15,IF(K38&lt;Bewertung_Stammdaten!F$16,Bewertung_Stammdaten!E$16,IF(K38&lt;Bewertung_Stammdaten!F$17,Bewertung_Stammdaten!E$17,IF(K38&lt;Bewertung_Stammdaten!F$18,Bewertung_Stammdaten!E$18,IF(K38&lt;Bewertung_Stammdaten!F$19,Bewertung_Stammdaten!E$19,IF(K38&lt;Bewertung_Stammdaten!F$20,Bewertung_Stammdaten!E$20,Bewertung_Stammdaten!E$21))))))))),IF(P38&lt;Bewertung_Stammdaten!G$12,Bewertung_Stammdaten!E$12,IF(P38&lt;Bewertung_Stammdaten!G$13,Bewertung_Stammdaten!E$13,IF(P38&lt;Bewertung_Stammdaten!G$14,Bewertung_Stammdaten!E$14,IF(P38&lt;Bewertung_Stammdaten!G$15,Bewertung_Stammdaten!E$15,IF(P38&lt;Bewertung_Stammdaten!G$16,Bewertung_Stammdaten!E$16,IF(P38&lt;Bewertung_Stammdaten!G$17,Bewertung_Stammdaten!E$17,IF(P38&lt;Bewertung_Stammdaten!G$18,Bewertung_Stammdaten!E$18,IF(P38&lt;Bewertung_Stammdaten!G$19,Bewertung_Stammdaten!E$19,IF(P38&lt;Bewertung_Stammdaten!G$20,Bewertung_Stammdaten!E$20,Bewertung_Stammdaten!E$21))))))))))</f>
        <v>10</v>
      </c>
      <c r="S38" s="43"/>
      <c r="T38" s="11">
        <f ca="1">VLOOKUP(A38,Buchwert_je_Aktie!A$3:AK$103,23,FALSE)</f>
        <v>-3.1493333333333333</v>
      </c>
      <c r="U38" s="11">
        <f>VLOOKUP(A38,Buchwert_je_Aktie!A$3:AK$103,19,FALSE)</f>
        <v>-2.19</v>
      </c>
      <c r="V38" s="12">
        <f ca="1">VLOOKUP(A38,Buchwert_je_Aktie!A$3:AK$103,24,FALSE)</f>
        <v>-0.43805175038051747</v>
      </c>
      <c r="W38" s="12">
        <f>VLOOKUP(A38,Buchwert_je_Aktie!A$3:AK$103,37,FALSE)</f>
        <v>-18.076923076923077</v>
      </c>
      <c r="X38" s="16">
        <f t="shared" ca="1" si="14"/>
        <v>-53.780923076923074</v>
      </c>
      <c r="Y38" s="12">
        <f t="shared" si="15"/>
        <v>-99.999989999999997</v>
      </c>
      <c r="Z38" s="51">
        <f ca="1">IF(V38&lt;Bewertung_Stammdaten!B$25,Bewertung_Stammdaten!A$25,IF(V38&lt;Bewertung_Stammdaten!B$26,Bewertung_Stammdaten!A$26,IF(V38&lt;Bewertung_Stammdaten!B$27,Bewertung_Stammdaten!A$27,IF(V38&lt;Bewertung_Stammdaten!B$28,Bewertung_Stammdaten!A$28,IF(V38&lt;Bewertung_Stammdaten!B$29,Bewertung_Stammdaten!A$29,IF(V38&lt;Bewertung_Stammdaten!B$30,Bewertung_Stammdaten!A$30,IF(V38&lt;Bewertung_Stammdaten!B$31,Bewertung_Stammdaten!A$31,IF(V38&lt;Bewertung_Stammdaten!B$32,Bewertung_Stammdaten!A$32,IF(V38&lt;Bewertung_Stammdaten!B$33,Bewertung_Stammdaten!A$33,Bewertung_Stammdaten!A$34)))))))))</f>
        <v>1.5</v>
      </c>
      <c r="AA38" s="51">
        <f>IF(W38&lt;Bewertung_Stammdaten!F$25,Bewertung_Stammdaten!E$25,IF(W38&lt;Bewertung_Stammdaten!F$26,Bewertung_Stammdaten!E$26,IF(W38&lt;Bewertung_Stammdaten!F$27,Bewertung_Stammdaten!E$27,IF(W38&lt;Bewertung_Stammdaten!F$28,Bewertung_Stammdaten!E$28,IF(W38&lt;Bewertung_Stammdaten!F$29,Bewertung_Stammdaten!E$29,IF(W38&lt;Bewertung_Stammdaten!F$30,Bewertung_Stammdaten!E$30,IF(W38&lt;Bewertung_Stammdaten!F$31,Bewertung_Stammdaten!E$31,IF(W38&lt;Bewertung_Stammdaten!F$32,Bewertung_Stammdaten!E$32,IF(W38&lt;Bewertung_Stammdaten!F$33,Bewertung_Stammdaten!E$33,Bewertung_Stammdaten!E$34)))))))))</f>
        <v>1.5</v>
      </c>
      <c r="AB38" s="51">
        <f>IF(Y38&lt;Bewertung_Stammdaten!J$25,Bewertung_Stammdaten!I$25,IF(Y38&lt;Bewertung_Stammdaten!J$26,Bewertung_Stammdaten!I$26,IF(Y38&lt;Bewertung_Stammdaten!J$27,Bewertung_Stammdaten!I$27,IF(Y38&lt;Bewertung_Stammdaten!J$28,Bewertung_Stammdaten!I$28,IF(Y38&lt;Bewertung_Stammdaten!J$29,Bewertung_Stammdaten!I$29,IF(Y38&lt;Bewertung_Stammdaten!J$30,Bewertung_Stammdaten!I$30,IF(Y38&lt;Bewertung_Stammdaten!J$31,Bewertung_Stammdaten!I$31,IF(Y38&lt;Bewertung_Stammdaten!J$32,Bewertung_Stammdaten!I$32,IF(Y38&lt;Bewertung_Stammdaten!J$33,Bewertung_Stammdaten!I$33,Bewertung_Stammdaten!I$34)))))))))</f>
        <v>1</v>
      </c>
      <c r="AC38" s="43"/>
      <c r="AD38" s="14">
        <f ca="1">VLOOKUP(A38,Ergebnis_je_Aktie_verwässert!A$3:AK$103,23,FALSE)</f>
        <v>4.4589444444444446</v>
      </c>
      <c r="AE38" s="14">
        <f>VLOOKUP(A38,Ergebnis_je_Aktie_verwässert!A$3:AK$103,19,FALSE)</f>
        <v>4.4620000000000006</v>
      </c>
      <c r="AF38" s="12">
        <f ca="1">VLOOKUP(A38,Ergebnis_je_Aktie_verwässert!A$3:AK$103,24,FALSE)</f>
        <v>-6.8479505951501984E-4</v>
      </c>
      <c r="AG38" s="40">
        <f>VLOOKUP(A38,Ergebnis_je_Aktie_verwässert!A$3:AK$103,37,FALSE)</f>
        <v>-9.5057034220532355E-2</v>
      </c>
      <c r="AH38" s="16">
        <f t="shared" ca="1" si="16"/>
        <v>4.0350904098014366</v>
      </c>
      <c r="AI38" s="12">
        <f t="shared" ca="1" si="17"/>
        <v>-9.567673469264093E-2</v>
      </c>
      <c r="AJ38" s="32">
        <f ca="1">IF(AF38&lt;Bewertung_Stammdaten!B$38,Bewertung_Stammdaten!A$38,IF(AF38&lt;Bewertung_Stammdaten!B$39,Bewertung_Stammdaten!A$39,IF(AF38&lt;Bewertung_Stammdaten!B$40,Bewertung_Stammdaten!A$40,IF(AF38&lt;Bewertung_Stammdaten!B$41,Bewertung_Stammdaten!A$41,IF(AF38&lt;Bewertung_Stammdaten!B$42,Bewertung_Stammdaten!A$42,IF(AF38&lt;Bewertung_Stammdaten!B$43,Bewertung_Stammdaten!A$43,IF(AF38&lt;Bewertung_Stammdaten!B$44,Bewertung_Stammdaten!A$44,IF(AF38&lt;Bewertung_Stammdaten!B$45,Bewertung_Stammdaten!A$45,IF(AF38&lt;Bewertung_Stammdaten!B$46,Bewertung_Stammdaten!A$46,Bewertung_Stammdaten!A$47)))))))))</f>
        <v>6</v>
      </c>
      <c r="AK38" s="32">
        <f>IF(AG38&lt;Bewertung_Stammdaten!F$38,Bewertung_Stammdaten!E$38,IF(AG38&lt;Bewertung_Stammdaten!F$39,Bewertung_Stammdaten!E$39,IF(AG38&lt;Bewertung_Stammdaten!F$40,Bewertung_Stammdaten!E$40,IF(AG38&lt;Bewertung_Stammdaten!F$41,Bewertung_Stammdaten!E$41,IF(AG38&lt;Bewertung_Stammdaten!F$42,Bewertung_Stammdaten!E$42,IF(AG38&lt;Bewertung_Stammdaten!F$43,Bewertung_Stammdaten!E$43,IF(AG38&lt;Bewertung_Stammdaten!F$44,Bewertung_Stammdaten!E$44,IF(AG38&lt;Bewertung_Stammdaten!F$45,Bewertung_Stammdaten!E$45,IF(AG38&lt;Bewertung_Stammdaten!F$46,Bewertung_Stammdaten!E$46,Bewertung_Stammdaten!E$47)))))))))</f>
        <v>10.5</v>
      </c>
      <c r="AL38" s="32">
        <f ca="1">IF(AI38&lt;Bewertung_Stammdaten!J$38,Bewertung_Stammdaten!I$38,IF(AI38&lt;Bewertung_Stammdaten!J$39,Bewertung_Stammdaten!I$39,IF(AI38&lt;Bewertung_Stammdaten!J$40,Bewertung_Stammdaten!I$40,IF(AI38&lt;Bewertung_Stammdaten!J$41,Bewertung_Stammdaten!I$41,IF(AI38&lt;Bewertung_Stammdaten!J$42,Bewertung_Stammdaten!I$42,IF(AI38&lt;Bewertung_Stammdaten!J$43,Bewertung_Stammdaten!I$43,IF(AI38&lt;Bewertung_Stammdaten!J$44,Bewertung_Stammdaten!I$44,IF(AI38&lt;Bewertung_Stammdaten!J$45,Bewertung_Stammdaten!I$45,IF(AI38&lt;Bewertung_Stammdaten!J$46,Bewertung_Stammdaten!I$46,Bewertung_Stammdaten!I$47)))))))))</f>
        <v>3</v>
      </c>
      <c r="AM38" s="43"/>
      <c r="AN38" s="14">
        <f ca="1">VLOOKUP(A38,Dividende_je_Aktie!A$3:AM$103,24,FALSE)</f>
        <v>4.1142222222222218</v>
      </c>
      <c r="AO38" s="14">
        <f>VLOOKUP(A38,Dividende_je_Aktie!A$3:AM$103,20,FALSE)</f>
        <v>3.2399999999999998</v>
      </c>
      <c r="AP38" s="12">
        <f ca="1">VLOOKUP(A38,Dividende_je_Aktie!A$3:AM$103,25,FALSE)</f>
        <v>0.26982167352537711</v>
      </c>
      <c r="AQ38" s="40">
        <f>VLOOKUP(A38,Dividende_je_Aktie!A$3:AM$103,39,FALSE)</f>
        <v>3.7914691943127909E-2</v>
      </c>
      <c r="AR38" s="16">
        <f t="shared" ca="1" si="18"/>
        <v>4.1142222222222218</v>
      </c>
      <c r="AS38" s="12">
        <f t="shared" ca="1" si="19"/>
        <v>0.26982167352537711</v>
      </c>
      <c r="AT38" s="32">
        <f ca="1">IF(AP38&lt;Bewertung_Stammdaten!B$51,Bewertung_Stammdaten!A$51,IF(AP38&lt;Bewertung_Stammdaten!B$52,Bewertung_Stammdaten!A$52,IF(AP38&lt;Bewertung_Stammdaten!B$53,Bewertung_Stammdaten!A$53,IF(AP38&lt;Bewertung_Stammdaten!B$54,Bewertung_Stammdaten!A$54,IF(AP38&lt;Bewertung_Stammdaten!B$55,Bewertung_Stammdaten!A$55,IF(AP38&lt;Bewertung_Stammdaten!B$56,Bewertung_Stammdaten!A$56,IF(AP38&lt;Bewertung_Stammdaten!B$57,Bewertung_Stammdaten!A$57,IF(AP38&lt;Bewertung_Stammdaten!B$58,Bewertung_Stammdaten!A$58,IF(AP38&lt;Bewertung_Stammdaten!B$59,Bewertung_Stammdaten!A$59,Bewertung_Stammdaten!A$60)))))))))</f>
        <v>10</v>
      </c>
      <c r="AU38" s="32">
        <f>IF(AQ38&lt;Bewertung_Stammdaten!F$51,Bewertung_Stammdaten!E$51,IF(AQ38&lt;Bewertung_Stammdaten!F$52,Bewertung_Stammdaten!E$52,IF(AQ38&lt;Bewertung_Stammdaten!F$53,Bewertung_Stammdaten!E$53,IF(AQ38&lt;Bewertung_Stammdaten!F$54,Bewertung_Stammdaten!E$54,IF(AQ38&lt;Bewertung_Stammdaten!F$55,Bewertung_Stammdaten!E$55,IF(AQ38&lt;Bewertung_Stammdaten!F$56,Bewertung_Stammdaten!E$56,IF(AQ38&lt;Bewertung_Stammdaten!F$57,Bewertung_Stammdaten!E$57,IF(AQ38&lt;Bewertung_Stammdaten!F$58,Bewertung_Stammdaten!E$58,IF(AQ38&lt;Bewertung_Stammdaten!F$59,Bewertung_Stammdaten!E$59,Bewertung_Stammdaten!E$60)))))))))</f>
        <v>12</v>
      </c>
      <c r="AV38" s="32">
        <f ca="1">IF(AS38&lt;Bewertung_Stammdaten!J$51,Bewertung_Stammdaten!I$51,IF(AS38&lt;Bewertung_Stammdaten!J$52,Bewertung_Stammdaten!I$52,IF(AS38&lt;Bewertung_Stammdaten!J$53,Bewertung_Stammdaten!I$53,IF(AS38&lt;Bewertung_Stammdaten!J$54,Bewertung_Stammdaten!I$54,IF(AS38&lt;Bewertung_Stammdaten!J$55,Bewertung_Stammdaten!I$55,IF(AS38&lt;Bewertung_Stammdaten!J$56,Bewertung_Stammdaten!I$56,IF(AS38&lt;Bewertung_Stammdaten!J$57,Bewertung_Stammdaten!I$57,IF(AS38&lt;Bewertung_Stammdaten!J$58,Bewertung_Stammdaten!I$58,IF(AS38&lt;Bewertung_Stammdaten!J$59,Bewertung_Stammdaten!I$59,Bewertung_Stammdaten!I$60)))))))))</f>
        <v>7</v>
      </c>
      <c r="AW38" s="43"/>
      <c r="AX38" s="12">
        <f ca="1">VLOOKUP(A38,Dividendenrendite!A$3:R$103,17,FALSE)</f>
        <v>4.9730717058167791E-2</v>
      </c>
      <c r="AY38" s="12">
        <f>VLOOKUP(A38,Dividendenrendite!A$3:R$103,16,FALSE)</f>
        <v>4.3004917222376551E-2</v>
      </c>
      <c r="AZ38" s="12">
        <f ca="1">VLOOKUP(A38,Dividendenrendite!A$3:R$103,18,FALSE)</f>
        <v>0.15639606515255977</v>
      </c>
      <c r="BA38" s="32">
        <f ca="1">IF(AX38&lt;Bewertung_Stammdaten!B$64,Bewertung_Stammdaten!A$64,IF(AX38&lt;Bewertung_Stammdaten!B$65,Bewertung_Stammdaten!A$65,IF(AX38&lt;Bewertung_Stammdaten!B$66,Bewertung_Stammdaten!A$66,IF(AX38&lt;Bewertung_Stammdaten!B$67,Bewertung_Stammdaten!A$67,IF(AX38&lt;Bewertung_Stammdaten!B$68,Bewertung_Stammdaten!A$68,IF(AX38&lt;Bewertung_Stammdaten!B$69,Bewertung_Stammdaten!A$69,IF(AX38&lt;Bewertung_Stammdaten!B$70,Bewertung_Stammdaten!A$70,IF(AX38&lt;Bewertung_Stammdaten!B$71,Bewertung_Stammdaten!A$71,IF(AX38&lt;Bewertung_Stammdaten!B$72,Bewertung_Stammdaten!A$72,Bewertung_Stammdaten!A$73)))))))))</f>
        <v>15</v>
      </c>
      <c r="BB38" s="32">
        <f>IF(AY38&lt;Bewertung_Stammdaten!F$64,Bewertung_Stammdaten!E$64,IF(AY38&lt;Bewertung_Stammdaten!F$65,Bewertung_Stammdaten!E$65,IF(AY38&lt;Bewertung_Stammdaten!F$66,Bewertung_Stammdaten!E$66,IF(AY38&lt;Bewertung_Stammdaten!F$67,Bewertung_Stammdaten!E$67,IF(AY38&lt;Bewertung_Stammdaten!F$68,Bewertung_Stammdaten!E$68,IF(AY38&lt;Bewertung_Stammdaten!F$69,Bewertung_Stammdaten!E$69,IF(AY38&lt;Bewertung_Stammdaten!F$70,Bewertung_Stammdaten!E$70,IF(AY38&lt;Bewertung_Stammdaten!F$71,Bewertung_Stammdaten!E$71,IF(AY38&lt;Bewertung_Stammdaten!F$72,Bewertung_Stammdaten!E$72,Bewertung_Stammdaten!E$73)))))))))</f>
        <v>9</v>
      </c>
      <c r="BC38" s="32">
        <f ca="1">IF(AZ38&lt;Bewertung_Stammdaten!J$64,Bewertung_Stammdaten!I$64,IF(AZ38&lt;Bewertung_Stammdaten!J$65,Bewertung_Stammdaten!I$65,IF(AZ38&lt;Bewertung_Stammdaten!J$66,Bewertung_Stammdaten!I$66,IF(AZ38&lt;Bewertung_Stammdaten!J$67,Bewertung_Stammdaten!I$67,IF(AZ38&lt;Bewertung_Stammdaten!J$68,Bewertung_Stammdaten!I$68,IF(AZ38&lt;Bewertung_Stammdaten!J$69,Bewertung_Stammdaten!I$69,IF(AZ38&lt;Bewertung_Stammdaten!J$70,Bewertung_Stammdaten!I$70,IF(AZ38&lt;Bewertung_Stammdaten!J$71,Bewertung_Stammdaten!I$71,IF(AZ38&lt;Bewertung_Stammdaten!J$72,Bewertung_Stammdaten!I$72,Bewertung_Stammdaten!I$73)))))))))</f>
        <v>4.5</v>
      </c>
      <c r="BD38" s="43"/>
      <c r="BE38" s="12">
        <f>VLOOKUP(A38,Aktien_im_Umlauf_splitbereinigt!A$3:Z$103,26,FALSE)</f>
        <v>-2.6431718061673992E-2</v>
      </c>
      <c r="BF38" s="12">
        <f>VLOOKUP(A38,Aktien_im_Umlauf_splitbereinigt!A$3:Y$103,24,FALSE)</f>
        <v>-4.1886139033127455E-2</v>
      </c>
      <c r="BG38" s="12">
        <f>VLOOKUP(A38,Aktien_im_Umlauf_splitbereinigt!A$3:Y$103,25,FALSE)</f>
        <v>-0.36896265275800832</v>
      </c>
      <c r="BH38" s="41">
        <f>IF(BE38&lt;Bewertung_Stammdaten!B$77,Bewertung_Stammdaten!A$77,IF(BE38&lt;Bewertung_Stammdaten!B$78,Bewertung_Stammdaten!A$78,IF(BE38&lt;Bewertung_Stammdaten!B$79,Bewertung_Stammdaten!A$79,IF(BE38&lt;Bewertung_Stammdaten!B$80,Bewertung_Stammdaten!A$80,IF(BE38&lt;Bewertung_Stammdaten!B$81,Bewertung_Stammdaten!A$81,IF(BE38&lt;Bewertung_Stammdaten!B$82,Bewertung_Stammdaten!A$82,IF(BE38&lt;Bewertung_Stammdaten!B$83,Bewertung_Stammdaten!A$83,IF(BE38&lt;Bewertung_Stammdaten!B$84,Bewertung_Stammdaten!A$84,IF(BE38&lt;Bewertung_Stammdaten!B$85,Bewertung_Stammdaten!A$85,Bewertung_Stammdaten!A$86)))))))))</f>
        <v>8</v>
      </c>
      <c r="BI38" s="41">
        <f>IF(BF38&lt;Bewertung_Stammdaten!F$77,Bewertung_Stammdaten!E$77,IF(BF38&lt;Bewertung_Stammdaten!F$78,Bewertung_Stammdaten!E$78,IF(BF38&lt;Bewertung_Stammdaten!F$79,Bewertung_Stammdaten!E$79,IF(BF38&lt;Bewertung_Stammdaten!F$80,Bewertung_Stammdaten!E$80,IF(BF38&lt;Bewertung_Stammdaten!F$81,Bewertung_Stammdaten!E$81,IF(BF38&lt;Bewertung_Stammdaten!F$82,Bewertung_Stammdaten!E$82,IF(BF38&lt;Bewertung_Stammdaten!F$83,Bewertung_Stammdaten!E$83,IF(BF38&lt;Bewertung_Stammdaten!F$84,Bewertung_Stammdaten!E$84,IF(BF38&lt;Bewertung_Stammdaten!F$85,Bewertung_Stammdaten!E$85,Bewertung_Stammdaten!E$86)))))))))</f>
        <v>10</v>
      </c>
      <c r="BJ38" s="41">
        <f>IF(BG38&lt;Bewertung_Stammdaten!J$77,Bewertung_Stammdaten!I$77,IF(BG38&lt;Bewertung_Stammdaten!J$78,Bewertung_Stammdaten!I$78,IF(BG38&lt;Bewertung_Stammdaten!J$79,Bewertung_Stammdaten!I$79,IF(BG38&lt;Bewertung_Stammdaten!J$80,Bewertung_Stammdaten!I$80,IF(BG38&lt;Bewertung_Stammdaten!J$81,Bewertung_Stammdaten!I$81,IF(BG38&lt;Bewertung_Stammdaten!J$82,Bewertung_Stammdaten!I$82,IF(BG38&lt;Bewertung_Stammdaten!J$83,Bewertung_Stammdaten!I$83,IF(BG38&lt;Bewertung_Stammdaten!J$84,Bewertung_Stammdaten!I$84,IF(BG38&lt;Bewertung_Stammdaten!J$85,Bewertung_Stammdaten!I$85,Bewertung_Stammdaten!I$86)))))))))</f>
        <v>2</v>
      </c>
      <c r="BK38" s="43"/>
      <c r="BL38" s="12">
        <f ca="1">VLOOKUP(A38,Ausschüttungsquote!A$3:X$103,23,FALSE)</f>
        <v>0.92367108857741909</v>
      </c>
      <c r="BM38" s="12">
        <f>VLOOKUP(A38,Ausschüttungsquote!A$3:X$103,19,FALSE)</f>
        <v>0.71805390256423851</v>
      </c>
      <c r="BN38" s="12">
        <f ca="1">VLOOKUP(A38,Ausschüttungsquote!A$3:X$103,24,FALSE)</f>
        <v>0.28635341341214371</v>
      </c>
      <c r="BO38" s="32">
        <f ca="1">IF(BL38&lt;Bewertung_Stammdaten!B$90,Bewertung_Stammdaten!A$90,IF(BL38&lt;Bewertung_Stammdaten!B$91,Bewertung_Stammdaten!A$91,IF(BL38&lt;Bewertung_Stammdaten!B$92,Bewertung_Stammdaten!A$92,IF(BL38&lt;Bewertung_Stammdaten!B$93,Bewertung_Stammdaten!A$93,IF(BL38&lt;Bewertung_Stammdaten!B$94,Bewertung_Stammdaten!A$94,IF(BL38&lt;Bewertung_Stammdaten!B$95,Bewertung_Stammdaten!A$95,IF(BL38&lt;Bewertung_Stammdaten!B$96,Bewertung_Stammdaten!A$96,IF(BL38&lt;Bewertung_Stammdaten!B$97,Bewertung_Stammdaten!A$97,IF(BL38&lt;Bewertung_Stammdaten!B$98,Bewertung_Stammdaten!A$98,Bewertung_Stammdaten!A$99)))))))))</f>
        <v>1</v>
      </c>
      <c r="BP38" s="41">
        <f>IF(BM38&lt;Bewertung_Stammdaten!F$90,Bewertung_Stammdaten!E$90,IF(BM38&lt;Bewertung_Stammdaten!F$91,Bewertung_Stammdaten!E$91,IF(BM38&lt;Bewertung_Stammdaten!F$92,Bewertung_Stammdaten!E$92,IF(BM38&lt;Bewertung_Stammdaten!F$93,Bewertung_Stammdaten!E$93,IF(BM38&lt;Bewertung_Stammdaten!F$94,Bewertung_Stammdaten!E$94,IF(BM38&lt;Bewertung_Stammdaten!F$95,Bewertung_Stammdaten!E$95,IF(BM38&lt;Bewertung_Stammdaten!F$96,Bewertung_Stammdaten!E$96,IF(BM38&lt;Bewertung_Stammdaten!F$97,Bewertung_Stammdaten!E$97,IF(BM38&lt;Bewertung_Stammdaten!F$98,Bewertung_Stammdaten!E$98,Bewertung_Stammdaten!E$99)))))))))</f>
        <v>3</v>
      </c>
      <c r="BQ38" s="32">
        <f ca="1">IF(BN38&lt;Bewertung_Stammdaten!J$90,Bewertung_Stammdaten!I$90,IF(BN38&lt;Bewertung_Stammdaten!J$91,Bewertung_Stammdaten!I$91,IF(BN38&lt;Bewertung_Stammdaten!J$92,Bewertung_Stammdaten!I$92,IF(BN38&lt;Bewertung_Stammdaten!J$93,Bewertung_Stammdaten!I$93,IF(BN38&lt;Bewertung_Stammdaten!J$94,Bewertung_Stammdaten!I$94,IF(BN38&lt;Bewertung_Stammdaten!J$95,Bewertung_Stammdaten!I$95,IF(BN38&lt;Bewertung_Stammdaten!J$96,Bewertung_Stammdaten!I$96,IF(BN38&lt;Bewertung_Stammdaten!J$97,Bewertung_Stammdaten!I$97,IF(BN38&lt;Bewertung_Stammdaten!J$98,Bewertung_Stammdaten!I$98,Bewertung_Stammdaten!I$99)))))))))</f>
        <v>1</v>
      </c>
    </row>
    <row r="39" spans="1:69" x14ac:dyDescent="0.25">
      <c r="A39" s="38" t="s">
        <v>70</v>
      </c>
      <c r="B39" s="38" t="s">
        <v>71</v>
      </c>
      <c r="C39" s="38" t="s">
        <v>296</v>
      </c>
      <c r="D39" s="32">
        <f t="shared" ca="1" si="11"/>
        <v>160</v>
      </c>
      <c r="E39" s="43"/>
      <c r="F39" s="66">
        <v>1</v>
      </c>
      <c r="G39" s="11">
        <f ca="1">VLOOKUP(A39,KGV!A$3:R$103,17,FALSE)</f>
        <v>19.456627680311893</v>
      </c>
      <c r="H39" s="11">
        <f>VLOOKUP(A39,KGV!A$3:R$103,16,FALSE)</f>
        <v>19.102870813397129</v>
      </c>
      <c r="I39" s="12">
        <f ca="1">VLOOKUP(A39,KGV!A$3:R$103,18,FALSE)</f>
        <v>1.8518518518518601E-2</v>
      </c>
      <c r="J39" s="16">
        <f t="shared" ca="1" si="12"/>
        <v>24.479743976863002</v>
      </c>
      <c r="K39" s="12">
        <f t="shared" ca="1" si="13"/>
        <v>0.28146937787460669</v>
      </c>
      <c r="L39" s="11">
        <f ca="1">VLOOKUP(A39,KBV!A$3:R$103,17,FALSE)</f>
        <v>3.4543422617974686</v>
      </c>
      <c r="M39" s="11">
        <f>VLOOKUP(A39,KBV!A$3:R$103,16,FALSE)</f>
        <v>2.6996061281034391</v>
      </c>
      <c r="N39" s="12">
        <f ca="1">VLOOKUP(A39,KBV!A$3:R$103,18,FALSE)</f>
        <v>0.27957268500655541</v>
      </c>
      <c r="O39" s="16">
        <f t="shared" ca="1" si="9"/>
        <v>3.842955766249684</v>
      </c>
      <c r="P39" s="12">
        <f t="shared" ca="1" si="10"/>
        <v>0.42352461206979308</v>
      </c>
      <c r="Q39" s="32">
        <f ca="1">IF(F39=1,IF(I39&lt;Bewertung_Stammdaten!B$12,Bewertung_Stammdaten!A$12,IF(I39&lt;Bewertung_Stammdaten!B$13,Bewertung_Stammdaten!A$13,IF(I39&lt;Bewertung_Stammdaten!B$14,Bewertung_Stammdaten!A$14,IF(I39&lt;Bewertung_Stammdaten!B$15,Bewertung_Stammdaten!A$15,IF(I39&lt;Bewertung_Stammdaten!B$16,Bewertung_Stammdaten!A$16,IF(I39&lt;Bewertung_Stammdaten!B$17,Bewertung_Stammdaten!A$17,IF(I39&lt;Bewertung_Stammdaten!B$18,Bewertung_Stammdaten!A$18,IF(I39&lt;Bewertung_Stammdaten!B$19,Bewertung_Stammdaten!A$19,IF(I39&lt;Bewertung_Stammdaten!B$20,Bewertung_Stammdaten!A$20,Bewertung_Stammdaten!A$21))))))))),IF(N39&lt;Bewertung_Stammdaten!C$12,Bewertung_Stammdaten!A$12,IF(N39&lt;Bewertung_Stammdaten!C$13,Bewertung_Stammdaten!A$13,IF(N39&lt;Bewertung_Stammdaten!C$14,Bewertung_Stammdaten!A$14,IF(N39&lt;Bewertung_Stammdaten!C$15,Bewertung_Stammdaten!A$15,IF(N39&lt;Bewertung_Stammdaten!C$16,Bewertung_Stammdaten!A$16,IF(N39&lt;Bewertung_Stammdaten!C$17,Bewertung_Stammdaten!A$17,IF(N39&lt;Bewertung_Stammdaten!C$18,Bewertung_Stammdaten!A$18,IF(N39&lt;Bewertung_Stammdaten!C$19,Bewertung_Stammdaten!A$19,IF(N39&lt;Bewertung_Stammdaten!C$20,Bewertung_Stammdaten!A$20,Bewertung_Stammdaten!A$21))))))))))</f>
        <v>36</v>
      </c>
      <c r="R39" s="32">
        <f ca="1">IF(F39=1,IF(K39&lt;Bewertung_Stammdaten!F$12,Bewertung_Stammdaten!E$12,IF(K39&lt;Bewertung_Stammdaten!F$13,Bewertung_Stammdaten!E$13,IF(K39&lt;Bewertung_Stammdaten!F$14,Bewertung_Stammdaten!E$14,IF(K39&lt;Bewertung_Stammdaten!F$15,Bewertung_Stammdaten!E$15,IF(K39&lt;Bewertung_Stammdaten!F$16,Bewertung_Stammdaten!E$16,IF(K39&lt;Bewertung_Stammdaten!F$17,Bewertung_Stammdaten!E$17,IF(K39&lt;Bewertung_Stammdaten!F$18,Bewertung_Stammdaten!E$18,IF(K39&lt;Bewertung_Stammdaten!F$19,Bewertung_Stammdaten!E$19,IF(K39&lt;Bewertung_Stammdaten!F$20,Bewertung_Stammdaten!E$20,Bewertung_Stammdaten!E$21))))))))),IF(P39&lt;Bewertung_Stammdaten!G$12,Bewertung_Stammdaten!E$12,IF(P39&lt;Bewertung_Stammdaten!G$13,Bewertung_Stammdaten!E$13,IF(P39&lt;Bewertung_Stammdaten!G$14,Bewertung_Stammdaten!E$14,IF(P39&lt;Bewertung_Stammdaten!G$15,Bewertung_Stammdaten!E$15,IF(P39&lt;Bewertung_Stammdaten!G$16,Bewertung_Stammdaten!E$16,IF(P39&lt;Bewertung_Stammdaten!G$17,Bewertung_Stammdaten!E$17,IF(P39&lt;Bewertung_Stammdaten!G$18,Bewertung_Stammdaten!E$18,IF(P39&lt;Bewertung_Stammdaten!G$19,Bewertung_Stammdaten!E$19,IF(P39&lt;Bewertung_Stammdaten!G$20,Bewertung_Stammdaten!E$20,Bewertung_Stammdaten!E$21))))))))))</f>
        <v>10</v>
      </c>
      <c r="S39" s="43"/>
      <c r="T39" s="11">
        <f ca="1">VLOOKUP(A39,Buchwert_je_Aktie!A$3:AK$103,23,FALSE)</f>
        <v>23.115833333333335</v>
      </c>
      <c r="U39" s="11">
        <f>VLOOKUP(A39,Buchwert_je_Aktie!A$3:AK$103,19,FALSE)</f>
        <v>23.01166666666667</v>
      </c>
      <c r="V39" s="12">
        <f ca="1">VLOOKUP(A39,Buchwert_je_Aktie!A$3:AK$103,24,FALSE)</f>
        <v>4.5266893604691827E-3</v>
      </c>
      <c r="W39" s="12">
        <f>VLOOKUP(A39,Buchwert_je_Aktie!A$3:AK$103,37,FALSE)</f>
        <v>-0.101123595505618</v>
      </c>
      <c r="X39" s="16">
        <f t="shared" ca="1" si="14"/>
        <v>20.778277153558054</v>
      </c>
      <c r="Y39" s="12">
        <f t="shared" ca="1" si="15"/>
        <v>-9.7054661249016405E-2</v>
      </c>
      <c r="Z39" s="51">
        <f ca="1">IF(V39&lt;Bewertung_Stammdaten!B$25,Bewertung_Stammdaten!A$25,IF(V39&lt;Bewertung_Stammdaten!B$26,Bewertung_Stammdaten!A$26,IF(V39&lt;Bewertung_Stammdaten!B$27,Bewertung_Stammdaten!A$27,IF(V39&lt;Bewertung_Stammdaten!B$28,Bewertung_Stammdaten!A$28,IF(V39&lt;Bewertung_Stammdaten!B$29,Bewertung_Stammdaten!A$29,IF(V39&lt;Bewertung_Stammdaten!B$30,Bewertung_Stammdaten!A$30,IF(V39&lt;Bewertung_Stammdaten!B$31,Bewertung_Stammdaten!A$31,IF(V39&lt;Bewertung_Stammdaten!B$32,Bewertung_Stammdaten!A$32,IF(V39&lt;Bewertung_Stammdaten!B$33,Bewertung_Stammdaten!A$33,Bewertung_Stammdaten!A$34)))))))))</f>
        <v>4.5</v>
      </c>
      <c r="AA39" s="51">
        <f>IF(W39&lt;Bewertung_Stammdaten!F$25,Bewertung_Stammdaten!E$25,IF(W39&lt;Bewertung_Stammdaten!F$26,Bewertung_Stammdaten!E$26,IF(W39&lt;Bewertung_Stammdaten!F$27,Bewertung_Stammdaten!E$27,IF(W39&lt;Bewertung_Stammdaten!F$28,Bewertung_Stammdaten!E$28,IF(W39&lt;Bewertung_Stammdaten!F$29,Bewertung_Stammdaten!E$29,IF(W39&lt;Bewertung_Stammdaten!F$30,Bewertung_Stammdaten!E$30,IF(W39&lt;Bewertung_Stammdaten!F$31,Bewertung_Stammdaten!E$31,IF(W39&lt;Bewertung_Stammdaten!F$32,Bewertung_Stammdaten!E$32,IF(W39&lt;Bewertung_Stammdaten!F$33,Bewertung_Stammdaten!E$33,Bewertung_Stammdaten!E$34)))))))))</f>
        <v>7.5</v>
      </c>
      <c r="AB39" s="51">
        <f ca="1">IF(Y39&lt;Bewertung_Stammdaten!J$25,Bewertung_Stammdaten!I$25,IF(Y39&lt;Bewertung_Stammdaten!J$26,Bewertung_Stammdaten!I$26,IF(Y39&lt;Bewertung_Stammdaten!J$27,Bewertung_Stammdaten!I$27,IF(Y39&lt;Bewertung_Stammdaten!J$28,Bewertung_Stammdaten!I$28,IF(Y39&lt;Bewertung_Stammdaten!J$29,Bewertung_Stammdaten!I$29,IF(Y39&lt;Bewertung_Stammdaten!J$30,Bewertung_Stammdaten!I$30,IF(Y39&lt;Bewertung_Stammdaten!J$31,Bewertung_Stammdaten!I$31,IF(Y39&lt;Bewertung_Stammdaten!J$32,Bewertung_Stammdaten!I$32,IF(Y39&lt;Bewertung_Stammdaten!J$33,Bewertung_Stammdaten!I$33,Bewertung_Stammdaten!I$34)))))))))</f>
        <v>2</v>
      </c>
      <c r="AC39" s="43"/>
      <c r="AD39" s="14">
        <f ca="1">VLOOKUP(A39,Ergebnis_je_Aktie_verwässert!A$3:AK$103,23,FALSE)</f>
        <v>4.1039999999999992</v>
      </c>
      <c r="AE39" s="14">
        <f>VLOOKUP(A39,Ergebnis_je_Aktie_verwässert!A$3:AK$103,19,FALSE)</f>
        <v>3.4892307692307685</v>
      </c>
      <c r="AF39" s="12">
        <f ca="1">VLOOKUP(A39,Ergebnis_je_Aktie_verwässert!A$3:AK$103,24,FALSE)</f>
        <v>0.17619047619047623</v>
      </c>
      <c r="AG39" s="40">
        <f>VLOOKUP(A39,Ergebnis_je_Aktie_verwässert!A$3:AK$103,37,FALSE)</f>
        <v>-0.20519480519480515</v>
      </c>
      <c r="AH39" s="16">
        <f t="shared" ca="1" si="16"/>
        <v>3.2618805194805192</v>
      </c>
      <c r="AI39" s="12">
        <f t="shared" ca="1" si="17"/>
        <v>-6.5157699443413652E-2</v>
      </c>
      <c r="AJ39" s="32">
        <f ca="1">IF(AF39&lt;Bewertung_Stammdaten!B$38,Bewertung_Stammdaten!A$38,IF(AF39&lt;Bewertung_Stammdaten!B$39,Bewertung_Stammdaten!A$39,IF(AF39&lt;Bewertung_Stammdaten!B$40,Bewertung_Stammdaten!A$40,IF(AF39&lt;Bewertung_Stammdaten!B$41,Bewertung_Stammdaten!A$41,IF(AF39&lt;Bewertung_Stammdaten!B$42,Bewertung_Stammdaten!A$42,IF(AF39&lt;Bewertung_Stammdaten!B$43,Bewertung_Stammdaten!A$43,IF(AF39&lt;Bewertung_Stammdaten!B$44,Bewertung_Stammdaten!A$44,IF(AF39&lt;Bewertung_Stammdaten!B$45,Bewertung_Stammdaten!A$45,IF(AF39&lt;Bewertung_Stammdaten!B$46,Bewertung_Stammdaten!A$46,Bewertung_Stammdaten!A$47)))))))))</f>
        <v>10</v>
      </c>
      <c r="AK39" s="32">
        <f>IF(AG39&lt;Bewertung_Stammdaten!F$38,Bewertung_Stammdaten!E$38,IF(AG39&lt;Bewertung_Stammdaten!F$39,Bewertung_Stammdaten!E$39,IF(AG39&lt;Bewertung_Stammdaten!F$40,Bewertung_Stammdaten!E$40,IF(AG39&lt;Bewertung_Stammdaten!F$41,Bewertung_Stammdaten!E$41,IF(AG39&lt;Bewertung_Stammdaten!F$42,Bewertung_Stammdaten!E$42,IF(AG39&lt;Bewertung_Stammdaten!F$43,Bewertung_Stammdaten!E$43,IF(AG39&lt;Bewertung_Stammdaten!F$44,Bewertung_Stammdaten!E$44,IF(AG39&lt;Bewertung_Stammdaten!F$45,Bewertung_Stammdaten!E$45,IF(AG39&lt;Bewertung_Stammdaten!F$46,Bewertung_Stammdaten!E$46,Bewertung_Stammdaten!E$47)))))))))</f>
        <v>7.5</v>
      </c>
      <c r="AL39" s="32">
        <f ca="1">IF(AI39&lt;Bewertung_Stammdaten!J$38,Bewertung_Stammdaten!I$38,IF(AI39&lt;Bewertung_Stammdaten!J$39,Bewertung_Stammdaten!I$39,IF(AI39&lt;Bewertung_Stammdaten!J$40,Bewertung_Stammdaten!I$40,IF(AI39&lt;Bewertung_Stammdaten!J$41,Bewertung_Stammdaten!I$41,IF(AI39&lt;Bewertung_Stammdaten!J$42,Bewertung_Stammdaten!I$42,IF(AI39&lt;Bewertung_Stammdaten!J$43,Bewertung_Stammdaten!I$43,IF(AI39&lt;Bewertung_Stammdaten!J$44,Bewertung_Stammdaten!I$44,IF(AI39&lt;Bewertung_Stammdaten!J$45,Bewertung_Stammdaten!I$45,IF(AI39&lt;Bewertung_Stammdaten!J$46,Bewertung_Stammdaten!I$46,Bewertung_Stammdaten!I$47)))))))))</f>
        <v>3</v>
      </c>
      <c r="AM39" s="43"/>
      <c r="AN39" s="14">
        <f ca="1">VLOOKUP(A39,Dividende_je_Aktie!A$3:AM$103,24,FALSE)</f>
        <v>2.7230833333333333</v>
      </c>
      <c r="AO39" s="14">
        <f>VLOOKUP(A39,Dividende_je_Aktie!A$3:AM$103,20,FALSE)</f>
        <v>1.8857142857142857</v>
      </c>
      <c r="AP39" s="12">
        <f ca="1">VLOOKUP(A39,Dividende_je_Aktie!A$3:AM$103,25,FALSE)</f>
        <v>0.44405934343434339</v>
      </c>
      <c r="AQ39" s="40">
        <f>VLOOKUP(A39,Dividende_je_Aktie!A$3:AM$103,39,FALSE)</f>
        <v>5.3061224489795888E-2</v>
      </c>
      <c r="AR39" s="16">
        <f t="shared" ca="1" si="18"/>
        <v>2.7230833333333333</v>
      </c>
      <c r="AS39" s="12">
        <f t="shared" ca="1" si="19"/>
        <v>0.44405934343434339</v>
      </c>
      <c r="AT39" s="32">
        <f ca="1">IF(AP39&lt;Bewertung_Stammdaten!B$51,Bewertung_Stammdaten!A$51,IF(AP39&lt;Bewertung_Stammdaten!B$52,Bewertung_Stammdaten!A$52,IF(AP39&lt;Bewertung_Stammdaten!B$53,Bewertung_Stammdaten!A$53,IF(AP39&lt;Bewertung_Stammdaten!B$54,Bewertung_Stammdaten!A$54,IF(AP39&lt;Bewertung_Stammdaten!B$55,Bewertung_Stammdaten!A$55,IF(AP39&lt;Bewertung_Stammdaten!B$56,Bewertung_Stammdaten!A$56,IF(AP39&lt;Bewertung_Stammdaten!B$57,Bewertung_Stammdaten!A$57,IF(AP39&lt;Bewertung_Stammdaten!B$58,Bewertung_Stammdaten!A$58,IF(AP39&lt;Bewertung_Stammdaten!B$59,Bewertung_Stammdaten!A$59,Bewertung_Stammdaten!A$60)))))))))</f>
        <v>14</v>
      </c>
      <c r="AU39" s="32">
        <f>IF(AQ39&lt;Bewertung_Stammdaten!F$51,Bewertung_Stammdaten!E$51,IF(AQ39&lt;Bewertung_Stammdaten!F$52,Bewertung_Stammdaten!E$52,IF(AQ39&lt;Bewertung_Stammdaten!F$53,Bewertung_Stammdaten!E$53,IF(AQ39&lt;Bewertung_Stammdaten!F$54,Bewertung_Stammdaten!E$54,IF(AQ39&lt;Bewertung_Stammdaten!F$55,Bewertung_Stammdaten!E$55,IF(AQ39&lt;Bewertung_Stammdaten!F$56,Bewertung_Stammdaten!E$56,IF(AQ39&lt;Bewertung_Stammdaten!F$57,Bewertung_Stammdaten!E$57,IF(AQ39&lt;Bewertung_Stammdaten!F$58,Bewertung_Stammdaten!E$58,IF(AQ39&lt;Bewertung_Stammdaten!F$59,Bewertung_Stammdaten!E$59,Bewertung_Stammdaten!E$60)))))))))</f>
        <v>12</v>
      </c>
      <c r="AV39" s="32">
        <f ca="1">IF(AS39&lt;Bewertung_Stammdaten!J$51,Bewertung_Stammdaten!I$51,IF(AS39&lt;Bewertung_Stammdaten!J$52,Bewertung_Stammdaten!I$52,IF(AS39&lt;Bewertung_Stammdaten!J$53,Bewertung_Stammdaten!I$53,IF(AS39&lt;Bewertung_Stammdaten!J$54,Bewertung_Stammdaten!I$54,IF(AS39&lt;Bewertung_Stammdaten!J$55,Bewertung_Stammdaten!I$55,IF(AS39&lt;Bewertung_Stammdaten!J$56,Bewertung_Stammdaten!I$56,IF(AS39&lt;Bewertung_Stammdaten!J$57,Bewertung_Stammdaten!I$57,IF(AS39&lt;Bewertung_Stammdaten!J$58,Bewertung_Stammdaten!I$58,IF(AS39&lt;Bewertung_Stammdaten!J$59,Bewertung_Stammdaten!I$59,Bewertung_Stammdaten!I$60)))))))))</f>
        <v>8</v>
      </c>
      <c r="AW39" s="43"/>
      <c r="AX39" s="12">
        <f ca="1">VLOOKUP(A39,Dividendenrendite!A$3:R$103,17,FALSE)</f>
        <v>3.4102483823836363E-2</v>
      </c>
      <c r="AY39" s="12">
        <f>VLOOKUP(A39,Dividendenrendite!A$3:R$103,16,FALSE)</f>
        <v>2.749025357521882E-2</v>
      </c>
      <c r="AZ39" s="12">
        <f ca="1">VLOOKUP(A39,Dividendenrendite!A$3:R$103,18,FALSE)</f>
        <v>0.24052998385501101</v>
      </c>
      <c r="BA39" s="32">
        <f ca="1">IF(AX39&lt;Bewertung_Stammdaten!B$64,Bewertung_Stammdaten!A$64,IF(AX39&lt;Bewertung_Stammdaten!B$65,Bewertung_Stammdaten!A$65,IF(AX39&lt;Bewertung_Stammdaten!B$66,Bewertung_Stammdaten!A$66,IF(AX39&lt;Bewertung_Stammdaten!B$67,Bewertung_Stammdaten!A$67,IF(AX39&lt;Bewertung_Stammdaten!B$68,Bewertung_Stammdaten!A$68,IF(AX39&lt;Bewertung_Stammdaten!B$69,Bewertung_Stammdaten!A$69,IF(AX39&lt;Bewertung_Stammdaten!B$70,Bewertung_Stammdaten!A$70,IF(AX39&lt;Bewertung_Stammdaten!B$71,Bewertung_Stammdaten!A$71,IF(AX39&lt;Bewertung_Stammdaten!B$72,Bewertung_Stammdaten!A$72,Bewertung_Stammdaten!A$73)))))))))</f>
        <v>10.5</v>
      </c>
      <c r="BB39" s="32">
        <f>IF(AY39&lt;Bewertung_Stammdaten!F$64,Bewertung_Stammdaten!E$64,IF(AY39&lt;Bewertung_Stammdaten!F$65,Bewertung_Stammdaten!E$65,IF(AY39&lt;Bewertung_Stammdaten!F$66,Bewertung_Stammdaten!E$66,IF(AY39&lt;Bewertung_Stammdaten!F$67,Bewertung_Stammdaten!E$67,IF(AY39&lt;Bewertung_Stammdaten!F$68,Bewertung_Stammdaten!E$68,IF(AY39&lt;Bewertung_Stammdaten!F$69,Bewertung_Stammdaten!E$69,IF(AY39&lt;Bewertung_Stammdaten!F$70,Bewertung_Stammdaten!E$70,IF(AY39&lt;Bewertung_Stammdaten!F$71,Bewertung_Stammdaten!E$71,IF(AY39&lt;Bewertung_Stammdaten!F$72,Bewertung_Stammdaten!E$72,Bewertung_Stammdaten!E$73)))))))))</f>
        <v>6</v>
      </c>
      <c r="BC39" s="32">
        <f ca="1">IF(AZ39&lt;Bewertung_Stammdaten!J$64,Bewertung_Stammdaten!I$64,IF(AZ39&lt;Bewertung_Stammdaten!J$65,Bewertung_Stammdaten!I$65,IF(AZ39&lt;Bewertung_Stammdaten!J$66,Bewertung_Stammdaten!I$66,IF(AZ39&lt;Bewertung_Stammdaten!J$67,Bewertung_Stammdaten!I$67,IF(AZ39&lt;Bewertung_Stammdaten!J$68,Bewertung_Stammdaten!I$68,IF(AZ39&lt;Bewertung_Stammdaten!J$69,Bewertung_Stammdaten!I$69,IF(AZ39&lt;Bewertung_Stammdaten!J$70,Bewertung_Stammdaten!I$70,IF(AZ39&lt;Bewertung_Stammdaten!J$71,Bewertung_Stammdaten!I$71,IF(AZ39&lt;Bewertung_Stammdaten!J$72,Bewertung_Stammdaten!I$72,Bewertung_Stammdaten!I$73)))))))))</f>
        <v>5</v>
      </c>
      <c r="BD39" s="43"/>
      <c r="BE39" s="12">
        <f>VLOOKUP(A39,Aktien_im_Umlauf_splitbereinigt!A$3:Z$103,26,FALSE)</f>
        <v>-1.1305616338439073E-2</v>
      </c>
      <c r="BF39" s="12">
        <f>VLOOKUP(A39,Aktien_im_Umlauf_splitbereinigt!A$3:Y$103,24,FALSE)</f>
        <v>-1.9634830416859761E-2</v>
      </c>
      <c r="BG39" s="12">
        <f>VLOOKUP(A39,Aktien_im_Umlauf_splitbereinigt!A$3:Y$103,25,FALSE)</f>
        <v>-0.42420606145234008</v>
      </c>
      <c r="BH39" s="41">
        <f>IF(BE39&lt;Bewertung_Stammdaten!B$77,Bewertung_Stammdaten!A$77,IF(BE39&lt;Bewertung_Stammdaten!B$78,Bewertung_Stammdaten!A$78,IF(BE39&lt;Bewertung_Stammdaten!B$79,Bewertung_Stammdaten!A$79,IF(BE39&lt;Bewertung_Stammdaten!B$80,Bewertung_Stammdaten!A$80,IF(BE39&lt;Bewertung_Stammdaten!B$81,Bewertung_Stammdaten!A$81,IF(BE39&lt;Bewertung_Stammdaten!B$82,Bewertung_Stammdaten!A$82,IF(BE39&lt;Bewertung_Stammdaten!B$83,Bewertung_Stammdaten!A$83,IF(BE39&lt;Bewertung_Stammdaten!B$84,Bewertung_Stammdaten!A$84,IF(BE39&lt;Bewertung_Stammdaten!B$85,Bewertung_Stammdaten!A$85,Bewertung_Stammdaten!A$86)))))))))</f>
        <v>5</v>
      </c>
      <c r="BI39" s="41">
        <f>IF(BF39&lt;Bewertung_Stammdaten!F$77,Bewertung_Stammdaten!E$77,IF(BF39&lt;Bewertung_Stammdaten!F$78,Bewertung_Stammdaten!E$78,IF(BF39&lt;Bewertung_Stammdaten!F$79,Bewertung_Stammdaten!E$79,IF(BF39&lt;Bewertung_Stammdaten!F$80,Bewertung_Stammdaten!E$80,IF(BF39&lt;Bewertung_Stammdaten!F$81,Bewertung_Stammdaten!E$81,IF(BF39&lt;Bewertung_Stammdaten!F$82,Bewertung_Stammdaten!E$82,IF(BF39&lt;Bewertung_Stammdaten!F$83,Bewertung_Stammdaten!E$83,IF(BF39&lt;Bewertung_Stammdaten!F$84,Bewertung_Stammdaten!E$84,IF(BF39&lt;Bewertung_Stammdaten!F$85,Bewertung_Stammdaten!E$85,Bewertung_Stammdaten!E$86)))))))))</f>
        <v>6</v>
      </c>
      <c r="BJ39" s="41">
        <f>IF(BG39&lt;Bewertung_Stammdaten!J$77,Bewertung_Stammdaten!I$77,IF(BG39&lt;Bewertung_Stammdaten!J$78,Bewertung_Stammdaten!I$78,IF(BG39&lt;Bewertung_Stammdaten!J$79,Bewertung_Stammdaten!I$79,IF(BG39&lt;Bewertung_Stammdaten!J$80,Bewertung_Stammdaten!I$80,IF(BG39&lt;Bewertung_Stammdaten!J$81,Bewertung_Stammdaten!I$81,IF(BG39&lt;Bewertung_Stammdaten!J$82,Bewertung_Stammdaten!I$82,IF(BG39&lt;Bewertung_Stammdaten!J$83,Bewertung_Stammdaten!I$83,IF(BG39&lt;Bewertung_Stammdaten!J$84,Bewertung_Stammdaten!I$84,IF(BG39&lt;Bewertung_Stammdaten!J$85,Bewertung_Stammdaten!I$85,Bewertung_Stammdaten!I$86)))))))))</f>
        <v>2</v>
      </c>
      <c r="BK39" s="43"/>
      <c r="BL39" s="12">
        <f ca="1">VLOOKUP(A39,Ausschüttungsquote!A$3:X$103,23,FALSE)</f>
        <v>0.66413347558084412</v>
      </c>
      <c r="BM39" s="12">
        <f>VLOOKUP(A39,Ausschüttungsquote!A$3:X$103,19,FALSE)</f>
        <v>0.5509216295881969</v>
      </c>
      <c r="BN39" s="12">
        <f ca="1">VLOOKUP(A39,Ausschüttungsquote!A$3:X$103,24,FALSE)</f>
        <v>0.20549537341140667</v>
      </c>
      <c r="BO39" s="32">
        <f ca="1">IF(BL39&lt;Bewertung_Stammdaten!B$90,Bewertung_Stammdaten!A$90,IF(BL39&lt;Bewertung_Stammdaten!B$91,Bewertung_Stammdaten!A$91,IF(BL39&lt;Bewertung_Stammdaten!B$92,Bewertung_Stammdaten!A$92,IF(BL39&lt;Bewertung_Stammdaten!B$93,Bewertung_Stammdaten!A$93,IF(BL39&lt;Bewertung_Stammdaten!B$94,Bewertung_Stammdaten!A$94,IF(BL39&lt;Bewertung_Stammdaten!B$95,Bewertung_Stammdaten!A$95,IF(BL39&lt;Bewertung_Stammdaten!B$96,Bewertung_Stammdaten!A$96,IF(BL39&lt;Bewertung_Stammdaten!B$97,Bewertung_Stammdaten!A$97,IF(BL39&lt;Bewertung_Stammdaten!B$98,Bewertung_Stammdaten!A$98,Bewertung_Stammdaten!A$99)))))))))</f>
        <v>4</v>
      </c>
      <c r="BP39" s="41">
        <f>IF(BM39&lt;Bewertung_Stammdaten!F$90,Bewertung_Stammdaten!E$90,IF(BM39&lt;Bewertung_Stammdaten!F$91,Bewertung_Stammdaten!E$91,IF(BM39&lt;Bewertung_Stammdaten!F$92,Bewertung_Stammdaten!E$92,IF(BM39&lt;Bewertung_Stammdaten!F$93,Bewertung_Stammdaten!E$93,IF(BM39&lt;Bewertung_Stammdaten!F$94,Bewertung_Stammdaten!E$94,IF(BM39&lt;Bewertung_Stammdaten!F$95,Bewertung_Stammdaten!E$95,IF(BM39&lt;Bewertung_Stammdaten!F$96,Bewertung_Stammdaten!E$96,IF(BM39&lt;Bewertung_Stammdaten!F$97,Bewertung_Stammdaten!E$97,IF(BM39&lt;Bewertung_Stammdaten!F$98,Bewertung_Stammdaten!E$98,Bewertung_Stammdaten!E$99)))))))))</f>
        <v>6</v>
      </c>
      <c r="BQ39" s="32">
        <f ca="1">IF(BN39&lt;Bewertung_Stammdaten!J$90,Bewertung_Stammdaten!I$90,IF(BN39&lt;Bewertung_Stammdaten!J$91,Bewertung_Stammdaten!I$91,IF(BN39&lt;Bewertung_Stammdaten!J$92,Bewertung_Stammdaten!I$92,IF(BN39&lt;Bewertung_Stammdaten!J$93,Bewertung_Stammdaten!I$93,IF(BN39&lt;Bewertung_Stammdaten!J$94,Bewertung_Stammdaten!I$94,IF(BN39&lt;Bewertung_Stammdaten!J$95,Bewertung_Stammdaten!I$95,IF(BN39&lt;Bewertung_Stammdaten!J$96,Bewertung_Stammdaten!I$96,IF(BN39&lt;Bewertung_Stammdaten!J$97,Bewertung_Stammdaten!I$97,IF(BN39&lt;Bewertung_Stammdaten!J$98,Bewertung_Stammdaten!I$98,Bewertung_Stammdaten!I$99)))))))))</f>
        <v>1</v>
      </c>
    </row>
    <row r="40" spans="1:69" x14ac:dyDescent="0.25">
      <c r="A40" s="38" t="s">
        <v>72</v>
      </c>
      <c r="B40" s="38" t="s">
        <v>73</v>
      </c>
      <c r="C40" s="38" t="s">
        <v>296</v>
      </c>
      <c r="D40" s="32">
        <f t="shared" ca="1" si="11"/>
        <v>173</v>
      </c>
      <c r="E40" s="43"/>
      <c r="F40" s="66">
        <v>1</v>
      </c>
      <c r="G40" s="11">
        <f ca="1">VLOOKUP(A40,KGV!A$3:R$103,17,FALSE)</f>
        <v>12.926478748986185</v>
      </c>
      <c r="H40" s="11">
        <f>VLOOKUP(A40,KGV!A$3:R$103,16,FALSE)</f>
        <v>15.059090909090909</v>
      </c>
      <c r="I40" s="12">
        <f ca="1">VLOOKUP(A40,KGV!A$3:R$103,18,FALSE)</f>
        <v>-0.14161626176367015</v>
      </c>
      <c r="J40" s="16">
        <f t="shared" ca="1" si="12"/>
        <v>21.366080576836669</v>
      </c>
      <c r="K40" s="12">
        <f t="shared" ca="1" si="13"/>
        <v>0.41881609625839644</v>
      </c>
      <c r="L40" s="11">
        <f ca="1">VLOOKUP(A40,KBV!A$3:R$103,17,FALSE)</f>
        <v>11.968381529543507</v>
      </c>
      <c r="M40" s="11">
        <f>VLOOKUP(A40,KBV!A$3:R$103,16,FALSE)</f>
        <v>11.154107098967721</v>
      </c>
      <c r="N40" s="12">
        <f ca="1">VLOOKUP(A40,KBV!A$3:R$103,18,FALSE)</f>
        <v>7.3002206572962303E-2</v>
      </c>
      <c r="O40" s="16">
        <f t="shared" ca="1" si="9"/>
        <v>11.968381529543507</v>
      </c>
      <c r="P40" s="12">
        <f t="shared" ca="1" si="10"/>
        <v>7.3002206572962303E-2</v>
      </c>
      <c r="Q40" s="32">
        <f ca="1">IF(F40=1,IF(I40&lt;Bewertung_Stammdaten!B$12,Bewertung_Stammdaten!A$12,IF(I40&lt;Bewertung_Stammdaten!B$13,Bewertung_Stammdaten!A$13,IF(I40&lt;Bewertung_Stammdaten!B$14,Bewertung_Stammdaten!A$14,IF(I40&lt;Bewertung_Stammdaten!B$15,Bewertung_Stammdaten!A$15,IF(I40&lt;Bewertung_Stammdaten!B$16,Bewertung_Stammdaten!A$16,IF(I40&lt;Bewertung_Stammdaten!B$17,Bewertung_Stammdaten!A$17,IF(I40&lt;Bewertung_Stammdaten!B$18,Bewertung_Stammdaten!A$18,IF(I40&lt;Bewertung_Stammdaten!B$19,Bewertung_Stammdaten!A$19,IF(I40&lt;Bewertung_Stammdaten!B$20,Bewertung_Stammdaten!A$20,Bewertung_Stammdaten!A$21))))))))),IF(N40&lt;Bewertung_Stammdaten!C$12,Bewertung_Stammdaten!A$12,IF(N40&lt;Bewertung_Stammdaten!C$13,Bewertung_Stammdaten!A$13,IF(N40&lt;Bewertung_Stammdaten!C$14,Bewertung_Stammdaten!A$14,IF(N40&lt;Bewertung_Stammdaten!C$15,Bewertung_Stammdaten!A$15,IF(N40&lt;Bewertung_Stammdaten!C$16,Bewertung_Stammdaten!A$16,IF(N40&lt;Bewertung_Stammdaten!C$17,Bewertung_Stammdaten!A$17,IF(N40&lt;Bewertung_Stammdaten!C$18,Bewertung_Stammdaten!A$18,IF(N40&lt;Bewertung_Stammdaten!C$19,Bewertung_Stammdaten!A$19,IF(N40&lt;Bewertung_Stammdaten!C$20,Bewertung_Stammdaten!A$20,Bewertung_Stammdaten!A$21))))))))))</f>
        <v>54</v>
      </c>
      <c r="R40" s="32">
        <f ca="1">IF(F40=1,IF(K40&lt;Bewertung_Stammdaten!F$12,Bewertung_Stammdaten!E$12,IF(K40&lt;Bewertung_Stammdaten!F$13,Bewertung_Stammdaten!E$13,IF(K40&lt;Bewertung_Stammdaten!F$14,Bewertung_Stammdaten!E$14,IF(K40&lt;Bewertung_Stammdaten!F$15,Bewertung_Stammdaten!E$15,IF(K40&lt;Bewertung_Stammdaten!F$16,Bewertung_Stammdaten!E$16,IF(K40&lt;Bewertung_Stammdaten!F$17,Bewertung_Stammdaten!E$17,IF(K40&lt;Bewertung_Stammdaten!F$18,Bewertung_Stammdaten!E$18,IF(K40&lt;Bewertung_Stammdaten!F$19,Bewertung_Stammdaten!E$19,IF(K40&lt;Bewertung_Stammdaten!F$20,Bewertung_Stammdaten!E$20,Bewertung_Stammdaten!E$21))))))))),IF(P40&lt;Bewertung_Stammdaten!G$12,Bewertung_Stammdaten!E$12,IF(P40&lt;Bewertung_Stammdaten!G$13,Bewertung_Stammdaten!E$13,IF(P40&lt;Bewertung_Stammdaten!G$14,Bewertung_Stammdaten!E$14,IF(P40&lt;Bewertung_Stammdaten!G$15,Bewertung_Stammdaten!E$15,IF(P40&lt;Bewertung_Stammdaten!G$16,Bewertung_Stammdaten!E$16,IF(P40&lt;Bewertung_Stammdaten!G$17,Bewertung_Stammdaten!E$17,IF(P40&lt;Bewertung_Stammdaten!G$18,Bewertung_Stammdaten!E$18,IF(P40&lt;Bewertung_Stammdaten!G$19,Bewertung_Stammdaten!E$19,IF(P40&lt;Bewertung_Stammdaten!G$20,Bewertung_Stammdaten!E$20,Bewertung_Stammdaten!E$21))))))))))</f>
        <v>2.5</v>
      </c>
      <c r="S40" s="43"/>
      <c r="T40" s="11">
        <f ca="1">VLOOKUP(A40,Buchwert_je_Aktie!A$3:AK$103,23,FALSE)</f>
        <v>4.2169444444444446</v>
      </c>
      <c r="U40" s="11">
        <f>VLOOKUP(A40,Buchwert_je_Aktie!A$3:AK$103,19,FALSE)</f>
        <v>4.3875000000000002</v>
      </c>
      <c r="V40" s="12">
        <f ca="1">VLOOKUP(A40,Buchwert_je_Aktie!A$3:AK$103,24,FALSE)</f>
        <v>-3.8873061095283323E-2</v>
      </c>
      <c r="W40" s="12">
        <f>VLOOKUP(A40,Buchwert_je_Aktie!A$3:AK$103,37,FALSE)</f>
        <v>2.2058823529411686E-2</v>
      </c>
      <c r="X40" s="16">
        <f t="shared" ca="1" si="14"/>
        <v>4.2169444444444446</v>
      </c>
      <c r="Y40" s="12">
        <f t="shared" ca="1" si="15"/>
        <v>-3.8873061095283323E-2</v>
      </c>
      <c r="Z40" s="51">
        <f ca="1">IF(V40&lt;Bewertung_Stammdaten!B$25,Bewertung_Stammdaten!A$25,IF(V40&lt;Bewertung_Stammdaten!B$26,Bewertung_Stammdaten!A$26,IF(V40&lt;Bewertung_Stammdaten!B$27,Bewertung_Stammdaten!A$27,IF(V40&lt;Bewertung_Stammdaten!B$28,Bewertung_Stammdaten!A$28,IF(V40&lt;Bewertung_Stammdaten!B$29,Bewertung_Stammdaten!A$29,IF(V40&lt;Bewertung_Stammdaten!B$30,Bewertung_Stammdaten!A$30,IF(V40&lt;Bewertung_Stammdaten!B$31,Bewertung_Stammdaten!A$31,IF(V40&lt;Bewertung_Stammdaten!B$32,Bewertung_Stammdaten!A$32,IF(V40&lt;Bewertung_Stammdaten!B$33,Bewertung_Stammdaten!A$33,Bewertung_Stammdaten!A$34)))))))))</f>
        <v>3</v>
      </c>
      <c r="AA40" s="51">
        <f>IF(W40&lt;Bewertung_Stammdaten!F$25,Bewertung_Stammdaten!E$25,IF(W40&lt;Bewertung_Stammdaten!F$26,Bewertung_Stammdaten!E$26,IF(W40&lt;Bewertung_Stammdaten!F$27,Bewertung_Stammdaten!E$27,IF(W40&lt;Bewertung_Stammdaten!F$28,Bewertung_Stammdaten!E$28,IF(W40&lt;Bewertung_Stammdaten!F$29,Bewertung_Stammdaten!E$29,IF(W40&lt;Bewertung_Stammdaten!F$30,Bewertung_Stammdaten!E$30,IF(W40&lt;Bewertung_Stammdaten!F$31,Bewertung_Stammdaten!E$31,IF(W40&lt;Bewertung_Stammdaten!F$32,Bewertung_Stammdaten!E$32,IF(W40&lt;Bewertung_Stammdaten!F$33,Bewertung_Stammdaten!E$33,Bewertung_Stammdaten!E$34)))))))))</f>
        <v>12</v>
      </c>
      <c r="AB40" s="51">
        <f ca="1">IF(Y40&lt;Bewertung_Stammdaten!J$25,Bewertung_Stammdaten!I$25,IF(Y40&lt;Bewertung_Stammdaten!J$26,Bewertung_Stammdaten!I$26,IF(Y40&lt;Bewertung_Stammdaten!J$27,Bewertung_Stammdaten!I$27,IF(Y40&lt;Bewertung_Stammdaten!J$28,Bewertung_Stammdaten!I$28,IF(Y40&lt;Bewertung_Stammdaten!J$29,Bewertung_Stammdaten!I$29,IF(Y40&lt;Bewertung_Stammdaten!J$30,Bewertung_Stammdaten!I$30,IF(Y40&lt;Bewertung_Stammdaten!J$31,Bewertung_Stammdaten!I$31,IF(Y40&lt;Bewertung_Stammdaten!J$32,Bewertung_Stammdaten!I$32,IF(Y40&lt;Bewertung_Stammdaten!J$33,Bewertung_Stammdaten!I$33,Bewertung_Stammdaten!I$34)))))))))</f>
        <v>2</v>
      </c>
      <c r="AC40" s="43"/>
      <c r="AD40" s="14">
        <f ca="1">VLOOKUP(A40,Ergebnis_je_Aktie_verwässert!A$3:AK$103,23,FALSE)</f>
        <v>3.9043888888888887</v>
      </c>
      <c r="AE40" s="14">
        <f>VLOOKUP(A40,Ergebnis_je_Aktie_verwässert!A$3:AK$103,19,FALSE)</f>
        <v>2.7992307692307685</v>
      </c>
      <c r="AF40" s="12">
        <f ca="1">VLOOKUP(A40,Ergebnis_je_Aktie_verwässert!A$3:AK$103,24,FALSE)</f>
        <v>0.39480779212848494</v>
      </c>
      <c r="AG40" s="40">
        <f>VLOOKUP(A40,Ergebnis_je_Aktie_verwässert!A$3:AK$103,37,FALSE)</f>
        <v>-0.39500000000000002</v>
      </c>
      <c r="AH40" s="16">
        <f t="shared" ca="1" si="16"/>
        <v>2.3621552777777777</v>
      </c>
      <c r="AI40" s="12">
        <f t="shared" ca="1" si="17"/>
        <v>-0.1561412857622666</v>
      </c>
      <c r="AJ40" s="32">
        <f ca="1">IF(AF40&lt;Bewertung_Stammdaten!B$38,Bewertung_Stammdaten!A$38,IF(AF40&lt;Bewertung_Stammdaten!B$39,Bewertung_Stammdaten!A$39,IF(AF40&lt;Bewertung_Stammdaten!B$40,Bewertung_Stammdaten!A$40,IF(AF40&lt;Bewertung_Stammdaten!B$41,Bewertung_Stammdaten!A$41,IF(AF40&lt;Bewertung_Stammdaten!B$42,Bewertung_Stammdaten!A$42,IF(AF40&lt;Bewertung_Stammdaten!B$43,Bewertung_Stammdaten!A$43,IF(AF40&lt;Bewertung_Stammdaten!B$44,Bewertung_Stammdaten!A$44,IF(AF40&lt;Bewertung_Stammdaten!B$45,Bewertung_Stammdaten!A$45,IF(AF40&lt;Bewertung_Stammdaten!B$46,Bewertung_Stammdaten!A$46,Bewertung_Stammdaten!A$47)))))))))</f>
        <v>14</v>
      </c>
      <c r="AK40" s="32">
        <f>IF(AG40&lt;Bewertung_Stammdaten!F$38,Bewertung_Stammdaten!E$38,IF(AG40&lt;Bewertung_Stammdaten!F$39,Bewertung_Stammdaten!E$39,IF(AG40&lt;Bewertung_Stammdaten!F$40,Bewertung_Stammdaten!E$40,IF(AG40&lt;Bewertung_Stammdaten!F$41,Bewertung_Stammdaten!E$41,IF(AG40&lt;Bewertung_Stammdaten!F$42,Bewertung_Stammdaten!E$42,IF(AG40&lt;Bewertung_Stammdaten!F$43,Bewertung_Stammdaten!E$43,IF(AG40&lt;Bewertung_Stammdaten!F$44,Bewertung_Stammdaten!E$44,IF(AG40&lt;Bewertung_Stammdaten!F$45,Bewertung_Stammdaten!E$45,IF(AG40&lt;Bewertung_Stammdaten!F$46,Bewertung_Stammdaten!E$46,Bewertung_Stammdaten!E$47)))))))))</f>
        <v>6</v>
      </c>
      <c r="AL40" s="32">
        <f ca="1">IF(AI40&lt;Bewertung_Stammdaten!J$38,Bewertung_Stammdaten!I$38,IF(AI40&lt;Bewertung_Stammdaten!J$39,Bewertung_Stammdaten!I$39,IF(AI40&lt;Bewertung_Stammdaten!J$40,Bewertung_Stammdaten!I$40,IF(AI40&lt;Bewertung_Stammdaten!J$41,Bewertung_Stammdaten!I$41,IF(AI40&lt;Bewertung_Stammdaten!J$42,Bewertung_Stammdaten!I$42,IF(AI40&lt;Bewertung_Stammdaten!J$43,Bewertung_Stammdaten!I$43,IF(AI40&lt;Bewertung_Stammdaten!J$44,Bewertung_Stammdaten!I$44,IF(AI40&lt;Bewertung_Stammdaten!J$45,Bewertung_Stammdaten!I$45,IF(AI40&lt;Bewertung_Stammdaten!J$46,Bewertung_Stammdaten!I$46,Bewertung_Stammdaten!I$47)))))))))</f>
        <v>2</v>
      </c>
      <c r="AM40" s="43"/>
      <c r="AN40" s="14">
        <f ca="1">VLOOKUP(A40,Dividende_je_Aktie!A$3:AM$103,24,FALSE)</f>
        <v>2.2369444444444446</v>
      </c>
      <c r="AO40" s="14">
        <f>VLOOKUP(A40,Dividende_je_Aktie!A$3:AM$103,20,FALSE)</f>
        <v>1.9364285714285718</v>
      </c>
      <c r="AP40" s="12">
        <f ca="1">VLOOKUP(A40,Dividende_je_Aktie!A$3:AM$103,25,FALSE)</f>
        <v>0.15519078650764362</v>
      </c>
      <c r="AQ40" s="40">
        <f>VLOOKUP(A40,Dividende_je_Aktie!A$3:AM$103,39,FALSE)</f>
        <v>0</v>
      </c>
      <c r="AR40" s="16">
        <f t="shared" ca="1" si="18"/>
        <v>2.2369444444444446</v>
      </c>
      <c r="AS40" s="12">
        <f t="shared" ca="1" si="19"/>
        <v>0.15519078650764362</v>
      </c>
      <c r="AT40" s="32">
        <f ca="1">IF(AP40&lt;Bewertung_Stammdaten!B$51,Bewertung_Stammdaten!A$51,IF(AP40&lt;Bewertung_Stammdaten!B$52,Bewertung_Stammdaten!A$52,IF(AP40&lt;Bewertung_Stammdaten!B$53,Bewertung_Stammdaten!A$53,IF(AP40&lt;Bewertung_Stammdaten!B$54,Bewertung_Stammdaten!A$54,IF(AP40&lt;Bewertung_Stammdaten!B$55,Bewertung_Stammdaten!A$55,IF(AP40&lt;Bewertung_Stammdaten!B$56,Bewertung_Stammdaten!A$56,IF(AP40&lt;Bewertung_Stammdaten!B$57,Bewertung_Stammdaten!A$57,IF(AP40&lt;Bewertung_Stammdaten!B$58,Bewertung_Stammdaten!A$58,IF(AP40&lt;Bewertung_Stammdaten!B$59,Bewertung_Stammdaten!A$59,Bewertung_Stammdaten!A$60)))))))))</f>
        <v>8</v>
      </c>
      <c r="AU40" s="32">
        <f>IF(AQ40&lt;Bewertung_Stammdaten!F$51,Bewertung_Stammdaten!E$51,IF(AQ40&lt;Bewertung_Stammdaten!F$52,Bewertung_Stammdaten!E$52,IF(AQ40&lt;Bewertung_Stammdaten!F$53,Bewertung_Stammdaten!E$53,IF(AQ40&lt;Bewertung_Stammdaten!F$54,Bewertung_Stammdaten!E$54,IF(AQ40&lt;Bewertung_Stammdaten!F$55,Bewertung_Stammdaten!E$55,IF(AQ40&lt;Bewertung_Stammdaten!F$56,Bewertung_Stammdaten!E$56,IF(AQ40&lt;Bewertung_Stammdaten!F$57,Bewertung_Stammdaten!E$57,IF(AQ40&lt;Bewertung_Stammdaten!F$58,Bewertung_Stammdaten!E$58,IF(AQ40&lt;Bewertung_Stammdaten!F$59,Bewertung_Stammdaten!E$59,Bewertung_Stammdaten!E$60)))))))))</f>
        <v>12</v>
      </c>
      <c r="AV40" s="32">
        <f ca="1">IF(AS40&lt;Bewertung_Stammdaten!J$51,Bewertung_Stammdaten!I$51,IF(AS40&lt;Bewertung_Stammdaten!J$52,Bewertung_Stammdaten!I$52,IF(AS40&lt;Bewertung_Stammdaten!J$53,Bewertung_Stammdaten!I$53,IF(AS40&lt;Bewertung_Stammdaten!J$54,Bewertung_Stammdaten!I$54,IF(AS40&lt;Bewertung_Stammdaten!J$55,Bewertung_Stammdaten!I$55,IF(AS40&lt;Bewertung_Stammdaten!J$56,Bewertung_Stammdaten!I$56,IF(AS40&lt;Bewertung_Stammdaten!J$57,Bewertung_Stammdaten!I$57,IF(AS40&lt;Bewertung_Stammdaten!J$58,Bewertung_Stammdaten!I$58,IF(AS40&lt;Bewertung_Stammdaten!J$59,Bewertung_Stammdaten!I$59,Bewertung_Stammdaten!I$60)))))))))</f>
        <v>6</v>
      </c>
      <c r="AW40" s="43"/>
      <c r="AX40" s="12">
        <f ca="1">VLOOKUP(A40,Dividendenrendite!A$3:R$103,17,FALSE)</f>
        <v>4.4322259648195854E-2</v>
      </c>
      <c r="AY40" s="12">
        <f>VLOOKUP(A40,Dividendenrendite!A$3:R$103,16,FALSE)</f>
        <v>4.6944893239242828E-2</v>
      </c>
      <c r="AZ40" s="12">
        <f ca="1">VLOOKUP(A40,Dividendenrendite!A$3:R$103,18,FALSE)</f>
        <v>-5.5866216963821436E-2</v>
      </c>
      <c r="BA40" s="32">
        <f ca="1">IF(AX40&lt;Bewertung_Stammdaten!B$64,Bewertung_Stammdaten!A$64,IF(AX40&lt;Bewertung_Stammdaten!B$65,Bewertung_Stammdaten!A$65,IF(AX40&lt;Bewertung_Stammdaten!B$66,Bewertung_Stammdaten!A$66,IF(AX40&lt;Bewertung_Stammdaten!B$67,Bewertung_Stammdaten!A$67,IF(AX40&lt;Bewertung_Stammdaten!B$68,Bewertung_Stammdaten!A$68,IF(AX40&lt;Bewertung_Stammdaten!B$69,Bewertung_Stammdaten!A$69,IF(AX40&lt;Bewertung_Stammdaten!B$70,Bewertung_Stammdaten!A$70,IF(AX40&lt;Bewertung_Stammdaten!B$71,Bewertung_Stammdaten!A$71,IF(AX40&lt;Bewertung_Stammdaten!B$72,Bewertung_Stammdaten!A$72,Bewertung_Stammdaten!A$73)))))))))</f>
        <v>13.5</v>
      </c>
      <c r="BB40" s="32">
        <f>IF(AY40&lt;Bewertung_Stammdaten!F$64,Bewertung_Stammdaten!E$64,IF(AY40&lt;Bewertung_Stammdaten!F$65,Bewertung_Stammdaten!E$65,IF(AY40&lt;Bewertung_Stammdaten!F$66,Bewertung_Stammdaten!E$66,IF(AY40&lt;Bewertung_Stammdaten!F$67,Bewertung_Stammdaten!E$67,IF(AY40&lt;Bewertung_Stammdaten!F$68,Bewertung_Stammdaten!E$68,IF(AY40&lt;Bewertung_Stammdaten!F$69,Bewertung_Stammdaten!E$69,IF(AY40&lt;Bewertung_Stammdaten!F$70,Bewertung_Stammdaten!E$70,IF(AY40&lt;Bewertung_Stammdaten!F$71,Bewertung_Stammdaten!E$71,IF(AY40&lt;Bewertung_Stammdaten!F$72,Bewertung_Stammdaten!E$72,Bewertung_Stammdaten!E$73)))))))))</f>
        <v>10</v>
      </c>
      <c r="BC40" s="32">
        <f ca="1">IF(AZ40&lt;Bewertung_Stammdaten!J$64,Bewertung_Stammdaten!I$64,IF(AZ40&lt;Bewertung_Stammdaten!J$65,Bewertung_Stammdaten!I$65,IF(AZ40&lt;Bewertung_Stammdaten!J$66,Bewertung_Stammdaten!I$66,IF(AZ40&lt;Bewertung_Stammdaten!J$67,Bewertung_Stammdaten!I$67,IF(AZ40&lt;Bewertung_Stammdaten!J$68,Bewertung_Stammdaten!I$68,IF(AZ40&lt;Bewertung_Stammdaten!J$69,Bewertung_Stammdaten!I$69,IF(AZ40&lt;Bewertung_Stammdaten!J$70,Bewertung_Stammdaten!I$70,IF(AZ40&lt;Bewertung_Stammdaten!J$71,Bewertung_Stammdaten!I$71,IF(AZ40&lt;Bewertung_Stammdaten!J$72,Bewertung_Stammdaten!I$72,Bewertung_Stammdaten!I$73)))))))))</f>
        <v>2</v>
      </c>
      <c r="BD40" s="43"/>
      <c r="BE40" s="12">
        <f>VLOOKUP(A40,Aktien_im_Umlauf_splitbereinigt!A$3:Z$103,26,FALSE)</f>
        <v>0</v>
      </c>
      <c r="BF40" s="12">
        <f>VLOOKUP(A40,Aktien_im_Umlauf_splitbereinigt!A$3:Y$103,24,FALSE)</f>
        <v>0</v>
      </c>
      <c r="BG40" s="12">
        <f>VLOOKUP(A40,Aktien_im_Umlauf_splitbereinigt!A$3:Y$103,25,FALSE)</f>
        <v>0</v>
      </c>
      <c r="BH40" s="41">
        <f>IF(BE40&lt;Bewertung_Stammdaten!B$77,Bewertung_Stammdaten!A$77,IF(BE40&lt;Bewertung_Stammdaten!B$78,Bewertung_Stammdaten!A$78,IF(BE40&lt;Bewertung_Stammdaten!B$79,Bewertung_Stammdaten!A$79,IF(BE40&lt;Bewertung_Stammdaten!B$80,Bewertung_Stammdaten!A$80,IF(BE40&lt;Bewertung_Stammdaten!B$81,Bewertung_Stammdaten!A$81,IF(BE40&lt;Bewertung_Stammdaten!B$82,Bewertung_Stammdaten!A$82,IF(BE40&lt;Bewertung_Stammdaten!B$83,Bewertung_Stammdaten!A$83,IF(BE40&lt;Bewertung_Stammdaten!B$84,Bewertung_Stammdaten!A$84,IF(BE40&lt;Bewertung_Stammdaten!B$85,Bewertung_Stammdaten!A$85,Bewertung_Stammdaten!A$86)))))))))</f>
        <v>2</v>
      </c>
      <c r="BI40" s="41">
        <f>IF(BF40&lt;Bewertung_Stammdaten!F$77,Bewertung_Stammdaten!E$77,IF(BF40&lt;Bewertung_Stammdaten!F$78,Bewertung_Stammdaten!E$78,IF(BF40&lt;Bewertung_Stammdaten!F$79,Bewertung_Stammdaten!E$79,IF(BF40&lt;Bewertung_Stammdaten!F$80,Bewertung_Stammdaten!E$80,IF(BF40&lt;Bewertung_Stammdaten!F$81,Bewertung_Stammdaten!E$81,IF(BF40&lt;Bewertung_Stammdaten!F$82,Bewertung_Stammdaten!E$82,IF(BF40&lt;Bewertung_Stammdaten!F$83,Bewertung_Stammdaten!E$83,IF(BF40&lt;Bewertung_Stammdaten!F$84,Bewertung_Stammdaten!E$84,IF(BF40&lt;Bewertung_Stammdaten!F$85,Bewertung_Stammdaten!E$85,Bewertung_Stammdaten!E$86)))))))))</f>
        <v>2</v>
      </c>
      <c r="BJ40" s="41">
        <f>IF(BG40&lt;Bewertung_Stammdaten!J$77,Bewertung_Stammdaten!I$77,IF(BG40&lt;Bewertung_Stammdaten!J$78,Bewertung_Stammdaten!I$78,IF(BG40&lt;Bewertung_Stammdaten!J$79,Bewertung_Stammdaten!I$79,IF(BG40&lt;Bewertung_Stammdaten!J$80,Bewertung_Stammdaten!I$80,IF(BG40&lt;Bewertung_Stammdaten!J$81,Bewertung_Stammdaten!I$81,IF(BG40&lt;Bewertung_Stammdaten!J$82,Bewertung_Stammdaten!I$82,IF(BG40&lt;Bewertung_Stammdaten!J$83,Bewertung_Stammdaten!I$83,IF(BG40&lt;Bewertung_Stammdaten!J$84,Bewertung_Stammdaten!I$84,IF(BG40&lt;Bewertung_Stammdaten!J$85,Bewertung_Stammdaten!I$85,Bewertung_Stammdaten!I$86)))))))))</f>
        <v>3</v>
      </c>
      <c r="BK40" s="43"/>
      <c r="BL40" s="12">
        <f ca="1">VLOOKUP(A40,Ausschüttungsquote!A$3:X$103,23,FALSE)</f>
        <v>0.5730926471601876</v>
      </c>
      <c r="BM40" s="12">
        <f>VLOOKUP(A40,Ausschüttungsquote!A$3:X$103,19,FALSE)</f>
        <v>0.74099191861879987</v>
      </c>
      <c r="BN40" s="12">
        <f ca="1">VLOOKUP(A40,Ausschüttungsquote!A$3:X$103,24,FALSE)</f>
        <v>-0.22658718299057101</v>
      </c>
      <c r="BO40" s="32">
        <f ca="1">IF(BL40&lt;Bewertung_Stammdaten!B$90,Bewertung_Stammdaten!A$90,IF(BL40&lt;Bewertung_Stammdaten!B$91,Bewertung_Stammdaten!A$91,IF(BL40&lt;Bewertung_Stammdaten!B$92,Bewertung_Stammdaten!A$92,IF(BL40&lt;Bewertung_Stammdaten!B$93,Bewertung_Stammdaten!A$93,IF(BL40&lt;Bewertung_Stammdaten!B$94,Bewertung_Stammdaten!A$94,IF(BL40&lt;Bewertung_Stammdaten!B$95,Bewertung_Stammdaten!A$95,IF(BL40&lt;Bewertung_Stammdaten!B$96,Bewertung_Stammdaten!A$96,IF(BL40&lt;Bewertung_Stammdaten!B$97,Bewertung_Stammdaten!A$97,IF(BL40&lt;Bewertung_Stammdaten!B$98,Bewertung_Stammdaten!A$98,Bewertung_Stammdaten!A$99)))))))))</f>
        <v>6</v>
      </c>
      <c r="BP40" s="41">
        <f>IF(BM40&lt;Bewertung_Stammdaten!F$90,Bewertung_Stammdaten!E$90,IF(BM40&lt;Bewertung_Stammdaten!F$91,Bewertung_Stammdaten!E$91,IF(BM40&lt;Bewertung_Stammdaten!F$92,Bewertung_Stammdaten!E$92,IF(BM40&lt;Bewertung_Stammdaten!F$93,Bewertung_Stammdaten!E$93,IF(BM40&lt;Bewertung_Stammdaten!F$94,Bewertung_Stammdaten!E$94,IF(BM40&lt;Bewertung_Stammdaten!F$95,Bewertung_Stammdaten!E$95,IF(BM40&lt;Bewertung_Stammdaten!F$96,Bewertung_Stammdaten!E$96,IF(BM40&lt;Bewertung_Stammdaten!F$97,Bewertung_Stammdaten!E$97,IF(BM40&lt;Bewertung_Stammdaten!F$98,Bewertung_Stammdaten!E$98,Bewertung_Stammdaten!E$99)))))))))</f>
        <v>3</v>
      </c>
      <c r="BQ40" s="32">
        <f ca="1">IF(BN40&lt;Bewertung_Stammdaten!J$90,Bewertung_Stammdaten!I$90,IF(BN40&lt;Bewertung_Stammdaten!J$91,Bewertung_Stammdaten!I$91,IF(BN40&lt;Bewertung_Stammdaten!J$92,Bewertung_Stammdaten!I$92,IF(BN40&lt;Bewertung_Stammdaten!J$93,Bewertung_Stammdaten!I$93,IF(BN40&lt;Bewertung_Stammdaten!J$94,Bewertung_Stammdaten!I$94,IF(BN40&lt;Bewertung_Stammdaten!J$95,Bewertung_Stammdaten!I$95,IF(BN40&lt;Bewertung_Stammdaten!J$96,Bewertung_Stammdaten!I$96,IF(BN40&lt;Bewertung_Stammdaten!J$97,Bewertung_Stammdaten!I$97,IF(BN40&lt;Bewertung_Stammdaten!J$98,Bewertung_Stammdaten!I$98,Bewertung_Stammdaten!I$99)))))))))</f>
        <v>10</v>
      </c>
    </row>
    <row r="41" spans="1:69" x14ac:dyDescent="0.25">
      <c r="A41" s="38" t="s">
        <v>74</v>
      </c>
      <c r="B41" s="38" t="s">
        <v>75</v>
      </c>
      <c r="C41" s="38" t="s">
        <v>296</v>
      </c>
      <c r="D41" s="32">
        <f t="shared" ca="1" si="11"/>
        <v>204.5</v>
      </c>
      <c r="E41" s="43"/>
      <c r="F41" s="66">
        <v>1</v>
      </c>
      <c r="G41" s="11">
        <f ca="1">VLOOKUP(A41,KGV!A$3:R$103,17,FALSE)</f>
        <v>15.720277210846211</v>
      </c>
      <c r="H41" s="11">
        <f>VLOOKUP(A41,KGV!A$3:R$103,16,FALSE)</f>
        <v>14.976401179941004</v>
      </c>
      <c r="I41" s="12">
        <f ca="1">VLOOKUP(A41,KGV!A$3:R$103,18,FALSE)</f>
        <v>4.9669878762431674E-2</v>
      </c>
      <c r="J41" s="16">
        <f t="shared" ca="1" si="12"/>
        <v>16.267909818601101</v>
      </c>
      <c r="K41" s="12">
        <f t="shared" ca="1" si="13"/>
        <v>8.6236247489811513E-2</v>
      </c>
      <c r="L41" s="11">
        <f ca="1">VLOOKUP(A41,KBV!A$3:R$103,17,FALSE)</f>
        <v>2.7780111767270417</v>
      </c>
      <c r="M41" s="11">
        <f>VLOOKUP(A41,KBV!A$3:R$103,16,FALSE)</f>
        <v>2.9623165410551371</v>
      </c>
      <c r="N41" s="12">
        <f ca="1">VLOOKUP(A41,KBV!A$3:R$103,18,FALSE)</f>
        <v>-6.2216634101650792E-2</v>
      </c>
      <c r="O41" s="16">
        <f t="shared" ca="1" si="9"/>
        <v>2.7780111767270417</v>
      </c>
      <c r="P41" s="12">
        <f t="shared" ca="1" si="10"/>
        <v>-6.2216634101650792E-2</v>
      </c>
      <c r="Q41" s="32">
        <f ca="1">IF(F41=1,IF(I41&lt;Bewertung_Stammdaten!B$12,Bewertung_Stammdaten!A$12,IF(I41&lt;Bewertung_Stammdaten!B$13,Bewertung_Stammdaten!A$13,IF(I41&lt;Bewertung_Stammdaten!B$14,Bewertung_Stammdaten!A$14,IF(I41&lt;Bewertung_Stammdaten!B$15,Bewertung_Stammdaten!A$15,IF(I41&lt;Bewertung_Stammdaten!B$16,Bewertung_Stammdaten!A$16,IF(I41&lt;Bewertung_Stammdaten!B$17,Bewertung_Stammdaten!A$17,IF(I41&lt;Bewertung_Stammdaten!B$18,Bewertung_Stammdaten!A$18,IF(I41&lt;Bewertung_Stammdaten!B$19,Bewertung_Stammdaten!A$19,IF(I41&lt;Bewertung_Stammdaten!B$20,Bewertung_Stammdaten!A$20,Bewertung_Stammdaten!A$21))))))))),IF(N41&lt;Bewertung_Stammdaten!C$12,Bewertung_Stammdaten!A$12,IF(N41&lt;Bewertung_Stammdaten!C$13,Bewertung_Stammdaten!A$13,IF(N41&lt;Bewertung_Stammdaten!C$14,Bewertung_Stammdaten!A$14,IF(N41&lt;Bewertung_Stammdaten!C$15,Bewertung_Stammdaten!A$15,IF(N41&lt;Bewertung_Stammdaten!C$16,Bewertung_Stammdaten!A$16,IF(N41&lt;Bewertung_Stammdaten!C$17,Bewertung_Stammdaten!A$17,IF(N41&lt;Bewertung_Stammdaten!C$18,Bewertung_Stammdaten!A$18,IF(N41&lt;Bewertung_Stammdaten!C$19,Bewertung_Stammdaten!A$19,IF(N41&lt;Bewertung_Stammdaten!C$20,Bewertung_Stammdaten!A$20,Bewertung_Stammdaten!A$21))))))))))</f>
        <v>36</v>
      </c>
      <c r="R41" s="32">
        <f ca="1">IF(F41=1,IF(K41&lt;Bewertung_Stammdaten!F$12,Bewertung_Stammdaten!E$12,IF(K41&lt;Bewertung_Stammdaten!F$13,Bewertung_Stammdaten!E$13,IF(K41&lt;Bewertung_Stammdaten!F$14,Bewertung_Stammdaten!E$14,IF(K41&lt;Bewertung_Stammdaten!F$15,Bewertung_Stammdaten!E$15,IF(K41&lt;Bewertung_Stammdaten!F$16,Bewertung_Stammdaten!E$16,IF(K41&lt;Bewertung_Stammdaten!F$17,Bewertung_Stammdaten!E$17,IF(K41&lt;Bewertung_Stammdaten!F$18,Bewertung_Stammdaten!E$18,IF(K41&lt;Bewertung_Stammdaten!F$19,Bewertung_Stammdaten!E$19,IF(K41&lt;Bewertung_Stammdaten!F$20,Bewertung_Stammdaten!E$20,Bewertung_Stammdaten!E$21))))))))),IF(P41&lt;Bewertung_Stammdaten!G$12,Bewertung_Stammdaten!E$12,IF(P41&lt;Bewertung_Stammdaten!G$13,Bewertung_Stammdaten!E$13,IF(P41&lt;Bewertung_Stammdaten!G$14,Bewertung_Stammdaten!E$14,IF(P41&lt;Bewertung_Stammdaten!G$15,Bewertung_Stammdaten!E$15,IF(P41&lt;Bewertung_Stammdaten!G$16,Bewertung_Stammdaten!E$16,IF(P41&lt;Bewertung_Stammdaten!G$17,Bewertung_Stammdaten!E$17,IF(P41&lt;Bewertung_Stammdaten!G$18,Bewertung_Stammdaten!E$18,IF(P41&lt;Bewertung_Stammdaten!G$19,Bewertung_Stammdaten!E$19,IF(P41&lt;Bewertung_Stammdaten!G$20,Bewertung_Stammdaten!E$20,Bewertung_Stammdaten!E$21))))))))))</f>
        <v>20</v>
      </c>
      <c r="S41" s="43"/>
      <c r="T41" s="11">
        <f ca="1">VLOOKUP(A41,Buchwert_je_Aktie!A$3:AK$103,23,FALSE)</f>
        <v>28.034444444444446</v>
      </c>
      <c r="U41" s="11">
        <f>VLOOKUP(A41,Buchwert_je_Aktie!A$3:AK$103,19,FALSE)</f>
        <v>20.011538461538464</v>
      </c>
      <c r="V41" s="12">
        <f ca="1">VLOOKUP(A41,Buchwert_je_Aktie!A$3:AK$103,24,FALSE)</f>
        <v>0.40091400260533439</v>
      </c>
      <c r="W41" s="12">
        <f>VLOOKUP(A41,Buchwert_je_Aktie!A$3:AK$103,37,FALSE)</f>
        <v>2.2755227552275326E-2</v>
      </c>
      <c r="X41" s="16">
        <f t="shared" ca="1" si="14"/>
        <v>28.034444444444446</v>
      </c>
      <c r="Y41" s="12">
        <f t="shared" ca="1" si="15"/>
        <v>0.40091400260533439</v>
      </c>
      <c r="Z41" s="51">
        <f ca="1">IF(V41&lt;Bewertung_Stammdaten!B$25,Bewertung_Stammdaten!A$25,IF(V41&lt;Bewertung_Stammdaten!B$26,Bewertung_Stammdaten!A$26,IF(V41&lt;Bewertung_Stammdaten!B$27,Bewertung_Stammdaten!A$27,IF(V41&lt;Bewertung_Stammdaten!B$28,Bewertung_Stammdaten!A$28,IF(V41&lt;Bewertung_Stammdaten!B$29,Bewertung_Stammdaten!A$29,IF(V41&lt;Bewertung_Stammdaten!B$30,Bewertung_Stammdaten!A$30,IF(V41&lt;Bewertung_Stammdaten!B$31,Bewertung_Stammdaten!A$31,IF(V41&lt;Bewertung_Stammdaten!B$32,Bewertung_Stammdaten!A$32,IF(V41&lt;Bewertung_Stammdaten!B$33,Bewertung_Stammdaten!A$33,Bewertung_Stammdaten!A$34)))))))))</f>
        <v>10.5</v>
      </c>
      <c r="AA41" s="51">
        <f>IF(W41&lt;Bewertung_Stammdaten!F$25,Bewertung_Stammdaten!E$25,IF(W41&lt;Bewertung_Stammdaten!F$26,Bewertung_Stammdaten!E$26,IF(W41&lt;Bewertung_Stammdaten!F$27,Bewertung_Stammdaten!E$27,IF(W41&lt;Bewertung_Stammdaten!F$28,Bewertung_Stammdaten!E$28,IF(W41&lt;Bewertung_Stammdaten!F$29,Bewertung_Stammdaten!E$29,IF(W41&lt;Bewertung_Stammdaten!F$30,Bewertung_Stammdaten!E$30,IF(W41&lt;Bewertung_Stammdaten!F$31,Bewertung_Stammdaten!E$31,IF(W41&lt;Bewertung_Stammdaten!F$32,Bewertung_Stammdaten!E$32,IF(W41&lt;Bewertung_Stammdaten!F$33,Bewertung_Stammdaten!E$33,Bewertung_Stammdaten!E$34)))))))))</f>
        <v>12</v>
      </c>
      <c r="AB41" s="51">
        <f ca="1">IF(Y41&lt;Bewertung_Stammdaten!J$25,Bewertung_Stammdaten!I$25,IF(Y41&lt;Bewertung_Stammdaten!J$26,Bewertung_Stammdaten!I$26,IF(Y41&lt;Bewertung_Stammdaten!J$27,Bewertung_Stammdaten!I$27,IF(Y41&lt;Bewertung_Stammdaten!J$28,Bewertung_Stammdaten!I$28,IF(Y41&lt;Bewertung_Stammdaten!J$29,Bewertung_Stammdaten!I$29,IF(Y41&lt;Bewertung_Stammdaten!J$30,Bewertung_Stammdaten!I$30,IF(Y41&lt;Bewertung_Stammdaten!J$31,Bewertung_Stammdaten!I$31,IF(Y41&lt;Bewertung_Stammdaten!J$32,Bewertung_Stammdaten!I$32,IF(Y41&lt;Bewertung_Stammdaten!J$33,Bewertung_Stammdaten!I$33,Bewertung_Stammdaten!I$34)))))))))</f>
        <v>7</v>
      </c>
      <c r="AC41" s="43"/>
      <c r="AD41" s="14">
        <f ca="1">VLOOKUP(A41,Ergebnis_je_Aktie_verwässert!A$3:AK$103,23,FALSE)</f>
        <v>4.9541111111111107</v>
      </c>
      <c r="AE41" s="14">
        <f>VLOOKUP(A41,Ergebnis_je_Aktie_verwässert!A$3:AK$103,19,FALSE)</f>
        <v>4.0007692307692313</v>
      </c>
      <c r="AF41" s="12">
        <f ca="1">VLOOKUP(A41,Ergebnis_je_Aktie_verwässert!A$3:AK$103,24,FALSE)</f>
        <v>0.23828964515370954</v>
      </c>
      <c r="AG41" s="40">
        <f>VLOOKUP(A41,Ergebnis_je_Aktie_verwässert!A$3:AK$103,37,FALSE)</f>
        <v>-3.3663366336633693E-2</v>
      </c>
      <c r="AH41" s="16">
        <f t="shared" ca="1" si="16"/>
        <v>4.7873390539053897</v>
      </c>
      <c r="AI41" s="12">
        <f t="shared" ca="1" si="17"/>
        <v>0.19660464719804005</v>
      </c>
      <c r="AJ41" s="32">
        <f ca="1">IF(AF41&lt;Bewertung_Stammdaten!B$38,Bewertung_Stammdaten!A$38,IF(AF41&lt;Bewertung_Stammdaten!B$39,Bewertung_Stammdaten!A$39,IF(AF41&lt;Bewertung_Stammdaten!B$40,Bewertung_Stammdaten!A$40,IF(AF41&lt;Bewertung_Stammdaten!B$41,Bewertung_Stammdaten!A$41,IF(AF41&lt;Bewertung_Stammdaten!B$42,Bewertung_Stammdaten!A$42,IF(AF41&lt;Bewertung_Stammdaten!B$43,Bewertung_Stammdaten!A$43,IF(AF41&lt;Bewertung_Stammdaten!B$44,Bewertung_Stammdaten!A$44,IF(AF41&lt;Bewertung_Stammdaten!B$45,Bewertung_Stammdaten!A$45,IF(AF41&lt;Bewertung_Stammdaten!B$46,Bewertung_Stammdaten!A$46,Bewertung_Stammdaten!A$47)))))))))</f>
        <v>12</v>
      </c>
      <c r="AK41" s="32">
        <f>IF(AG41&lt;Bewertung_Stammdaten!F$38,Bewertung_Stammdaten!E$38,IF(AG41&lt;Bewertung_Stammdaten!F$39,Bewertung_Stammdaten!E$39,IF(AG41&lt;Bewertung_Stammdaten!F$40,Bewertung_Stammdaten!E$40,IF(AG41&lt;Bewertung_Stammdaten!F$41,Bewertung_Stammdaten!E$41,IF(AG41&lt;Bewertung_Stammdaten!F$42,Bewertung_Stammdaten!E$42,IF(AG41&lt;Bewertung_Stammdaten!F$43,Bewertung_Stammdaten!E$43,IF(AG41&lt;Bewertung_Stammdaten!F$44,Bewertung_Stammdaten!E$44,IF(AG41&lt;Bewertung_Stammdaten!F$45,Bewertung_Stammdaten!E$45,IF(AG41&lt;Bewertung_Stammdaten!F$46,Bewertung_Stammdaten!E$46,Bewertung_Stammdaten!E$47)))))))))</f>
        <v>10.5</v>
      </c>
      <c r="AL41" s="32">
        <f ca="1">IF(AI41&lt;Bewertung_Stammdaten!J$38,Bewertung_Stammdaten!I$38,IF(AI41&lt;Bewertung_Stammdaten!J$39,Bewertung_Stammdaten!I$39,IF(AI41&lt;Bewertung_Stammdaten!J$40,Bewertung_Stammdaten!I$40,IF(AI41&lt;Bewertung_Stammdaten!J$41,Bewertung_Stammdaten!I$41,IF(AI41&lt;Bewertung_Stammdaten!J$42,Bewertung_Stammdaten!I$42,IF(AI41&lt;Bewertung_Stammdaten!J$43,Bewertung_Stammdaten!I$43,IF(AI41&lt;Bewertung_Stammdaten!J$44,Bewertung_Stammdaten!I$44,IF(AI41&lt;Bewertung_Stammdaten!J$45,Bewertung_Stammdaten!I$45,IF(AI41&lt;Bewertung_Stammdaten!J$46,Bewertung_Stammdaten!I$46,Bewertung_Stammdaten!I$47)))))))))</f>
        <v>6</v>
      </c>
      <c r="AM41" s="43"/>
      <c r="AN41" s="14">
        <f ca="1">VLOOKUP(A41,Dividende_je_Aktie!A$3:AM$103,24,FALSE)</f>
        <v>1.987888888888889</v>
      </c>
      <c r="AO41" s="14">
        <f>VLOOKUP(A41,Dividende_je_Aktie!A$3:AM$103,20,FALSE)</f>
        <v>1.2242857142857144</v>
      </c>
      <c r="AP41" s="12">
        <f ca="1">VLOOKUP(A41,Dividende_je_Aktie!A$3:AM$103,25,FALSE)</f>
        <v>0.62371321146116943</v>
      </c>
      <c r="AQ41" s="40">
        <f>VLOOKUP(A41,Dividende_je_Aktie!A$3:AM$103,39,FALSE)</f>
        <v>2.1276595744680771E-2</v>
      </c>
      <c r="AR41" s="16">
        <f t="shared" ca="1" si="18"/>
        <v>1.987888888888889</v>
      </c>
      <c r="AS41" s="12">
        <f t="shared" ca="1" si="19"/>
        <v>0.62371321146116943</v>
      </c>
      <c r="AT41" s="32">
        <f ca="1">IF(AP41&lt;Bewertung_Stammdaten!B$51,Bewertung_Stammdaten!A$51,IF(AP41&lt;Bewertung_Stammdaten!B$52,Bewertung_Stammdaten!A$52,IF(AP41&lt;Bewertung_Stammdaten!B$53,Bewertung_Stammdaten!A$53,IF(AP41&lt;Bewertung_Stammdaten!B$54,Bewertung_Stammdaten!A$54,IF(AP41&lt;Bewertung_Stammdaten!B$55,Bewertung_Stammdaten!A$55,IF(AP41&lt;Bewertung_Stammdaten!B$56,Bewertung_Stammdaten!A$56,IF(AP41&lt;Bewertung_Stammdaten!B$57,Bewertung_Stammdaten!A$57,IF(AP41&lt;Bewertung_Stammdaten!B$58,Bewertung_Stammdaten!A$58,IF(AP41&lt;Bewertung_Stammdaten!B$59,Bewertung_Stammdaten!A$59,Bewertung_Stammdaten!A$60)))))))))</f>
        <v>18</v>
      </c>
      <c r="AU41" s="32">
        <f>IF(AQ41&lt;Bewertung_Stammdaten!F$51,Bewertung_Stammdaten!E$51,IF(AQ41&lt;Bewertung_Stammdaten!F$52,Bewertung_Stammdaten!E$52,IF(AQ41&lt;Bewertung_Stammdaten!F$53,Bewertung_Stammdaten!E$53,IF(AQ41&lt;Bewertung_Stammdaten!F$54,Bewertung_Stammdaten!E$54,IF(AQ41&lt;Bewertung_Stammdaten!F$55,Bewertung_Stammdaten!E$55,IF(AQ41&lt;Bewertung_Stammdaten!F$56,Bewertung_Stammdaten!E$56,IF(AQ41&lt;Bewertung_Stammdaten!F$57,Bewertung_Stammdaten!E$57,IF(AQ41&lt;Bewertung_Stammdaten!F$58,Bewertung_Stammdaten!E$58,IF(AQ41&lt;Bewertung_Stammdaten!F$59,Bewertung_Stammdaten!E$59,Bewertung_Stammdaten!E$60)))))))))</f>
        <v>12</v>
      </c>
      <c r="AV41" s="32">
        <f ca="1">IF(AS41&lt;Bewertung_Stammdaten!J$51,Bewertung_Stammdaten!I$51,IF(AS41&lt;Bewertung_Stammdaten!J$52,Bewertung_Stammdaten!I$52,IF(AS41&lt;Bewertung_Stammdaten!J$53,Bewertung_Stammdaten!I$53,IF(AS41&lt;Bewertung_Stammdaten!J$54,Bewertung_Stammdaten!I$54,IF(AS41&lt;Bewertung_Stammdaten!J$55,Bewertung_Stammdaten!I$55,IF(AS41&lt;Bewertung_Stammdaten!J$56,Bewertung_Stammdaten!I$56,IF(AS41&lt;Bewertung_Stammdaten!J$57,Bewertung_Stammdaten!I$57,IF(AS41&lt;Bewertung_Stammdaten!J$58,Bewertung_Stammdaten!I$58,IF(AS41&lt;Bewertung_Stammdaten!J$59,Bewertung_Stammdaten!I$59,Bewertung_Stammdaten!I$60)))))))))</f>
        <v>10</v>
      </c>
      <c r="AW41" s="43"/>
      <c r="AX41" s="12">
        <f ca="1">VLOOKUP(A41,Dividendenrendite!A$3:R$103,17,FALSE)</f>
        <v>2.5525024253837816E-2</v>
      </c>
      <c r="AY41" s="12">
        <f>VLOOKUP(A41,Dividendenrendite!A$3:R$103,16,FALSE)</f>
        <v>1.8672211891602904E-2</v>
      </c>
      <c r="AZ41" s="12">
        <f ca="1">VLOOKUP(A41,Dividendenrendite!A$3:R$103,18,FALSE)</f>
        <v>0.36700592313418934</v>
      </c>
      <c r="BA41" s="32">
        <f ca="1">IF(AX41&lt;Bewertung_Stammdaten!B$64,Bewertung_Stammdaten!A$64,IF(AX41&lt;Bewertung_Stammdaten!B$65,Bewertung_Stammdaten!A$65,IF(AX41&lt;Bewertung_Stammdaten!B$66,Bewertung_Stammdaten!A$66,IF(AX41&lt;Bewertung_Stammdaten!B$67,Bewertung_Stammdaten!A$67,IF(AX41&lt;Bewertung_Stammdaten!B$68,Bewertung_Stammdaten!A$68,IF(AX41&lt;Bewertung_Stammdaten!B$69,Bewertung_Stammdaten!A$69,IF(AX41&lt;Bewertung_Stammdaten!B$70,Bewertung_Stammdaten!A$70,IF(AX41&lt;Bewertung_Stammdaten!B$71,Bewertung_Stammdaten!A$71,IF(AX41&lt;Bewertung_Stammdaten!B$72,Bewertung_Stammdaten!A$72,Bewertung_Stammdaten!A$73)))))))))</f>
        <v>9</v>
      </c>
      <c r="BB41" s="32">
        <f>IF(AY41&lt;Bewertung_Stammdaten!F$64,Bewertung_Stammdaten!E$64,IF(AY41&lt;Bewertung_Stammdaten!F$65,Bewertung_Stammdaten!E$65,IF(AY41&lt;Bewertung_Stammdaten!F$66,Bewertung_Stammdaten!E$66,IF(AY41&lt;Bewertung_Stammdaten!F$67,Bewertung_Stammdaten!E$67,IF(AY41&lt;Bewertung_Stammdaten!F$68,Bewertung_Stammdaten!E$68,IF(AY41&lt;Bewertung_Stammdaten!F$69,Bewertung_Stammdaten!E$69,IF(AY41&lt;Bewertung_Stammdaten!F$70,Bewertung_Stammdaten!E$70,IF(AY41&lt;Bewertung_Stammdaten!F$71,Bewertung_Stammdaten!E$71,IF(AY41&lt;Bewertung_Stammdaten!F$72,Bewertung_Stammdaten!E$72,Bewertung_Stammdaten!E$73)))))))))</f>
        <v>4</v>
      </c>
      <c r="BC41" s="32">
        <f ca="1">IF(AZ41&lt;Bewertung_Stammdaten!J$64,Bewertung_Stammdaten!I$64,IF(AZ41&lt;Bewertung_Stammdaten!J$65,Bewertung_Stammdaten!I$65,IF(AZ41&lt;Bewertung_Stammdaten!J$66,Bewertung_Stammdaten!I$66,IF(AZ41&lt;Bewertung_Stammdaten!J$67,Bewertung_Stammdaten!I$67,IF(AZ41&lt;Bewertung_Stammdaten!J$68,Bewertung_Stammdaten!I$68,IF(AZ41&lt;Bewertung_Stammdaten!J$69,Bewertung_Stammdaten!I$69,IF(AZ41&lt;Bewertung_Stammdaten!J$70,Bewertung_Stammdaten!I$70,IF(AZ41&lt;Bewertung_Stammdaten!J$71,Bewertung_Stammdaten!I$71,IF(AZ41&lt;Bewertung_Stammdaten!J$72,Bewertung_Stammdaten!I$72,Bewertung_Stammdaten!I$73)))))))))</f>
        <v>5</v>
      </c>
      <c r="BD41" s="43"/>
      <c r="BE41" s="12">
        <f>VLOOKUP(A41,Aktien_im_Umlauf_splitbereinigt!A$3:Z$103,26,FALSE)</f>
        <v>-1.5465511908444585E-3</v>
      </c>
      <c r="BF41" s="12">
        <f>VLOOKUP(A41,Aktien_im_Umlauf_splitbereinigt!A$3:Y$103,24,FALSE)</f>
        <v>-2.6601475195081548E-2</v>
      </c>
      <c r="BG41" s="12">
        <f>VLOOKUP(A41,Aktien_im_Umlauf_splitbereinigt!A$3:Y$103,25,FALSE)</f>
        <v>-0.94186220202064563</v>
      </c>
      <c r="BH41" s="41">
        <f>IF(BE41&lt;Bewertung_Stammdaten!B$77,Bewertung_Stammdaten!A$77,IF(BE41&lt;Bewertung_Stammdaten!B$78,Bewertung_Stammdaten!A$78,IF(BE41&lt;Bewertung_Stammdaten!B$79,Bewertung_Stammdaten!A$79,IF(BE41&lt;Bewertung_Stammdaten!B$80,Bewertung_Stammdaten!A$80,IF(BE41&lt;Bewertung_Stammdaten!B$81,Bewertung_Stammdaten!A$81,IF(BE41&lt;Bewertung_Stammdaten!B$82,Bewertung_Stammdaten!A$82,IF(BE41&lt;Bewertung_Stammdaten!B$83,Bewertung_Stammdaten!A$83,IF(BE41&lt;Bewertung_Stammdaten!B$84,Bewertung_Stammdaten!A$84,IF(BE41&lt;Bewertung_Stammdaten!B$85,Bewertung_Stammdaten!A$85,Bewertung_Stammdaten!A$86)))))))))</f>
        <v>3</v>
      </c>
      <c r="BI41" s="41">
        <f>IF(BF41&lt;Bewertung_Stammdaten!F$77,Bewertung_Stammdaten!E$77,IF(BF41&lt;Bewertung_Stammdaten!F$78,Bewertung_Stammdaten!E$78,IF(BF41&lt;Bewertung_Stammdaten!F$79,Bewertung_Stammdaten!E$79,IF(BF41&lt;Bewertung_Stammdaten!F$80,Bewertung_Stammdaten!E$80,IF(BF41&lt;Bewertung_Stammdaten!F$81,Bewertung_Stammdaten!E$81,IF(BF41&lt;Bewertung_Stammdaten!F$82,Bewertung_Stammdaten!E$82,IF(BF41&lt;Bewertung_Stammdaten!F$83,Bewertung_Stammdaten!E$83,IF(BF41&lt;Bewertung_Stammdaten!F$84,Bewertung_Stammdaten!E$84,IF(BF41&lt;Bewertung_Stammdaten!F$85,Bewertung_Stammdaten!E$85,Bewertung_Stammdaten!E$86)))))))))</f>
        <v>8</v>
      </c>
      <c r="BJ41" s="41">
        <f>IF(BG41&lt;Bewertung_Stammdaten!J$77,Bewertung_Stammdaten!I$77,IF(BG41&lt;Bewertung_Stammdaten!J$78,Bewertung_Stammdaten!I$78,IF(BG41&lt;Bewertung_Stammdaten!J$79,Bewertung_Stammdaten!I$79,IF(BG41&lt;Bewertung_Stammdaten!J$80,Bewertung_Stammdaten!I$80,IF(BG41&lt;Bewertung_Stammdaten!J$81,Bewertung_Stammdaten!I$81,IF(BG41&lt;Bewertung_Stammdaten!J$82,Bewertung_Stammdaten!I$82,IF(BG41&lt;Bewertung_Stammdaten!J$83,Bewertung_Stammdaten!I$83,IF(BG41&lt;Bewertung_Stammdaten!J$84,Bewertung_Stammdaten!I$84,IF(BG41&lt;Bewertung_Stammdaten!J$85,Bewertung_Stammdaten!I$85,Bewertung_Stammdaten!I$86)))))))))</f>
        <v>1.5</v>
      </c>
      <c r="BK41" s="43"/>
      <c r="BL41" s="12">
        <f ca="1">VLOOKUP(A41,Ausschüttungsquote!A$3:X$103,23,FALSE)</f>
        <v>0.40136184834039734</v>
      </c>
      <c r="BM41" s="12">
        <f>VLOOKUP(A41,Ausschüttungsquote!A$3:X$103,19,FALSE)</f>
        <v>0.30900103550933455</v>
      </c>
      <c r="BN41" s="12">
        <f ca="1">VLOOKUP(A41,Ausschüttungsquote!A$3:X$103,24,FALSE)</f>
        <v>0.29890130522968006</v>
      </c>
      <c r="BO41" s="32">
        <f ca="1">IF(BL41&lt;Bewertung_Stammdaten!B$90,Bewertung_Stammdaten!A$90,IF(BL41&lt;Bewertung_Stammdaten!B$91,Bewertung_Stammdaten!A$91,IF(BL41&lt;Bewertung_Stammdaten!B$92,Bewertung_Stammdaten!A$92,IF(BL41&lt;Bewertung_Stammdaten!B$93,Bewertung_Stammdaten!A$93,IF(BL41&lt;Bewertung_Stammdaten!B$94,Bewertung_Stammdaten!A$94,IF(BL41&lt;Bewertung_Stammdaten!B$95,Bewertung_Stammdaten!A$95,IF(BL41&lt;Bewertung_Stammdaten!B$96,Bewertung_Stammdaten!A$96,IF(BL41&lt;Bewertung_Stammdaten!B$97,Bewertung_Stammdaten!A$97,IF(BL41&lt;Bewertung_Stammdaten!B$98,Bewertung_Stammdaten!A$98,Bewertung_Stammdaten!A$99)))))))))</f>
        <v>9</v>
      </c>
      <c r="BP41" s="41">
        <f>IF(BM41&lt;Bewertung_Stammdaten!F$90,Bewertung_Stammdaten!E$90,IF(BM41&lt;Bewertung_Stammdaten!F$91,Bewertung_Stammdaten!E$91,IF(BM41&lt;Bewertung_Stammdaten!F$92,Bewertung_Stammdaten!E$92,IF(BM41&lt;Bewertung_Stammdaten!F$93,Bewertung_Stammdaten!E$93,IF(BM41&lt;Bewertung_Stammdaten!F$94,Bewertung_Stammdaten!E$94,IF(BM41&lt;Bewertung_Stammdaten!F$95,Bewertung_Stammdaten!E$95,IF(BM41&lt;Bewertung_Stammdaten!F$96,Bewertung_Stammdaten!E$96,IF(BM41&lt;Bewertung_Stammdaten!F$97,Bewertung_Stammdaten!E$97,IF(BM41&lt;Bewertung_Stammdaten!F$98,Bewertung_Stammdaten!E$98,Bewertung_Stammdaten!E$99)))))))))</f>
        <v>10</v>
      </c>
      <c r="BQ41" s="32">
        <f ca="1">IF(BN41&lt;Bewertung_Stammdaten!J$90,Bewertung_Stammdaten!I$90,IF(BN41&lt;Bewertung_Stammdaten!J$91,Bewertung_Stammdaten!I$91,IF(BN41&lt;Bewertung_Stammdaten!J$92,Bewertung_Stammdaten!I$92,IF(BN41&lt;Bewertung_Stammdaten!J$93,Bewertung_Stammdaten!I$93,IF(BN41&lt;Bewertung_Stammdaten!J$94,Bewertung_Stammdaten!I$94,IF(BN41&lt;Bewertung_Stammdaten!J$95,Bewertung_Stammdaten!I$95,IF(BN41&lt;Bewertung_Stammdaten!J$96,Bewertung_Stammdaten!I$96,IF(BN41&lt;Bewertung_Stammdaten!J$97,Bewertung_Stammdaten!I$97,IF(BN41&lt;Bewertung_Stammdaten!J$98,Bewertung_Stammdaten!I$98,Bewertung_Stammdaten!I$99)))))))))</f>
        <v>1</v>
      </c>
    </row>
    <row r="42" spans="1:69" x14ac:dyDescent="0.25">
      <c r="A42" s="38" t="s">
        <v>76</v>
      </c>
      <c r="B42" s="38" t="s">
        <v>77</v>
      </c>
      <c r="C42" s="38" t="s">
        <v>295</v>
      </c>
      <c r="D42" s="32">
        <f t="shared" ca="1" si="11"/>
        <v>153</v>
      </c>
      <c r="E42" s="43"/>
      <c r="F42" s="66">
        <v>1</v>
      </c>
      <c r="G42" s="11">
        <f ca="1">VLOOKUP(A42,KGV!A$3:R$103,17,FALSE)</f>
        <v>21.589887913571911</v>
      </c>
      <c r="H42" s="11">
        <f>VLOOKUP(A42,KGV!A$3:R$103,16,FALSE)</f>
        <v>19.215984476534295</v>
      </c>
      <c r="I42" s="12">
        <f ca="1">VLOOKUP(A42,KGV!A$3:R$103,18,FALSE)</f>
        <v>0.12353795559819059</v>
      </c>
      <c r="J42" s="16">
        <f t="shared" ca="1" si="12"/>
        <v>25.044269979743415</v>
      </c>
      <c r="K42" s="12">
        <f t="shared" ca="1" si="13"/>
        <v>0.30330402849390103</v>
      </c>
      <c r="L42" s="11">
        <f ca="1">VLOOKUP(A42,KBV!A$3:R$103,17,FALSE)</f>
        <v>3.5587836061280611</v>
      </c>
      <c r="M42" s="11">
        <f>VLOOKUP(A42,KBV!A$3:R$103,16,FALSE)</f>
        <v>2.7675028735632181</v>
      </c>
      <c r="N42" s="12">
        <f ca="1">VLOOKUP(A42,KBV!A$3:R$103,18,FALSE)</f>
        <v>0.28591866701336155</v>
      </c>
      <c r="O42" s="16">
        <f t="shared" ca="1" si="9"/>
        <v>3.5862645606155366</v>
      </c>
      <c r="P42" s="12">
        <f t="shared" ca="1" si="10"/>
        <v>0.29584854088991253</v>
      </c>
      <c r="Q42" s="32">
        <f ca="1">IF(F42=1,IF(I42&lt;Bewertung_Stammdaten!B$12,Bewertung_Stammdaten!A$12,IF(I42&lt;Bewertung_Stammdaten!B$13,Bewertung_Stammdaten!A$13,IF(I42&lt;Bewertung_Stammdaten!B$14,Bewertung_Stammdaten!A$14,IF(I42&lt;Bewertung_Stammdaten!B$15,Bewertung_Stammdaten!A$15,IF(I42&lt;Bewertung_Stammdaten!B$16,Bewertung_Stammdaten!A$16,IF(I42&lt;Bewertung_Stammdaten!B$17,Bewertung_Stammdaten!A$17,IF(I42&lt;Bewertung_Stammdaten!B$18,Bewertung_Stammdaten!A$18,IF(I42&lt;Bewertung_Stammdaten!B$19,Bewertung_Stammdaten!A$19,IF(I42&lt;Bewertung_Stammdaten!B$20,Bewertung_Stammdaten!A$20,Bewertung_Stammdaten!A$21))))))))),IF(N42&lt;Bewertung_Stammdaten!C$12,Bewertung_Stammdaten!A$12,IF(N42&lt;Bewertung_Stammdaten!C$13,Bewertung_Stammdaten!A$13,IF(N42&lt;Bewertung_Stammdaten!C$14,Bewertung_Stammdaten!A$14,IF(N42&lt;Bewertung_Stammdaten!C$15,Bewertung_Stammdaten!A$15,IF(N42&lt;Bewertung_Stammdaten!C$16,Bewertung_Stammdaten!A$16,IF(N42&lt;Bewertung_Stammdaten!C$17,Bewertung_Stammdaten!A$17,IF(N42&lt;Bewertung_Stammdaten!C$18,Bewertung_Stammdaten!A$18,IF(N42&lt;Bewertung_Stammdaten!C$19,Bewertung_Stammdaten!A$19,IF(N42&lt;Bewertung_Stammdaten!C$20,Bewertung_Stammdaten!A$20,Bewertung_Stammdaten!A$21))))))))))</f>
        <v>24</v>
      </c>
      <c r="R42" s="32">
        <f ca="1">IF(F42=1,IF(K42&lt;Bewertung_Stammdaten!F$12,Bewertung_Stammdaten!E$12,IF(K42&lt;Bewertung_Stammdaten!F$13,Bewertung_Stammdaten!E$13,IF(K42&lt;Bewertung_Stammdaten!F$14,Bewertung_Stammdaten!E$14,IF(K42&lt;Bewertung_Stammdaten!F$15,Bewertung_Stammdaten!E$15,IF(K42&lt;Bewertung_Stammdaten!F$16,Bewertung_Stammdaten!E$16,IF(K42&lt;Bewertung_Stammdaten!F$17,Bewertung_Stammdaten!E$17,IF(K42&lt;Bewertung_Stammdaten!F$18,Bewertung_Stammdaten!E$18,IF(K42&lt;Bewertung_Stammdaten!F$19,Bewertung_Stammdaten!E$19,IF(K42&lt;Bewertung_Stammdaten!F$20,Bewertung_Stammdaten!E$20,Bewertung_Stammdaten!E$21))))))))),IF(P42&lt;Bewertung_Stammdaten!G$12,Bewertung_Stammdaten!E$12,IF(P42&lt;Bewertung_Stammdaten!G$13,Bewertung_Stammdaten!E$13,IF(P42&lt;Bewertung_Stammdaten!G$14,Bewertung_Stammdaten!E$14,IF(P42&lt;Bewertung_Stammdaten!G$15,Bewertung_Stammdaten!E$15,IF(P42&lt;Bewertung_Stammdaten!G$16,Bewertung_Stammdaten!E$16,IF(P42&lt;Bewertung_Stammdaten!G$17,Bewertung_Stammdaten!E$17,IF(P42&lt;Bewertung_Stammdaten!G$18,Bewertung_Stammdaten!E$18,IF(P42&lt;Bewertung_Stammdaten!G$19,Bewertung_Stammdaten!E$19,IF(P42&lt;Bewertung_Stammdaten!G$20,Bewertung_Stammdaten!E$20,Bewertung_Stammdaten!E$21))))))))))</f>
        <v>7.5</v>
      </c>
      <c r="S42" s="43"/>
      <c r="T42" s="11">
        <f ca="1">VLOOKUP(A42,Buchwert_je_Aktie!A$3:AK$103,23,FALSE)</f>
        <v>33.94222222222222</v>
      </c>
      <c r="U42" s="11">
        <f>VLOOKUP(A42,Buchwert_je_Aktie!A$3:AK$103,19,FALSE)</f>
        <v>28.478888888888889</v>
      </c>
      <c r="V42" s="12">
        <f ca="1">VLOOKUP(A42,Buchwert_je_Aktie!A$3:AK$103,24,FALSE)</f>
        <v>0.19183800866138645</v>
      </c>
      <c r="W42" s="12">
        <f>VLOOKUP(A42,Buchwert_je_Aktie!A$3:AK$103,37,FALSE)</f>
        <v>-7.6628352490422103E-3</v>
      </c>
      <c r="X42" s="16">
        <f t="shared" ca="1" si="14"/>
        <v>33.68212856534695</v>
      </c>
      <c r="Y42" s="12">
        <f t="shared" ca="1" si="15"/>
        <v>0.1827051503574677</v>
      </c>
      <c r="Z42" s="51">
        <f ca="1">IF(V42&lt;Bewertung_Stammdaten!B$25,Bewertung_Stammdaten!A$25,IF(V42&lt;Bewertung_Stammdaten!B$26,Bewertung_Stammdaten!A$26,IF(V42&lt;Bewertung_Stammdaten!B$27,Bewertung_Stammdaten!A$27,IF(V42&lt;Bewertung_Stammdaten!B$28,Bewertung_Stammdaten!A$28,IF(V42&lt;Bewertung_Stammdaten!B$29,Bewertung_Stammdaten!A$29,IF(V42&lt;Bewertung_Stammdaten!B$30,Bewertung_Stammdaten!A$30,IF(V42&lt;Bewertung_Stammdaten!B$31,Bewertung_Stammdaten!A$31,IF(V42&lt;Bewertung_Stammdaten!B$32,Bewertung_Stammdaten!A$32,IF(V42&lt;Bewertung_Stammdaten!B$33,Bewertung_Stammdaten!A$33,Bewertung_Stammdaten!A$34)))))))))</f>
        <v>6</v>
      </c>
      <c r="AA42" s="51">
        <f>IF(W42&lt;Bewertung_Stammdaten!F$25,Bewertung_Stammdaten!E$25,IF(W42&lt;Bewertung_Stammdaten!F$26,Bewertung_Stammdaten!E$26,IF(W42&lt;Bewertung_Stammdaten!F$27,Bewertung_Stammdaten!E$27,IF(W42&lt;Bewertung_Stammdaten!F$28,Bewertung_Stammdaten!E$28,IF(W42&lt;Bewertung_Stammdaten!F$29,Bewertung_Stammdaten!E$29,IF(W42&lt;Bewertung_Stammdaten!F$30,Bewertung_Stammdaten!E$30,IF(W42&lt;Bewertung_Stammdaten!F$31,Bewertung_Stammdaten!E$31,IF(W42&lt;Bewertung_Stammdaten!F$32,Bewertung_Stammdaten!E$32,IF(W42&lt;Bewertung_Stammdaten!F$33,Bewertung_Stammdaten!E$33,Bewertung_Stammdaten!E$34)))))))))</f>
        <v>10.5</v>
      </c>
      <c r="AB42" s="51">
        <f ca="1">IF(Y42&lt;Bewertung_Stammdaten!J$25,Bewertung_Stammdaten!I$25,IF(Y42&lt;Bewertung_Stammdaten!J$26,Bewertung_Stammdaten!I$26,IF(Y42&lt;Bewertung_Stammdaten!J$27,Bewertung_Stammdaten!I$27,IF(Y42&lt;Bewertung_Stammdaten!J$28,Bewertung_Stammdaten!I$28,IF(Y42&lt;Bewertung_Stammdaten!J$29,Bewertung_Stammdaten!I$29,IF(Y42&lt;Bewertung_Stammdaten!J$30,Bewertung_Stammdaten!I$30,IF(Y42&lt;Bewertung_Stammdaten!J$31,Bewertung_Stammdaten!I$31,IF(Y42&lt;Bewertung_Stammdaten!J$32,Bewertung_Stammdaten!I$32,IF(Y42&lt;Bewertung_Stammdaten!J$33,Bewertung_Stammdaten!I$33,Bewertung_Stammdaten!I$34)))))))))</f>
        <v>4</v>
      </c>
      <c r="AC42" s="43"/>
      <c r="AD42" s="14">
        <f ca="1">VLOOKUP(A42,Ergebnis_je_Aktie_verwässert!A$3:AK$103,23,FALSE)</f>
        <v>5.5948888888888888</v>
      </c>
      <c r="AE42" s="14">
        <f>VLOOKUP(A42,Ergebnis_je_Aktie_verwässert!A$3:AK$103,19,FALSE)</f>
        <v>4.3250000000000002</v>
      </c>
      <c r="AF42" s="12">
        <f ca="1">VLOOKUP(A42,Ergebnis_je_Aktie_verwässert!A$3:AK$103,24,FALSE)</f>
        <v>0.29361592806679515</v>
      </c>
      <c r="AG42" s="40">
        <f>VLOOKUP(A42,Ergebnis_je_Aktie_verwässert!A$3:AK$103,37,FALSE)</f>
        <v>-0.13793103448275856</v>
      </c>
      <c r="AH42" s="16">
        <f t="shared" ca="1" si="16"/>
        <v>4.8231800766283524</v>
      </c>
      <c r="AI42" s="12">
        <f t="shared" ca="1" si="17"/>
        <v>0.1151861448851681</v>
      </c>
      <c r="AJ42" s="32">
        <f ca="1">IF(AF42&lt;Bewertung_Stammdaten!B$38,Bewertung_Stammdaten!A$38,IF(AF42&lt;Bewertung_Stammdaten!B$39,Bewertung_Stammdaten!A$39,IF(AF42&lt;Bewertung_Stammdaten!B$40,Bewertung_Stammdaten!A$40,IF(AF42&lt;Bewertung_Stammdaten!B$41,Bewertung_Stammdaten!A$41,IF(AF42&lt;Bewertung_Stammdaten!B$42,Bewertung_Stammdaten!A$42,IF(AF42&lt;Bewertung_Stammdaten!B$43,Bewertung_Stammdaten!A$43,IF(AF42&lt;Bewertung_Stammdaten!B$44,Bewertung_Stammdaten!A$44,IF(AF42&lt;Bewertung_Stammdaten!B$45,Bewertung_Stammdaten!A$45,IF(AF42&lt;Bewertung_Stammdaten!B$46,Bewertung_Stammdaten!A$46,Bewertung_Stammdaten!A$47)))))))))</f>
        <v>12</v>
      </c>
      <c r="AK42" s="32">
        <f>IF(AG42&lt;Bewertung_Stammdaten!F$38,Bewertung_Stammdaten!E$38,IF(AG42&lt;Bewertung_Stammdaten!F$39,Bewertung_Stammdaten!E$39,IF(AG42&lt;Bewertung_Stammdaten!F$40,Bewertung_Stammdaten!E$40,IF(AG42&lt;Bewertung_Stammdaten!F$41,Bewertung_Stammdaten!E$41,IF(AG42&lt;Bewertung_Stammdaten!F$42,Bewertung_Stammdaten!E$42,IF(AG42&lt;Bewertung_Stammdaten!F$43,Bewertung_Stammdaten!E$43,IF(AG42&lt;Bewertung_Stammdaten!F$44,Bewertung_Stammdaten!E$44,IF(AG42&lt;Bewertung_Stammdaten!F$45,Bewertung_Stammdaten!E$45,IF(AG42&lt;Bewertung_Stammdaten!F$46,Bewertung_Stammdaten!E$46,Bewertung_Stammdaten!E$47)))))))))</f>
        <v>9</v>
      </c>
      <c r="AL42" s="32">
        <f ca="1">IF(AI42&lt;Bewertung_Stammdaten!J$38,Bewertung_Stammdaten!I$38,IF(AI42&lt;Bewertung_Stammdaten!J$39,Bewertung_Stammdaten!I$39,IF(AI42&lt;Bewertung_Stammdaten!J$40,Bewertung_Stammdaten!I$40,IF(AI42&lt;Bewertung_Stammdaten!J$41,Bewertung_Stammdaten!I$41,IF(AI42&lt;Bewertung_Stammdaten!J$42,Bewertung_Stammdaten!I$42,IF(AI42&lt;Bewertung_Stammdaten!J$43,Bewertung_Stammdaten!I$43,IF(AI42&lt;Bewertung_Stammdaten!J$44,Bewertung_Stammdaten!I$44,IF(AI42&lt;Bewertung_Stammdaten!J$45,Bewertung_Stammdaten!I$45,IF(AI42&lt;Bewertung_Stammdaten!J$46,Bewertung_Stammdaten!I$46,Bewertung_Stammdaten!I$47)))))))))</f>
        <v>5</v>
      </c>
      <c r="AM42" s="43"/>
      <c r="AN42" s="14">
        <f ca="1">VLOOKUP(A42,Dividende_je_Aktie!A$3:AM$103,24,FALSE)</f>
        <v>3.5882777777777779</v>
      </c>
      <c r="AO42" s="14">
        <f>VLOOKUP(A42,Dividende_je_Aktie!A$3:AM$103,20,FALSE)</f>
        <v>2.2230000000000003</v>
      </c>
      <c r="AP42" s="12">
        <f ca="1">VLOOKUP(A42,Dividende_je_Aktie!A$3:AM$103,25,FALSE)</f>
        <v>0.61416004398460511</v>
      </c>
      <c r="AQ42" s="40">
        <f>VLOOKUP(A42,Dividende_je_Aktie!A$3:AM$103,39,FALSE)</f>
        <v>-8.071748878923779E-2</v>
      </c>
      <c r="AR42" s="16">
        <f t="shared" ca="1" si="18"/>
        <v>3.2986410064773288</v>
      </c>
      <c r="AS42" s="12">
        <f t="shared" ca="1" si="19"/>
        <v>0.48386909873024209</v>
      </c>
      <c r="AT42" s="32">
        <f ca="1">IF(AP42&lt;Bewertung_Stammdaten!B$51,Bewertung_Stammdaten!A$51,IF(AP42&lt;Bewertung_Stammdaten!B$52,Bewertung_Stammdaten!A$52,IF(AP42&lt;Bewertung_Stammdaten!B$53,Bewertung_Stammdaten!A$53,IF(AP42&lt;Bewertung_Stammdaten!B$54,Bewertung_Stammdaten!A$54,IF(AP42&lt;Bewertung_Stammdaten!B$55,Bewertung_Stammdaten!A$55,IF(AP42&lt;Bewertung_Stammdaten!B$56,Bewertung_Stammdaten!A$56,IF(AP42&lt;Bewertung_Stammdaten!B$57,Bewertung_Stammdaten!A$57,IF(AP42&lt;Bewertung_Stammdaten!B$58,Bewertung_Stammdaten!A$58,IF(AP42&lt;Bewertung_Stammdaten!B$59,Bewertung_Stammdaten!A$59,Bewertung_Stammdaten!A$60)))))))))</f>
        <v>18</v>
      </c>
      <c r="AU42" s="32">
        <f>IF(AQ42&lt;Bewertung_Stammdaten!F$51,Bewertung_Stammdaten!E$51,IF(AQ42&lt;Bewertung_Stammdaten!F$52,Bewertung_Stammdaten!E$52,IF(AQ42&lt;Bewertung_Stammdaten!F$53,Bewertung_Stammdaten!E$53,IF(AQ42&lt;Bewertung_Stammdaten!F$54,Bewertung_Stammdaten!E$54,IF(AQ42&lt;Bewertung_Stammdaten!F$55,Bewertung_Stammdaten!E$55,IF(AQ42&lt;Bewertung_Stammdaten!F$56,Bewertung_Stammdaten!E$56,IF(AQ42&lt;Bewertung_Stammdaten!F$57,Bewertung_Stammdaten!E$57,IF(AQ42&lt;Bewertung_Stammdaten!F$58,Bewertung_Stammdaten!E$58,IF(AQ42&lt;Bewertung_Stammdaten!F$59,Bewertung_Stammdaten!E$59,Bewertung_Stammdaten!E$60)))))))))</f>
        <v>10.5</v>
      </c>
      <c r="AV42" s="32">
        <f ca="1">IF(AS42&lt;Bewertung_Stammdaten!J$51,Bewertung_Stammdaten!I$51,IF(AS42&lt;Bewertung_Stammdaten!J$52,Bewertung_Stammdaten!I$52,IF(AS42&lt;Bewertung_Stammdaten!J$53,Bewertung_Stammdaten!I$53,IF(AS42&lt;Bewertung_Stammdaten!J$54,Bewertung_Stammdaten!I$54,IF(AS42&lt;Bewertung_Stammdaten!J$55,Bewertung_Stammdaten!I$55,IF(AS42&lt;Bewertung_Stammdaten!J$56,Bewertung_Stammdaten!I$56,IF(AS42&lt;Bewertung_Stammdaten!J$57,Bewertung_Stammdaten!I$57,IF(AS42&lt;Bewertung_Stammdaten!J$58,Bewertung_Stammdaten!I$58,IF(AS42&lt;Bewertung_Stammdaten!J$59,Bewertung_Stammdaten!I$59,Bewertung_Stammdaten!I$60)))))))))</f>
        <v>9</v>
      </c>
      <c r="AW42" s="43"/>
      <c r="AX42" s="12">
        <f ca="1">VLOOKUP(A42,Dividendenrendite!A$3:R$103,17,FALSE)</f>
        <v>2.9706001712299031E-2</v>
      </c>
      <c r="AY42" s="12">
        <f>VLOOKUP(A42,Dividendenrendite!A$3:R$103,16,FALSE)</f>
        <v>2.2328677401073752E-2</v>
      </c>
      <c r="AZ42" s="12">
        <f ca="1">VLOOKUP(A42,Dividendenrendite!A$3:R$103,18,FALSE)</f>
        <v>0.33039683357467986</v>
      </c>
      <c r="BA42" s="32">
        <f ca="1">IF(AX42&lt;Bewertung_Stammdaten!B$64,Bewertung_Stammdaten!A$64,IF(AX42&lt;Bewertung_Stammdaten!B$65,Bewertung_Stammdaten!A$65,IF(AX42&lt;Bewertung_Stammdaten!B$66,Bewertung_Stammdaten!A$66,IF(AX42&lt;Bewertung_Stammdaten!B$67,Bewertung_Stammdaten!A$67,IF(AX42&lt;Bewertung_Stammdaten!B$68,Bewertung_Stammdaten!A$68,IF(AX42&lt;Bewertung_Stammdaten!B$69,Bewertung_Stammdaten!A$69,IF(AX42&lt;Bewertung_Stammdaten!B$70,Bewertung_Stammdaten!A$70,IF(AX42&lt;Bewertung_Stammdaten!B$71,Bewertung_Stammdaten!A$71,IF(AX42&lt;Bewertung_Stammdaten!B$72,Bewertung_Stammdaten!A$72,Bewertung_Stammdaten!A$73)))))))))</f>
        <v>9</v>
      </c>
      <c r="BB42" s="32">
        <f>IF(AY42&lt;Bewertung_Stammdaten!F$64,Bewertung_Stammdaten!E$64,IF(AY42&lt;Bewertung_Stammdaten!F$65,Bewertung_Stammdaten!E$65,IF(AY42&lt;Bewertung_Stammdaten!F$66,Bewertung_Stammdaten!E$66,IF(AY42&lt;Bewertung_Stammdaten!F$67,Bewertung_Stammdaten!E$67,IF(AY42&lt;Bewertung_Stammdaten!F$68,Bewertung_Stammdaten!E$68,IF(AY42&lt;Bewertung_Stammdaten!F$69,Bewertung_Stammdaten!E$69,IF(AY42&lt;Bewertung_Stammdaten!F$70,Bewertung_Stammdaten!E$70,IF(AY42&lt;Bewertung_Stammdaten!F$71,Bewertung_Stammdaten!E$71,IF(AY42&lt;Bewertung_Stammdaten!F$72,Bewertung_Stammdaten!E$72,Bewertung_Stammdaten!E$73)))))))))</f>
        <v>5</v>
      </c>
      <c r="BC42" s="32">
        <f ca="1">IF(AZ42&lt;Bewertung_Stammdaten!J$64,Bewertung_Stammdaten!I$64,IF(AZ42&lt;Bewertung_Stammdaten!J$65,Bewertung_Stammdaten!I$65,IF(AZ42&lt;Bewertung_Stammdaten!J$66,Bewertung_Stammdaten!I$66,IF(AZ42&lt;Bewertung_Stammdaten!J$67,Bewertung_Stammdaten!I$67,IF(AZ42&lt;Bewertung_Stammdaten!J$68,Bewertung_Stammdaten!I$68,IF(AZ42&lt;Bewertung_Stammdaten!J$69,Bewertung_Stammdaten!I$69,IF(AZ42&lt;Bewertung_Stammdaten!J$70,Bewertung_Stammdaten!I$70,IF(AZ42&lt;Bewertung_Stammdaten!J$71,Bewertung_Stammdaten!I$71,IF(AZ42&lt;Bewertung_Stammdaten!J$72,Bewertung_Stammdaten!I$72,Bewertung_Stammdaten!I$73)))))))))</f>
        <v>5</v>
      </c>
      <c r="BD42" s="43"/>
      <c r="BE42" s="12">
        <f>VLOOKUP(A42,Aktien_im_Umlauf_splitbereinigt!A$3:Z$103,26,FALSE)</f>
        <v>0</v>
      </c>
      <c r="BF42" s="12">
        <f>VLOOKUP(A42,Aktien_im_Umlauf_splitbereinigt!A$3:Y$103,24,FALSE)</f>
        <v>4.9828737960355696E-4</v>
      </c>
      <c r="BG42" s="12">
        <f>VLOOKUP(A42,Aktien_im_Umlauf_splitbereinigt!A$3:Y$103,25,FALSE)</f>
        <v>-99.999989999999997</v>
      </c>
      <c r="BH42" s="41">
        <f>IF(BE42&lt;Bewertung_Stammdaten!B$77,Bewertung_Stammdaten!A$77,IF(BE42&lt;Bewertung_Stammdaten!B$78,Bewertung_Stammdaten!A$78,IF(BE42&lt;Bewertung_Stammdaten!B$79,Bewertung_Stammdaten!A$79,IF(BE42&lt;Bewertung_Stammdaten!B$80,Bewertung_Stammdaten!A$80,IF(BE42&lt;Bewertung_Stammdaten!B$81,Bewertung_Stammdaten!A$81,IF(BE42&lt;Bewertung_Stammdaten!B$82,Bewertung_Stammdaten!A$82,IF(BE42&lt;Bewertung_Stammdaten!B$83,Bewertung_Stammdaten!A$83,IF(BE42&lt;Bewertung_Stammdaten!B$84,Bewertung_Stammdaten!A$84,IF(BE42&lt;Bewertung_Stammdaten!B$85,Bewertung_Stammdaten!A$85,Bewertung_Stammdaten!A$86)))))))))</f>
        <v>2</v>
      </c>
      <c r="BI42" s="41">
        <f>IF(BF42&lt;Bewertung_Stammdaten!F$77,Bewertung_Stammdaten!E$77,IF(BF42&lt;Bewertung_Stammdaten!F$78,Bewertung_Stammdaten!E$78,IF(BF42&lt;Bewertung_Stammdaten!F$79,Bewertung_Stammdaten!E$79,IF(BF42&lt;Bewertung_Stammdaten!F$80,Bewertung_Stammdaten!E$80,IF(BF42&lt;Bewertung_Stammdaten!F$81,Bewertung_Stammdaten!E$81,IF(BF42&lt;Bewertung_Stammdaten!F$82,Bewertung_Stammdaten!E$82,IF(BF42&lt;Bewertung_Stammdaten!F$83,Bewertung_Stammdaten!E$83,IF(BF42&lt;Bewertung_Stammdaten!F$84,Bewertung_Stammdaten!E$84,IF(BF42&lt;Bewertung_Stammdaten!F$85,Bewertung_Stammdaten!E$85,Bewertung_Stammdaten!E$86)))))))))</f>
        <v>2</v>
      </c>
      <c r="BJ42" s="41">
        <f>IF(BG42&lt;Bewertung_Stammdaten!J$77,Bewertung_Stammdaten!I$77,IF(BG42&lt;Bewertung_Stammdaten!J$78,Bewertung_Stammdaten!I$78,IF(BG42&lt;Bewertung_Stammdaten!J$79,Bewertung_Stammdaten!I$79,IF(BG42&lt;Bewertung_Stammdaten!J$80,Bewertung_Stammdaten!I$80,IF(BG42&lt;Bewertung_Stammdaten!J$81,Bewertung_Stammdaten!I$81,IF(BG42&lt;Bewertung_Stammdaten!J$82,Bewertung_Stammdaten!I$82,IF(BG42&lt;Bewertung_Stammdaten!J$83,Bewertung_Stammdaten!I$83,IF(BG42&lt;Bewertung_Stammdaten!J$84,Bewertung_Stammdaten!I$84,IF(BG42&lt;Bewertung_Stammdaten!J$85,Bewertung_Stammdaten!I$85,Bewertung_Stammdaten!I$86)))))))))</f>
        <v>0.5</v>
      </c>
      <c r="BK42" s="43"/>
      <c r="BL42" s="12">
        <f ca="1">VLOOKUP(A42,Ausschüttungsquote!A$3:X$103,23,FALSE)</f>
        <v>0.64113134808290528</v>
      </c>
      <c r="BM42" s="12">
        <f>VLOOKUP(A42,Ausschüttungsquote!A$3:X$103,19,FALSE)</f>
        <v>0.46555304409235559</v>
      </c>
      <c r="BN42" s="12">
        <f ca="1">VLOOKUP(A42,Ausschüttungsquote!A$3:X$103,24,FALSE)</f>
        <v>0.37713920297279535</v>
      </c>
      <c r="BO42" s="32">
        <f ca="1">IF(BL42&lt;Bewertung_Stammdaten!B$90,Bewertung_Stammdaten!A$90,IF(BL42&lt;Bewertung_Stammdaten!B$91,Bewertung_Stammdaten!A$91,IF(BL42&lt;Bewertung_Stammdaten!B$92,Bewertung_Stammdaten!A$92,IF(BL42&lt;Bewertung_Stammdaten!B$93,Bewertung_Stammdaten!A$93,IF(BL42&lt;Bewertung_Stammdaten!B$94,Bewertung_Stammdaten!A$94,IF(BL42&lt;Bewertung_Stammdaten!B$95,Bewertung_Stammdaten!A$95,IF(BL42&lt;Bewertung_Stammdaten!B$96,Bewertung_Stammdaten!A$96,IF(BL42&lt;Bewertung_Stammdaten!B$97,Bewertung_Stammdaten!A$97,IF(BL42&lt;Bewertung_Stammdaten!B$98,Bewertung_Stammdaten!A$98,Bewertung_Stammdaten!A$99)))))))))</f>
        <v>5</v>
      </c>
      <c r="BP42" s="41">
        <f>IF(BM42&lt;Bewertung_Stammdaten!F$90,Bewertung_Stammdaten!E$90,IF(BM42&lt;Bewertung_Stammdaten!F$91,Bewertung_Stammdaten!E$91,IF(BM42&lt;Bewertung_Stammdaten!F$92,Bewertung_Stammdaten!E$92,IF(BM42&lt;Bewertung_Stammdaten!F$93,Bewertung_Stammdaten!E$93,IF(BM42&lt;Bewertung_Stammdaten!F$94,Bewertung_Stammdaten!E$94,IF(BM42&lt;Bewertung_Stammdaten!F$95,Bewertung_Stammdaten!E$95,IF(BM42&lt;Bewertung_Stammdaten!F$96,Bewertung_Stammdaten!E$96,IF(BM42&lt;Bewertung_Stammdaten!F$97,Bewertung_Stammdaten!E$97,IF(BM42&lt;Bewertung_Stammdaten!F$98,Bewertung_Stammdaten!E$98,Bewertung_Stammdaten!E$99)))))))))</f>
        <v>8</v>
      </c>
      <c r="BQ42" s="32">
        <f ca="1">IF(BN42&lt;Bewertung_Stammdaten!J$90,Bewertung_Stammdaten!I$90,IF(BN42&lt;Bewertung_Stammdaten!J$91,Bewertung_Stammdaten!I$91,IF(BN42&lt;Bewertung_Stammdaten!J$92,Bewertung_Stammdaten!I$92,IF(BN42&lt;Bewertung_Stammdaten!J$93,Bewertung_Stammdaten!I$93,IF(BN42&lt;Bewertung_Stammdaten!J$94,Bewertung_Stammdaten!I$94,IF(BN42&lt;Bewertung_Stammdaten!J$95,Bewertung_Stammdaten!I$95,IF(BN42&lt;Bewertung_Stammdaten!J$96,Bewertung_Stammdaten!I$96,IF(BN42&lt;Bewertung_Stammdaten!J$97,Bewertung_Stammdaten!I$97,IF(BN42&lt;Bewertung_Stammdaten!J$98,Bewertung_Stammdaten!I$98,Bewertung_Stammdaten!I$99)))))))))</f>
        <v>1</v>
      </c>
    </row>
    <row r="43" spans="1:69" x14ac:dyDescent="0.25">
      <c r="A43" s="38" t="s">
        <v>78</v>
      </c>
      <c r="B43" s="38" t="s">
        <v>79</v>
      </c>
      <c r="C43" s="38" t="s">
        <v>295</v>
      </c>
      <c r="D43" s="32">
        <f t="shared" ca="1" si="11"/>
        <v>111.5</v>
      </c>
      <c r="E43" s="43"/>
      <c r="F43" s="66">
        <v>1</v>
      </c>
      <c r="G43" s="11">
        <f ca="1">VLOOKUP(A43,KGV!A$3:R$103,17,FALSE)</f>
        <v>35.982856621781814</v>
      </c>
      <c r="H43" s="11">
        <f>VLOOKUP(A43,KGV!A$3:R$103,16,FALSE)</f>
        <v>27.922077922077921</v>
      </c>
      <c r="I43" s="12">
        <f ca="1">VLOOKUP(A43,KGV!A$3:R$103,18,FALSE)</f>
        <v>0.28868835343125565</v>
      </c>
      <c r="J43" s="16">
        <f t="shared" ca="1" si="12"/>
        <v>48.208316545811805</v>
      </c>
      <c r="K43" s="12">
        <f t="shared" ca="1" si="13"/>
        <v>0.72653040652442291</v>
      </c>
      <c r="L43" s="11">
        <f ca="1">VLOOKUP(A43,KBV!A$3:R$103,17,FALSE)</f>
        <v>3.8482251505363183</v>
      </c>
      <c r="M43" s="11">
        <f>VLOOKUP(A43,KBV!A$3:R$103,16,FALSE)</f>
        <v>2.2095868720310925</v>
      </c>
      <c r="N43" s="12">
        <f ca="1">VLOOKUP(A43,KBV!A$3:R$103,18,FALSE)</f>
        <v>0.74160391666291892</v>
      </c>
      <c r="O43" s="16">
        <f t="shared" ca="1" si="9"/>
        <v>5.6363512706541297</v>
      </c>
      <c r="P43" s="12">
        <f t="shared" ca="1" si="10"/>
        <v>1.5508620376048365</v>
      </c>
      <c r="Q43" s="32">
        <f ca="1">IF(F43=1,IF(I43&lt;Bewertung_Stammdaten!B$12,Bewertung_Stammdaten!A$12,IF(I43&lt;Bewertung_Stammdaten!B$13,Bewertung_Stammdaten!A$13,IF(I43&lt;Bewertung_Stammdaten!B$14,Bewertung_Stammdaten!A$14,IF(I43&lt;Bewertung_Stammdaten!B$15,Bewertung_Stammdaten!A$15,IF(I43&lt;Bewertung_Stammdaten!B$16,Bewertung_Stammdaten!A$16,IF(I43&lt;Bewertung_Stammdaten!B$17,Bewertung_Stammdaten!A$17,IF(I43&lt;Bewertung_Stammdaten!B$18,Bewertung_Stammdaten!A$18,IF(I43&lt;Bewertung_Stammdaten!B$19,Bewertung_Stammdaten!A$19,IF(I43&lt;Bewertung_Stammdaten!B$20,Bewertung_Stammdaten!A$20,Bewertung_Stammdaten!A$21))))))))),IF(N43&lt;Bewertung_Stammdaten!C$12,Bewertung_Stammdaten!A$12,IF(N43&lt;Bewertung_Stammdaten!C$13,Bewertung_Stammdaten!A$13,IF(N43&lt;Bewertung_Stammdaten!C$14,Bewertung_Stammdaten!A$14,IF(N43&lt;Bewertung_Stammdaten!C$15,Bewertung_Stammdaten!A$15,IF(N43&lt;Bewertung_Stammdaten!C$16,Bewertung_Stammdaten!A$16,IF(N43&lt;Bewertung_Stammdaten!C$17,Bewertung_Stammdaten!A$17,IF(N43&lt;Bewertung_Stammdaten!C$18,Bewertung_Stammdaten!A$18,IF(N43&lt;Bewertung_Stammdaten!C$19,Bewertung_Stammdaten!A$19,IF(N43&lt;Bewertung_Stammdaten!C$20,Bewertung_Stammdaten!A$20,Bewertung_Stammdaten!A$21))))))))))</f>
        <v>6</v>
      </c>
      <c r="R43" s="32">
        <f ca="1">IF(F43=1,IF(K43&lt;Bewertung_Stammdaten!F$12,Bewertung_Stammdaten!E$12,IF(K43&lt;Bewertung_Stammdaten!F$13,Bewertung_Stammdaten!E$13,IF(K43&lt;Bewertung_Stammdaten!F$14,Bewertung_Stammdaten!E$14,IF(K43&lt;Bewertung_Stammdaten!F$15,Bewertung_Stammdaten!E$15,IF(K43&lt;Bewertung_Stammdaten!F$16,Bewertung_Stammdaten!E$16,IF(K43&lt;Bewertung_Stammdaten!F$17,Bewertung_Stammdaten!E$17,IF(K43&lt;Bewertung_Stammdaten!F$18,Bewertung_Stammdaten!E$18,IF(K43&lt;Bewertung_Stammdaten!F$19,Bewertung_Stammdaten!E$19,IF(K43&lt;Bewertung_Stammdaten!F$20,Bewertung_Stammdaten!E$20,Bewertung_Stammdaten!E$21))))))))),IF(P43&lt;Bewertung_Stammdaten!G$12,Bewertung_Stammdaten!E$12,IF(P43&lt;Bewertung_Stammdaten!G$13,Bewertung_Stammdaten!E$13,IF(P43&lt;Bewertung_Stammdaten!G$14,Bewertung_Stammdaten!E$14,IF(P43&lt;Bewertung_Stammdaten!G$15,Bewertung_Stammdaten!E$15,IF(P43&lt;Bewertung_Stammdaten!G$16,Bewertung_Stammdaten!E$16,IF(P43&lt;Bewertung_Stammdaten!G$17,Bewertung_Stammdaten!E$17,IF(P43&lt;Bewertung_Stammdaten!G$18,Bewertung_Stammdaten!E$18,IF(P43&lt;Bewertung_Stammdaten!G$19,Bewertung_Stammdaten!E$19,IF(P43&lt;Bewertung_Stammdaten!G$20,Bewertung_Stammdaten!E$20,Bewertung_Stammdaten!E$21))))))))))</f>
        <v>2.5</v>
      </c>
      <c r="S43" s="43"/>
      <c r="T43" s="11">
        <f ca="1">VLOOKUP(A43,Buchwert_je_Aktie!A$3:AK$103,23,FALSE)</f>
        <v>15381.116666666665</v>
      </c>
      <c r="U43" s="11">
        <f>VLOOKUP(A43,Buchwert_je_Aktie!A$3:AK$103,19,FALSE)</f>
        <v>14660.846153846154</v>
      </c>
      <c r="V43" s="12">
        <f ca="1">VLOOKUP(A43,Buchwert_je_Aktie!A$3:AK$103,24,FALSE)</f>
        <v>4.9128850085610853E-2</v>
      </c>
      <c r="W43" s="12">
        <f>VLOOKUP(A43,Buchwert_je_Aktie!A$3:AK$103,37,FALSE)</f>
        <v>-0.31724887861900231</v>
      </c>
      <c r="X43" s="16">
        <f t="shared" ca="1" si="14"/>
        <v>10501.474652258619</v>
      </c>
      <c r="Y43" s="12">
        <f t="shared" ca="1" si="15"/>
        <v>-0.28370610113089256</v>
      </c>
      <c r="Z43" s="51">
        <f ca="1">IF(V43&lt;Bewertung_Stammdaten!B$25,Bewertung_Stammdaten!A$25,IF(V43&lt;Bewertung_Stammdaten!B$26,Bewertung_Stammdaten!A$26,IF(V43&lt;Bewertung_Stammdaten!B$27,Bewertung_Stammdaten!A$27,IF(V43&lt;Bewertung_Stammdaten!B$28,Bewertung_Stammdaten!A$28,IF(V43&lt;Bewertung_Stammdaten!B$29,Bewertung_Stammdaten!A$29,IF(V43&lt;Bewertung_Stammdaten!B$30,Bewertung_Stammdaten!A$30,IF(V43&lt;Bewertung_Stammdaten!B$31,Bewertung_Stammdaten!A$31,IF(V43&lt;Bewertung_Stammdaten!B$32,Bewertung_Stammdaten!A$32,IF(V43&lt;Bewertung_Stammdaten!B$33,Bewertung_Stammdaten!A$33,Bewertung_Stammdaten!A$34)))))))))</f>
        <v>4.5</v>
      </c>
      <c r="AA43" s="51">
        <f>IF(W43&lt;Bewertung_Stammdaten!F$25,Bewertung_Stammdaten!E$25,IF(W43&lt;Bewertung_Stammdaten!F$26,Bewertung_Stammdaten!E$26,IF(W43&lt;Bewertung_Stammdaten!F$27,Bewertung_Stammdaten!E$27,IF(W43&lt;Bewertung_Stammdaten!F$28,Bewertung_Stammdaten!E$28,IF(W43&lt;Bewertung_Stammdaten!F$29,Bewertung_Stammdaten!E$29,IF(W43&lt;Bewertung_Stammdaten!F$30,Bewertung_Stammdaten!E$30,IF(W43&lt;Bewertung_Stammdaten!F$31,Bewertung_Stammdaten!E$31,IF(W43&lt;Bewertung_Stammdaten!F$32,Bewertung_Stammdaten!E$32,IF(W43&lt;Bewertung_Stammdaten!F$33,Bewertung_Stammdaten!E$33,Bewertung_Stammdaten!E$34)))))))))</f>
        <v>1.5</v>
      </c>
      <c r="AB43" s="51">
        <f ca="1">IF(Y43&lt;Bewertung_Stammdaten!J$25,Bewertung_Stammdaten!I$25,IF(Y43&lt;Bewertung_Stammdaten!J$26,Bewertung_Stammdaten!I$26,IF(Y43&lt;Bewertung_Stammdaten!J$27,Bewertung_Stammdaten!I$27,IF(Y43&lt;Bewertung_Stammdaten!J$28,Bewertung_Stammdaten!I$28,IF(Y43&lt;Bewertung_Stammdaten!J$29,Bewertung_Stammdaten!I$29,IF(Y43&lt;Bewertung_Stammdaten!J$30,Bewertung_Stammdaten!I$30,IF(Y43&lt;Bewertung_Stammdaten!J$31,Bewertung_Stammdaten!I$31,IF(Y43&lt;Bewertung_Stammdaten!J$32,Bewertung_Stammdaten!I$32,IF(Y43&lt;Bewertung_Stammdaten!J$33,Bewertung_Stammdaten!I$33,Bewertung_Stammdaten!I$34)))))))))</f>
        <v>1</v>
      </c>
      <c r="AC43" s="43"/>
      <c r="AD43" s="14">
        <f ca="1">VLOOKUP(A43,Ergebnis_je_Aktie_verwässert!A$3:AK$103,23,FALSE)</f>
        <v>1644.9500000000003</v>
      </c>
      <c r="AE43" s="14">
        <f>VLOOKUP(A43,Ergebnis_je_Aktie_verwässert!A$3:AK$103,19,FALSE)</f>
        <v>1240.1000000000001</v>
      </c>
      <c r="AF43" s="12">
        <f ca="1">VLOOKUP(A43,Ergebnis_je_Aktie_verwässert!A$3:AK$103,24,FALSE)</f>
        <v>0.32646560761228938</v>
      </c>
      <c r="AG43" s="40">
        <f>VLOOKUP(A43,Ergebnis_je_Aktie_verwässert!A$3:AK$103,37,FALSE)</f>
        <v>-0.25359649122807015</v>
      </c>
      <c r="AH43" s="16">
        <f t="shared" ca="1" si="16"/>
        <v>1227.7964517543862</v>
      </c>
      <c r="AI43" s="12">
        <f t="shared" ca="1" si="17"/>
        <v>-9.9214162128973271E-3</v>
      </c>
      <c r="AJ43" s="32">
        <f ca="1">IF(AF43&lt;Bewertung_Stammdaten!B$38,Bewertung_Stammdaten!A$38,IF(AF43&lt;Bewertung_Stammdaten!B$39,Bewertung_Stammdaten!A$39,IF(AF43&lt;Bewertung_Stammdaten!B$40,Bewertung_Stammdaten!A$40,IF(AF43&lt;Bewertung_Stammdaten!B$41,Bewertung_Stammdaten!A$41,IF(AF43&lt;Bewertung_Stammdaten!B$42,Bewertung_Stammdaten!A$42,IF(AF43&lt;Bewertung_Stammdaten!B$43,Bewertung_Stammdaten!A$43,IF(AF43&lt;Bewertung_Stammdaten!B$44,Bewertung_Stammdaten!A$44,IF(AF43&lt;Bewertung_Stammdaten!B$45,Bewertung_Stammdaten!A$45,IF(AF43&lt;Bewertung_Stammdaten!B$46,Bewertung_Stammdaten!A$46,Bewertung_Stammdaten!A$47)))))))))</f>
        <v>14</v>
      </c>
      <c r="AK43" s="32">
        <f>IF(AG43&lt;Bewertung_Stammdaten!F$38,Bewertung_Stammdaten!E$38,IF(AG43&lt;Bewertung_Stammdaten!F$39,Bewertung_Stammdaten!E$39,IF(AG43&lt;Bewertung_Stammdaten!F$40,Bewertung_Stammdaten!E$40,IF(AG43&lt;Bewertung_Stammdaten!F$41,Bewertung_Stammdaten!E$41,IF(AG43&lt;Bewertung_Stammdaten!F$42,Bewertung_Stammdaten!E$42,IF(AG43&lt;Bewertung_Stammdaten!F$43,Bewertung_Stammdaten!E$43,IF(AG43&lt;Bewertung_Stammdaten!F$44,Bewertung_Stammdaten!E$44,IF(AG43&lt;Bewertung_Stammdaten!F$45,Bewertung_Stammdaten!E$45,IF(AG43&lt;Bewertung_Stammdaten!F$46,Bewertung_Stammdaten!E$46,Bewertung_Stammdaten!E$47)))))))))</f>
        <v>7.5</v>
      </c>
      <c r="AL43" s="32">
        <f ca="1">IF(AI43&lt;Bewertung_Stammdaten!J$38,Bewertung_Stammdaten!I$38,IF(AI43&lt;Bewertung_Stammdaten!J$39,Bewertung_Stammdaten!I$39,IF(AI43&lt;Bewertung_Stammdaten!J$40,Bewertung_Stammdaten!I$40,IF(AI43&lt;Bewertung_Stammdaten!J$41,Bewertung_Stammdaten!I$41,IF(AI43&lt;Bewertung_Stammdaten!J$42,Bewertung_Stammdaten!I$42,IF(AI43&lt;Bewertung_Stammdaten!J$43,Bewertung_Stammdaten!I$43,IF(AI43&lt;Bewertung_Stammdaten!J$44,Bewertung_Stammdaten!I$44,IF(AI43&lt;Bewertung_Stammdaten!J$45,Bewertung_Stammdaten!I$45,IF(AI43&lt;Bewertung_Stammdaten!J$46,Bewertung_Stammdaten!I$46,Bewertung_Stammdaten!I$47)))))))))</f>
        <v>4</v>
      </c>
      <c r="AM43" s="43"/>
      <c r="AN43" s="14">
        <f ca="1">VLOOKUP(A43,Dividende_je_Aktie!A$3:AM$103,24,FALSE)</f>
        <v>833.21111111111122</v>
      </c>
      <c r="AO43" s="14">
        <f>VLOOKUP(A43,Dividende_je_Aktie!A$3:AM$103,20,FALSE)</f>
        <v>526.07142857142856</v>
      </c>
      <c r="AP43" s="12">
        <f ca="1">VLOOKUP(A43,Dividende_je_Aktie!A$3:AM$103,25,FALSE)</f>
        <v>0.58383646375499754</v>
      </c>
      <c r="AQ43" s="40">
        <f>VLOOKUP(A43,Dividende_je_Aktie!A$3:AM$103,39,FALSE)</f>
        <v>9.0909090909090828E-2</v>
      </c>
      <c r="AR43" s="16">
        <f t="shared" ca="1" si="18"/>
        <v>833.21111111111122</v>
      </c>
      <c r="AS43" s="12">
        <f t="shared" ca="1" si="19"/>
        <v>0.58383646375499754</v>
      </c>
      <c r="AT43" s="32">
        <f ca="1">IF(AP43&lt;Bewertung_Stammdaten!B$51,Bewertung_Stammdaten!A$51,IF(AP43&lt;Bewertung_Stammdaten!B$52,Bewertung_Stammdaten!A$52,IF(AP43&lt;Bewertung_Stammdaten!B$53,Bewertung_Stammdaten!A$53,IF(AP43&lt;Bewertung_Stammdaten!B$54,Bewertung_Stammdaten!A$54,IF(AP43&lt;Bewertung_Stammdaten!B$55,Bewertung_Stammdaten!A$55,IF(AP43&lt;Bewertung_Stammdaten!B$56,Bewertung_Stammdaten!A$56,IF(AP43&lt;Bewertung_Stammdaten!B$57,Bewertung_Stammdaten!A$57,IF(AP43&lt;Bewertung_Stammdaten!B$58,Bewertung_Stammdaten!A$58,IF(AP43&lt;Bewertung_Stammdaten!B$59,Bewertung_Stammdaten!A$59,Bewertung_Stammdaten!A$60)))))))))</f>
        <v>16</v>
      </c>
      <c r="AU43" s="32">
        <f>IF(AQ43&lt;Bewertung_Stammdaten!F$51,Bewertung_Stammdaten!E$51,IF(AQ43&lt;Bewertung_Stammdaten!F$52,Bewertung_Stammdaten!E$52,IF(AQ43&lt;Bewertung_Stammdaten!F$53,Bewertung_Stammdaten!E$53,IF(AQ43&lt;Bewertung_Stammdaten!F$54,Bewertung_Stammdaten!E$54,IF(AQ43&lt;Bewertung_Stammdaten!F$55,Bewertung_Stammdaten!E$55,IF(AQ43&lt;Bewertung_Stammdaten!F$56,Bewertung_Stammdaten!E$56,IF(AQ43&lt;Bewertung_Stammdaten!F$57,Bewertung_Stammdaten!E$57,IF(AQ43&lt;Bewertung_Stammdaten!F$58,Bewertung_Stammdaten!E$58,IF(AQ43&lt;Bewertung_Stammdaten!F$59,Bewertung_Stammdaten!E$59,Bewertung_Stammdaten!E$60)))))))))</f>
        <v>12</v>
      </c>
      <c r="AV43" s="32">
        <f ca="1">IF(AS43&lt;Bewertung_Stammdaten!J$51,Bewertung_Stammdaten!I$51,IF(AS43&lt;Bewertung_Stammdaten!J$52,Bewertung_Stammdaten!I$52,IF(AS43&lt;Bewertung_Stammdaten!J$53,Bewertung_Stammdaten!I$53,IF(AS43&lt;Bewertung_Stammdaten!J$54,Bewertung_Stammdaten!I$54,IF(AS43&lt;Bewertung_Stammdaten!J$55,Bewertung_Stammdaten!I$55,IF(AS43&lt;Bewertung_Stammdaten!J$56,Bewertung_Stammdaten!I$56,IF(AS43&lt;Bewertung_Stammdaten!J$57,Bewertung_Stammdaten!I$57,IF(AS43&lt;Bewertung_Stammdaten!J$58,Bewertung_Stammdaten!I$58,IF(AS43&lt;Bewertung_Stammdaten!J$59,Bewertung_Stammdaten!I$59,Bewertung_Stammdaten!I$60)))))))))</f>
        <v>10</v>
      </c>
      <c r="AW43" s="43"/>
      <c r="AX43" s="12">
        <f ca="1">VLOOKUP(A43,Dividendenrendite!A$3:R$103,17,FALSE)</f>
        <v>1.4076889865029755E-2</v>
      </c>
      <c r="AY43" s="12">
        <f>VLOOKUP(A43,Dividendenrendite!A$3:R$103,16,FALSE)</f>
        <v>1.3262584492356972E-2</v>
      </c>
      <c r="AZ43" s="12">
        <f ca="1">VLOOKUP(A43,Dividendenrendite!A$3:R$103,18,FALSE)</f>
        <v>6.1398694435617296E-2</v>
      </c>
      <c r="BA43" s="32">
        <f ca="1">IF(AX43&lt;Bewertung_Stammdaten!B$64,Bewertung_Stammdaten!A$64,IF(AX43&lt;Bewertung_Stammdaten!B$65,Bewertung_Stammdaten!A$65,IF(AX43&lt;Bewertung_Stammdaten!B$66,Bewertung_Stammdaten!A$66,IF(AX43&lt;Bewertung_Stammdaten!B$67,Bewertung_Stammdaten!A$67,IF(AX43&lt;Bewertung_Stammdaten!B$68,Bewertung_Stammdaten!A$68,IF(AX43&lt;Bewertung_Stammdaten!B$69,Bewertung_Stammdaten!A$69,IF(AX43&lt;Bewertung_Stammdaten!B$70,Bewertung_Stammdaten!A$70,IF(AX43&lt;Bewertung_Stammdaten!B$71,Bewertung_Stammdaten!A$71,IF(AX43&lt;Bewertung_Stammdaten!B$72,Bewertung_Stammdaten!A$72,Bewertung_Stammdaten!A$73)))))))))</f>
        <v>4.5</v>
      </c>
      <c r="BB43" s="32">
        <f>IF(AY43&lt;Bewertung_Stammdaten!F$64,Bewertung_Stammdaten!E$64,IF(AY43&lt;Bewertung_Stammdaten!F$65,Bewertung_Stammdaten!E$65,IF(AY43&lt;Bewertung_Stammdaten!F$66,Bewertung_Stammdaten!E$66,IF(AY43&lt;Bewertung_Stammdaten!F$67,Bewertung_Stammdaten!E$67,IF(AY43&lt;Bewertung_Stammdaten!F$68,Bewertung_Stammdaten!E$68,IF(AY43&lt;Bewertung_Stammdaten!F$69,Bewertung_Stammdaten!E$69,IF(AY43&lt;Bewertung_Stammdaten!F$70,Bewertung_Stammdaten!E$70,IF(AY43&lt;Bewertung_Stammdaten!F$71,Bewertung_Stammdaten!E$71,IF(AY43&lt;Bewertung_Stammdaten!F$72,Bewertung_Stammdaten!E$72,Bewertung_Stammdaten!E$73)))))))))</f>
        <v>3</v>
      </c>
      <c r="BC43" s="32">
        <f ca="1">IF(AZ43&lt;Bewertung_Stammdaten!J$64,Bewertung_Stammdaten!I$64,IF(AZ43&lt;Bewertung_Stammdaten!J$65,Bewertung_Stammdaten!I$65,IF(AZ43&lt;Bewertung_Stammdaten!J$66,Bewertung_Stammdaten!I$66,IF(AZ43&lt;Bewertung_Stammdaten!J$67,Bewertung_Stammdaten!I$67,IF(AZ43&lt;Bewertung_Stammdaten!J$68,Bewertung_Stammdaten!I$68,IF(AZ43&lt;Bewertung_Stammdaten!J$69,Bewertung_Stammdaten!I$69,IF(AZ43&lt;Bewertung_Stammdaten!J$70,Bewertung_Stammdaten!I$70,IF(AZ43&lt;Bewertung_Stammdaten!J$71,Bewertung_Stammdaten!I$71,IF(AZ43&lt;Bewertung_Stammdaten!J$72,Bewertung_Stammdaten!I$72,Bewertung_Stammdaten!I$73)))))))))</f>
        <v>3.5</v>
      </c>
      <c r="BD43" s="43"/>
      <c r="BE43" s="12">
        <f>VLOOKUP(A43,Aktien_im_Umlauf_splitbereinigt!A$3:Z$103,26,FALSE)</f>
        <v>0</v>
      </c>
      <c r="BF43" s="12">
        <f>VLOOKUP(A43,Aktien_im_Umlauf_splitbereinigt!A$3:Y$103,24,FALSE)</f>
        <v>4.444444444444446E-2</v>
      </c>
      <c r="BG43" s="12">
        <f>VLOOKUP(A43,Aktien_im_Umlauf_splitbereinigt!A$3:Y$103,25,FALSE)</f>
        <v>-99.999989999999997</v>
      </c>
      <c r="BH43" s="41">
        <f>IF(BE43&lt;Bewertung_Stammdaten!B$77,Bewertung_Stammdaten!A$77,IF(BE43&lt;Bewertung_Stammdaten!B$78,Bewertung_Stammdaten!A$78,IF(BE43&lt;Bewertung_Stammdaten!B$79,Bewertung_Stammdaten!A$79,IF(BE43&lt;Bewertung_Stammdaten!B$80,Bewertung_Stammdaten!A$80,IF(BE43&lt;Bewertung_Stammdaten!B$81,Bewertung_Stammdaten!A$81,IF(BE43&lt;Bewertung_Stammdaten!B$82,Bewertung_Stammdaten!A$82,IF(BE43&lt;Bewertung_Stammdaten!B$83,Bewertung_Stammdaten!A$83,IF(BE43&lt;Bewertung_Stammdaten!B$84,Bewertung_Stammdaten!A$84,IF(BE43&lt;Bewertung_Stammdaten!B$85,Bewertung_Stammdaten!A$85,Bewertung_Stammdaten!A$86)))))))))</f>
        <v>2</v>
      </c>
      <c r="BI43" s="41">
        <f>IF(BF43&lt;Bewertung_Stammdaten!F$77,Bewertung_Stammdaten!E$77,IF(BF43&lt;Bewertung_Stammdaten!F$78,Bewertung_Stammdaten!E$78,IF(BF43&lt;Bewertung_Stammdaten!F$79,Bewertung_Stammdaten!E$79,IF(BF43&lt;Bewertung_Stammdaten!F$80,Bewertung_Stammdaten!E$80,IF(BF43&lt;Bewertung_Stammdaten!F$81,Bewertung_Stammdaten!E$81,IF(BF43&lt;Bewertung_Stammdaten!F$82,Bewertung_Stammdaten!E$82,IF(BF43&lt;Bewertung_Stammdaten!F$83,Bewertung_Stammdaten!E$83,IF(BF43&lt;Bewertung_Stammdaten!F$84,Bewertung_Stammdaten!E$84,IF(BF43&lt;Bewertung_Stammdaten!F$85,Bewertung_Stammdaten!E$85,Bewertung_Stammdaten!E$86)))))))))</f>
        <v>1</v>
      </c>
      <c r="BJ43" s="41">
        <f>IF(BG43&lt;Bewertung_Stammdaten!J$77,Bewertung_Stammdaten!I$77,IF(BG43&lt;Bewertung_Stammdaten!J$78,Bewertung_Stammdaten!I$78,IF(BG43&lt;Bewertung_Stammdaten!J$79,Bewertung_Stammdaten!I$79,IF(BG43&lt;Bewertung_Stammdaten!J$80,Bewertung_Stammdaten!I$80,IF(BG43&lt;Bewertung_Stammdaten!J$81,Bewertung_Stammdaten!I$81,IF(BG43&lt;Bewertung_Stammdaten!J$82,Bewertung_Stammdaten!I$82,IF(BG43&lt;Bewertung_Stammdaten!J$83,Bewertung_Stammdaten!I$83,IF(BG43&lt;Bewertung_Stammdaten!J$84,Bewertung_Stammdaten!I$84,IF(BG43&lt;Bewertung_Stammdaten!J$85,Bewertung_Stammdaten!I$85,Bewertung_Stammdaten!I$86)))))))))</f>
        <v>0.5</v>
      </c>
      <c r="BK43" s="43"/>
      <c r="BL43" s="12">
        <f ca="1">VLOOKUP(A43,Ausschüttungsquote!A$3:X$103,23,FALSE)</f>
        <v>0.50637038614128493</v>
      </c>
      <c r="BM43" s="12">
        <f>VLOOKUP(A43,Ausschüttungsquote!A$3:X$103,19,FALSE)</f>
        <v>0.42941658139788341</v>
      </c>
      <c r="BN43" s="12">
        <f ca="1">VLOOKUP(A43,Ausschüttungsquote!A$3:X$103,24,FALSE)</f>
        <v>0.17920548035870709</v>
      </c>
      <c r="BO43" s="32">
        <f ca="1">IF(BL43&lt;Bewertung_Stammdaten!B$90,Bewertung_Stammdaten!A$90,IF(BL43&lt;Bewertung_Stammdaten!B$91,Bewertung_Stammdaten!A$91,IF(BL43&lt;Bewertung_Stammdaten!B$92,Bewertung_Stammdaten!A$92,IF(BL43&lt;Bewertung_Stammdaten!B$93,Bewertung_Stammdaten!A$93,IF(BL43&lt;Bewertung_Stammdaten!B$94,Bewertung_Stammdaten!A$94,IF(BL43&lt;Bewertung_Stammdaten!B$95,Bewertung_Stammdaten!A$95,IF(BL43&lt;Bewertung_Stammdaten!B$96,Bewertung_Stammdaten!A$96,IF(BL43&lt;Bewertung_Stammdaten!B$97,Bewertung_Stammdaten!A$97,IF(BL43&lt;Bewertung_Stammdaten!B$98,Bewertung_Stammdaten!A$98,Bewertung_Stammdaten!A$99)))))))))</f>
        <v>7</v>
      </c>
      <c r="BP43" s="41">
        <f>IF(BM43&lt;Bewertung_Stammdaten!F$90,Bewertung_Stammdaten!E$90,IF(BM43&lt;Bewertung_Stammdaten!F$91,Bewertung_Stammdaten!E$91,IF(BM43&lt;Bewertung_Stammdaten!F$92,Bewertung_Stammdaten!E$92,IF(BM43&lt;Bewertung_Stammdaten!F$93,Bewertung_Stammdaten!E$93,IF(BM43&lt;Bewertung_Stammdaten!F$94,Bewertung_Stammdaten!E$94,IF(BM43&lt;Bewertung_Stammdaten!F$95,Bewertung_Stammdaten!E$95,IF(BM43&lt;Bewertung_Stammdaten!F$96,Bewertung_Stammdaten!E$96,IF(BM43&lt;Bewertung_Stammdaten!F$97,Bewertung_Stammdaten!E$97,IF(BM43&lt;Bewertung_Stammdaten!F$98,Bewertung_Stammdaten!E$98,Bewertung_Stammdaten!E$99)))))))))</f>
        <v>9</v>
      </c>
      <c r="BQ43" s="32">
        <f ca="1">IF(BN43&lt;Bewertung_Stammdaten!J$90,Bewertung_Stammdaten!I$90,IF(BN43&lt;Bewertung_Stammdaten!J$91,Bewertung_Stammdaten!I$91,IF(BN43&lt;Bewertung_Stammdaten!J$92,Bewertung_Stammdaten!I$92,IF(BN43&lt;Bewertung_Stammdaten!J$93,Bewertung_Stammdaten!I$93,IF(BN43&lt;Bewertung_Stammdaten!J$94,Bewertung_Stammdaten!I$94,IF(BN43&lt;Bewertung_Stammdaten!J$95,Bewertung_Stammdaten!I$95,IF(BN43&lt;Bewertung_Stammdaten!J$96,Bewertung_Stammdaten!I$96,IF(BN43&lt;Bewertung_Stammdaten!J$97,Bewertung_Stammdaten!I$97,IF(BN43&lt;Bewertung_Stammdaten!J$98,Bewertung_Stammdaten!I$98,Bewertung_Stammdaten!I$99)))))))))</f>
        <v>2</v>
      </c>
    </row>
    <row r="44" spans="1:69" x14ac:dyDescent="0.25">
      <c r="A44" s="38" t="s">
        <v>81</v>
      </c>
      <c r="B44" s="38" t="s">
        <v>82</v>
      </c>
      <c r="C44" s="38" t="s">
        <v>295</v>
      </c>
      <c r="D44" s="32">
        <f t="shared" ca="1" si="11"/>
        <v>152.5</v>
      </c>
      <c r="E44" s="43"/>
      <c r="F44" s="66">
        <v>1</v>
      </c>
      <c r="G44" s="11">
        <f ca="1">VLOOKUP(A44,KGV!A$3:R$103,17,FALSE)</f>
        <v>21.994361320059429</v>
      </c>
      <c r="H44" s="11">
        <f>VLOOKUP(A44,KGV!A$3:R$103,16,FALSE)</f>
        <v>16.948228882833789</v>
      </c>
      <c r="I44" s="12">
        <f ca="1">VLOOKUP(A44,KGV!A$3:R$103,18,FALSE)</f>
        <v>0.29773803930254172</v>
      </c>
      <c r="J44" s="16">
        <f t="shared" ca="1" si="12"/>
        <v>28.906874877792394</v>
      </c>
      <c r="K44" s="12">
        <f t="shared" ca="1" si="13"/>
        <v>0.70559856594048354</v>
      </c>
      <c r="L44" s="11">
        <f ca="1">VLOOKUP(A44,KBV!A$3:R$103,17,FALSE)</f>
        <v>3.1105338914349061</v>
      </c>
      <c r="M44" s="11">
        <f>VLOOKUP(A44,KBV!A$3:R$103,16,FALSE)</f>
        <v>2.5757372654155497</v>
      </c>
      <c r="N44" s="12">
        <f ca="1">VLOOKUP(A44,KBV!A$3:R$103,18,FALSE)</f>
        <v>0.20762856258674978</v>
      </c>
      <c r="O44" s="16">
        <f t="shared" ca="1" si="9"/>
        <v>3.1105338914349061</v>
      </c>
      <c r="P44" s="12">
        <f t="shared" ca="1" si="10"/>
        <v>0.20762856258674978</v>
      </c>
      <c r="Q44" s="32">
        <f ca="1">IF(F44=1,IF(I44&lt;Bewertung_Stammdaten!B$12,Bewertung_Stammdaten!A$12,IF(I44&lt;Bewertung_Stammdaten!B$13,Bewertung_Stammdaten!A$13,IF(I44&lt;Bewertung_Stammdaten!B$14,Bewertung_Stammdaten!A$14,IF(I44&lt;Bewertung_Stammdaten!B$15,Bewertung_Stammdaten!A$15,IF(I44&lt;Bewertung_Stammdaten!B$16,Bewertung_Stammdaten!A$16,IF(I44&lt;Bewertung_Stammdaten!B$17,Bewertung_Stammdaten!A$17,IF(I44&lt;Bewertung_Stammdaten!B$18,Bewertung_Stammdaten!A$18,IF(I44&lt;Bewertung_Stammdaten!B$19,Bewertung_Stammdaten!A$19,IF(I44&lt;Bewertung_Stammdaten!B$20,Bewertung_Stammdaten!A$20,Bewertung_Stammdaten!A$21))))))))),IF(N44&lt;Bewertung_Stammdaten!C$12,Bewertung_Stammdaten!A$12,IF(N44&lt;Bewertung_Stammdaten!C$13,Bewertung_Stammdaten!A$13,IF(N44&lt;Bewertung_Stammdaten!C$14,Bewertung_Stammdaten!A$14,IF(N44&lt;Bewertung_Stammdaten!C$15,Bewertung_Stammdaten!A$15,IF(N44&lt;Bewertung_Stammdaten!C$16,Bewertung_Stammdaten!A$16,IF(N44&lt;Bewertung_Stammdaten!C$17,Bewertung_Stammdaten!A$17,IF(N44&lt;Bewertung_Stammdaten!C$18,Bewertung_Stammdaten!A$18,IF(N44&lt;Bewertung_Stammdaten!C$19,Bewertung_Stammdaten!A$19,IF(N44&lt;Bewertung_Stammdaten!C$20,Bewertung_Stammdaten!A$20,Bewertung_Stammdaten!A$21))))))))))</f>
        <v>6</v>
      </c>
      <c r="R44" s="32">
        <f ca="1">IF(F44=1,IF(K44&lt;Bewertung_Stammdaten!F$12,Bewertung_Stammdaten!E$12,IF(K44&lt;Bewertung_Stammdaten!F$13,Bewertung_Stammdaten!E$13,IF(K44&lt;Bewertung_Stammdaten!F$14,Bewertung_Stammdaten!E$14,IF(K44&lt;Bewertung_Stammdaten!F$15,Bewertung_Stammdaten!E$15,IF(K44&lt;Bewertung_Stammdaten!F$16,Bewertung_Stammdaten!E$16,IF(K44&lt;Bewertung_Stammdaten!F$17,Bewertung_Stammdaten!E$17,IF(K44&lt;Bewertung_Stammdaten!F$18,Bewertung_Stammdaten!E$18,IF(K44&lt;Bewertung_Stammdaten!F$19,Bewertung_Stammdaten!E$19,IF(K44&lt;Bewertung_Stammdaten!F$20,Bewertung_Stammdaten!E$20,Bewertung_Stammdaten!E$21))))))))),IF(P44&lt;Bewertung_Stammdaten!G$12,Bewertung_Stammdaten!E$12,IF(P44&lt;Bewertung_Stammdaten!G$13,Bewertung_Stammdaten!E$13,IF(P44&lt;Bewertung_Stammdaten!G$14,Bewertung_Stammdaten!E$14,IF(P44&lt;Bewertung_Stammdaten!G$15,Bewertung_Stammdaten!E$15,IF(P44&lt;Bewertung_Stammdaten!G$16,Bewertung_Stammdaten!E$16,IF(P44&lt;Bewertung_Stammdaten!G$17,Bewertung_Stammdaten!E$17,IF(P44&lt;Bewertung_Stammdaten!G$18,Bewertung_Stammdaten!E$18,IF(P44&lt;Bewertung_Stammdaten!G$19,Bewertung_Stammdaten!E$19,IF(P44&lt;Bewertung_Stammdaten!G$20,Bewertung_Stammdaten!E$20,Bewertung_Stammdaten!E$21))))))))))</f>
        <v>2.5</v>
      </c>
      <c r="S44" s="43"/>
      <c r="T44" s="11">
        <f ca="1">VLOOKUP(A44,Buchwert_je_Aktie!A$3:AK$103,23,FALSE)</f>
        <v>33.579444444444441</v>
      </c>
      <c r="U44" s="11">
        <f>VLOOKUP(A44,Buchwert_je_Aktie!A$3:AK$103,19,FALSE)</f>
        <v>21.971538461538461</v>
      </c>
      <c r="V44" s="12">
        <f ca="1">VLOOKUP(A44,Buchwert_je_Aktie!A$3:AK$103,24,FALSE)</f>
        <v>0.52831557531694062</v>
      </c>
      <c r="W44" s="12">
        <f>VLOOKUP(A44,Buchwert_je_Aktie!A$3:AK$103,37,FALSE)</f>
        <v>1.3404825737264314E-3</v>
      </c>
      <c r="X44" s="16">
        <f t="shared" ca="1" si="14"/>
        <v>33.579444444444441</v>
      </c>
      <c r="Y44" s="12">
        <f t="shared" ca="1" si="15"/>
        <v>0.52831557531694062</v>
      </c>
      <c r="Z44" s="51">
        <f ca="1">IF(V44&lt;Bewertung_Stammdaten!B$25,Bewertung_Stammdaten!A$25,IF(V44&lt;Bewertung_Stammdaten!B$26,Bewertung_Stammdaten!A$26,IF(V44&lt;Bewertung_Stammdaten!B$27,Bewertung_Stammdaten!A$27,IF(V44&lt;Bewertung_Stammdaten!B$28,Bewertung_Stammdaten!A$28,IF(V44&lt;Bewertung_Stammdaten!B$29,Bewertung_Stammdaten!A$29,IF(V44&lt;Bewertung_Stammdaten!B$30,Bewertung_Stammdaten!A$30,IF(V44&lt;Bewertung_Stammdaten!B$31,Bewertung_Stammdaten!A$31,IF(V44&lt;Bewertung_Stammdaten!B$32,Bewertung_Stammdaten!A$32,IF(V44&lt;Bewertung_Stammdaten!B$33,Bewertung_Stammdaten!A$33,Bewertung_Stammdaten!A$34)))))))))</f>
        <v>12</v>
      </c>
      <c r="AA44" s="51">
        <f>IF(W44&lt;Bewertung_Stammdaten!F$25,Bewertung_Stammdaten!E$25,IF(W44&lt;Bewertung_Stammdaten!F$26,Bewertung_Stammdaten!E$26,IF(W44&lt;Bewertung_Stammdaten!F$27,Bewertung_Stammdaten!E$27,IF(W44&lt;Bewertung_Stammdaten!F$28,Bewertung_Stammdaten!E$28,IF(W44&lt;Bewertung_Stammdaten!F$29,Bewertung_Stammdaten!E$29,IF(W44&lt;Bewertung_Stammdaten!F$30,Bewertung_Stammdaten!E$30,IF(W44&lt;Bewertung_Stammdaten!F$31,Bewertung_Stammdaten!E$31,IF(W44&lt;Bewertung_Stammdaten!F$32,Bewertung_Stammdaten!E$32,IF(W44&lt;Bewertung_Stammdaten!F$33,Bewertung_Stammdaten!E$33,Bewertung_Stammdaten!E$34)))))))))</f>
        <v>12</v>
      </c>
      <c r="AB44" s="51">
        <f ca="1">IF(Y44&lt;Bewertung_Stammdaten!J$25,Bewertung_Stammdaten!I$25,IF(Y44&lt;Bewertung_Stammdaten!J$26,Bewertung_Stammdaten!I$26,IF(Y44&lt;Bewertung_Stammdaten!J$27,Bewertung_Stammdaten!I$27,IF(Y44&lt;Bewertung_Stammdaten!J$28,Bewertung_Stammdaten!I$28,IF(Y44&lt;Bewertung_Stammdaten!J$29,Bewertung_Stammdaten!I$29,IF(Y44&lt;Bewertung_Stammdaten!J$30,Bewertung_Stammdaten!I$30,IF(Y44&lt;Bewertung_Stammdaten!J$31,Bewertung_Stammdaten!I$31,IF(Y44&lt;Bewertung_Stammdaten!J$32,Bewertung_Stammdaten!I$32,IF(Y44&lt;Bewertung_Stammdaten!J$33,Bewertung_Stammdaten!I$33,Bewertung_Stammdaten!I$34)))))))))</f>
        <v>8</v>
      </c>
      <c r="AC44" s="43"/>
      <c r="AD44" s="14">
        <f ca="1">VLOOKUP(A44,Ergebnis_je_Aktie_verwässert!A$3:AK$103,23,FALSE)</f>
        <v>4.7489444444444446</v>
      </c>
      <c r="AE44" s="14">
        <f>VLOOKUP(A44,Ergebnis_je_Aktie_verwässert!A$3:AK$103,19,FALSE)</f>
        <v>3.1323076923076929</v>
      </c>
      <c r="AF44" s="12">
        <f ca="1">VLOOKUP(A44,Ergebnis_je_Aktie_verwässert!A$3:AK$103,24,FALSE)</f>
        <v>0.51611684130102575</v>
      </c>
      <c r="AG44" s="40">
        <f>VLOOKUP(A44,Ergebnis_je_Aktie_verwässert!A$3:AK$103,37,FALSE)</f>
        <v>-0.23913043478260876</v>
      </c>
      <c r="AH44" s="16">
        <f t="shared" ca="1" si="16"/>
        <v>3.6133272946859902</v>
      </c>
      <c r="AI44" s="12">
        <f t="shared" ca="1" si="17"/>
        <v>0.15356716185947605</v>
      </c>
      <c r="AJ44" s="32">
        <f ca="1">IF(AF44&lt;Bewertung_Stammdaten!B$38,Bewertung_Stammdaten!A$38,IF(AF44&lt;Bewertung_Stammdaten!B$39,Bewertung_Stammdaten!A$39,IF(AF44&lt;Bewertung_Stammdaten!B$40,Bewertung_Stammdaten!A$40,IF(AF44&lt;Bewertung_Stammdaten!B$41,Bewertung_Stammdaten!A$41,IF(AF44&lt;Bewertung_Stammdaten!B$42,Bewertung_Stammdaten!A$42,IF(AF44&lt;Bewertung_Stammdaten!B$43,Bewertung_Stammdaten!A$43,IF(AF44&lt;Bewertung_Stammdaten!B$44,Bewertung_Stammdaten!A$44,IF(AF44&lt;Bewertung_Stammdaten!B$45,Bewertung_Stammdaten!A$45,IF(AF44&lt;Bewertung_Stammdaten!B$46,Bewertung_Stammdaten!A$46,Bewertung_Stammdaten!A$47)))))))))</f>
        <v>18</v>
      </c>
      <c r="AK44" s="32">
        <f>IF(AG44&lt;Bewertung_Stammdaten!F$38,Bewertung_Stammdaten!E$38,IF(AG44&lt;Bewertung_Stammdaten!F$39,Bewertung_Stammdaten!E$39,IF(AG44&lt;Bewertung_Stammdaten!F$40,Bewertung_Stammdaten!E$40,IF(AG44&lt;Bewertung_Stammdaten!F$41,Bewertung_Stammdaten!E$41,IF(AG44&lt;Bewertung_Stammdaten!F$42,Bewertung_Stammdaten!E$42,IF(AG44&lt;Bewertung_Stammdaten!F$43,Bewertung_Stammdaten!E$43,IF(AG44&lt;Bewertung_Stammdaten!F$44,Bewertung_Stammdaten!E$44,IF(AG44&lt;Bewertung_Stammdaten!F$45,Bewertung_Stammdaten!E$45,IF(AG44&lt;Bewertung_Stammdaten!F$46,Bewertung_Stammdaten!E$46,Bewertung_Stammdaten!E$47)))))))))</f>
        <v>7.5</v>
      </c>
      <c r="AL44" s="32">
        <f ca="1">IF(AI44&lt;Bewertung_Stammdaten!J$38,Bewertung_Stammdaten!I$38,IF(AI44&lt;Bewertung_Stammdaten!J$39,Bewertung_Stammdaten!I$39,IF(AI44&lt;Bewertung_Stammdaten!J$40,Bewertung_Stammdaten!I$40,IF(AI44&lt;Bewertung_Stammdaten!J$41,Bewertung_Stammdaten!I$41,IF(AI44&lt;Bewertung_Stammdaten!J$42,Bewertung_Stammdaten!I$42,IF(AI44&lt;Bewertung_Stammdaten!J$43,Bewertung_Stammdaten!I$43,IF(AI44&lt;Bewertung_Stammdaten!J$44,Bewertung_Stammdaten!I$44,IF(AI44&lt;Bewertung_Stammdaten!J$45,Bewertung_Stammdaten!I$45,IF(AI44&lt;Bewertung_Stammdaten!J$46,Bewertung_Stammdaten!I$46,Bewertung_Stammdaten!I$47)))))))))</f>
        <v>6</v>
      </c>
      <c r="AM44" s="43"/>
      <c r="AN44" s="14">
        <f ca="1">VLOOKUP(A44,Dividende_je_Aktie!A$3:AM$103,24,FALSE)</f>
        <v>1.5106666666666666</v>
      </c>
      <c r="AO44" s="14">
        <f>VLOOKUP(A44,Dividende_je_Aktie!A$3:AM$103,20,FALSE)</f>
        <v>0.9128571428571427</v>
      </c>
      <c r="AP44" s="12">
        <f ca="1">VLOOKUP(A44,Dividende_je_Aktie!A$3:AM$103,25,FALSE)</f>
        <v>0.65487741262389165</v>
      </c>
      <c r="AQ44" s="40">
        <f>VLOOKUP(A44,Dividende_je_Aktie!A$3:AM$103,39,FALSE)</f>
        <v>0</v>
      </c>
      <c r="AR44" s="16">
        <f t="shared" ca="1" si="18"/>
        <v>1.5106666666666666</v>
      </c>
      <c r="AS44" s="12">
        <f t="shared" ca="1" si="19"/>
        <v>0.65487741262389165</v>
      </c>
      <c r="AT44" s="32">
        <f ca="1">IF(AP44&lt;Bewertung_Stammdaten!B$51,Bewertung_Stammdaten!A$51,IF(AP44&lt;Bewertung_Stammdaten!B$52,Bewertung_Stammdaten!A$52,IF(AP44&lt;Bewertung_Stammdaten!B$53,Bewertung_Stammdaten!A$53,IF(AP44&lt;Bewertung_Stammdaten!B$54,Bewertung_Stammdaten!A$54,IF(AP44&lt;Bewertung_Stammdaten!B$55,Bewertung_Stammdaten!A$55,IF(AP44&lt;Bewertung_Stammdaten!B$56,Bewertung_Stammdaten!A$56,IF(AP44&lt;Bewertung_Stammdaten!B$57,Bewertung_Stammdaten!A$57,IF(AP44&lt;Bewertung_Stammdaten!B$58,Bewertung_Stammdaten!A$58,IF(AP44&lt;Bewertung_Stammdaten!B$59,Bewertung_Stammdaten!A$59,Bewertung_Stammdaten!A$60)))))))))</f>
        <v>18</v>
      </c>
      <c r="AU44" s="32">
        <f>IF(AQ44&lt;Bewertung_Stammdaten!F$51,Bewertung_Stammdaten!E$51,IF(AQ44&lt;Bewertung_Stammdaten!F$52,Bewertung_Stammdaten!E$52,IF(AQ44&lt;Bewertung_Stammdaten!F$53,Bewertung_Stammdaten!E$53,IF(AQ44&lt;Bewertung_Stammdaten!F$54,Bewertung_Stammdaten!E$54,IF(AQ44&lt;Bewertung_Stammdaten!F$55,Bewertung_Stammdaten!E$55,IF(AQ44&lt;Bewertung_Stammdaten!F$56,Bewertung_Stammdaten!E$56,IF(AQ44&lt;Bewertung_Stammdaten!F$57,Bewertung_Stammdaten!E$57,IF(AQ44&lt;Bewertung_Stammdaten!F$58,Bewertung_Stammdaten!E$58,IF(AQ44&lt;Bewertung_Stammdaten!F$59,Bewertung_Stammdaten!E$59,Bewertung_Stammdaten!E$60)))))))))</f>
        <v>12</v>
      </c>
      <c r="AV44" s="32">
        <f ca="1">IF(AS44&lt;Bewertung_Stammdaten!J$51,Bewertung_Stammdaten!I$51,IF(AS44&lt;Bewertung_Stammdaten!J$52,Bewertung_Stammdaten!I$52,IF(AS44&lt;Bewertung_Stammdaten!J$53,Bewertung_Stammdaten!I$53,IF(AS44&lt;Bewertung_Stammdaten!J$54,Bewertung_Stammdaten!I$54,IF(AS44&lt;Bewertung_Stammdaten!J$55,Bewertung_Stammdaten!I$55,IF(AS44&lt;Bewertung_Stammdaten!J$56,Bewertung_Stammdaten!I$56,IF(AS44&lt;Bewertung_Stammdaten!J$57,Bewertung_Stammdaten!I$57,IF(AS44&lt;Bewertung_Stammdaten!J$58,Bewertung_Stammdaten!I$58,IF(AS44&lt;Bewertung_Stammdaten!J$59,Bewertung_Stammdaten!I$59,Bewertung_Stammdaten!I$60)))))))))</f>
        <v>10</v>
      </c>
      <c r="AW44" s="43"/>
      <c r="AX44" s="12">
        <f ca="1">VLOOKUP(A44,Dividendenrendite!A$3:R$103,17,FALSE)</f>
        <v>1.4463060475506622E-2</v>
      </c>
      <c r="AY44" s="12">
        <f>VLOOKUP(A44,Dividendenrendite!A$3:R$103,16,FALSE)</f>
        <v>1.603928821177528E-2</v>
      </c>
      <c r="AZ44" s="12">
        <f ca="1">VLOOKUP(A44,Dividendenrendite!A$3:R$103,18,FALSE)</f>
        <v>-9.827292305349733E-2</v>
      </c>
      <c r="BA44" s="32">
        <f ca="1">IF(AX44&lt;Bewertung_Stammdaten!B$64,Bewertung_Stammdaten!A$64,IF(AX44&lt;Bewertung_Stammdaten!B$65,Bewertung_Stammdaten!A$65,IF(AX44&lt;Bewertung_Stammdaten!B$66,Bewertung_Stammdaten!A$66,IF(AX44&lt;Bewertung_Stammdaten!B$67,Bewertung_Stammdaten!A$67,IF(AX44&lt;Bewertung_Stammdaten!B$68,Bewertung_Stammdaten!A$68,IF(AX44&lt;Bewertung_Stammdaten!B$69,Bewertung_Stammdaten!A$69,IF(AX44&lt;Bewertung_Stammdaten!B$70,Bewertung_Stammdaten!A$70,IF(AX44&lt;Bewertung_Stammdaten!B$71,Bewertung_Stammdaten!A$71,IF(AX44&lt;Bewertung_Stammdaten!B$72,Bewertung_Stammdaten!A$72,Bewertung_Stammdaten!A$73)))))))))</f>
        <v>4.5</v>
      </c>
      <c r="BB44" s="32">
        <f>IF(AY44&lt;Bewertung_Stammdaten!F$64,Bewertung_Stammdaten!E$64,IF(AY44&lt;Bewertung_Stammdaten!F$65,Bewertung_Stammdaten!E$65,IF(AY44&lt;Bewertung_Stammdaten!F$66,Bewertung_Stammdaten!E$66,IF(AY44&lt;Bewertung_Stammdaten!F$67,Bewertung_Stammdaten!E$67,IF(AY44&lt;Bewertung_Stammdaten!F$68,Bewertung_Stammdaten!E$68,IF(AY44&lt;Bewertung_Stammdaten!F$69,Bewertung_Stammdaten!E$69,IF(AY44&lt;Bewertung_Stammdaten!F$70,Bewertung_Stammdaten!E$70,IF(AY44&lt;Bewertung_Stammdaten!F$71,Bewertung_Stammdaten!E$71,IF(AY44&lt;Bewertung_Stammdaten!F$72,Bewertung_Stammdaten!E$72,Bewertung_Stammdaten!E$73)))))))))</f>
        <v>4</v>
      </c>
      <c r="BC44" s="32">
        <f ca="1">IF(AZ44&lt;Bewertung_Stammdaten!J$64,Bewertung_Stammdaten!I$64,IF(AZ44&lt;Bewertung_Stammdaten!J$65,Bewertung_Stammdaten!I$65,IF(AZ44&lt;Bewertung_Stammdaten!J$66,Bewertung_Stammdaten!I$66,IF(AZ44&lt;Bewertung_Stammdaten!J$67,Bewertung_Stammdaten!I$67,IF(AZ44&lt;Bewertung_Stammdaten!J$68,Bewertung_Stammdaten!I$68,IF(AZ44&lt;Bewertung_Stammdaten!J$69,Bewertung_Stammdaten!I$69,IF(AZ44&lt;Bewertung_Stammdaten!J$70,Bewertung_Stammdaten!I$70,IF(AZ44&lt;Bewertung_Stammdaten!J$71,Bewertung_Stammdaten!I$71,IF(AZ44&lt;Bewertung_Stammdaten!J$72,Bewertung_Stammdaten!I$72,Bewertung_Stammdaten!I$73)))))))))</f>
        <v>2</v>
      </c>
      <c r="BD44" s="43"/>
      <c r="BE44" s="12">
        <f>VLOOKUP(A44,Aktien_im_Umlauf_splitbereinigt!A$3:Z$103,26,FALSE)</f>
        <v>0</v>
      </c>
      <c r="BF44" s="12">
        <f>VLOOKUP(A44,Aktien_im_Umlauf_splitbereinigt!A$3:Y$103,24,FALSE)</f>
        <v>-1.0147133434809971E-5</v>
      </c>
      <c r="BG44" s="12">
        <f>VLOOKUP(A44,Aktien_im_Umlauf_splitbereinigt!A$3:Y$103,25,FALSE)</f>
        <v>-1</v>
      </c>
      <c r="BH44" s="41">
        <f>IF(BE44&lt;Bewertung_Stammdaten!B$77,Bewertung_Stammdaten!A$77,IF(BE44&lt;Bewertung_Stammdaten!B$78,Bewertung_Stammdaten!A$78,IF(BE44&lt;Bewertung_Stammdaten!B$79,Bewertung_Stammdaten!A$79,IF(BE44&lt;Bewertung_Stammdaten!B$80,Bewertung_Stammdaten!A$80,IF(BE44&lt;Bewertung_Stammdaten!B$81,Bewertung_Stammdaten!A$81,IF(BE44&lt;Bewertung_Stammdaten!B$82,Bewertung_Stammdaten!A$82,IF(BE44&lt;Bewertung_Stammdaten!B$83,Bewertung_Stammdaten!A$83,IF(BE44&lt;Bewertung_Stammdaten!B$84,Bewertung_Stammdaten!A$84,IF(BE44&lt;Bewertung_Stammdaten!B$85,Bewertung_Stammdaten!A$85,Bewertung_Stammdaten!A$86)))))))))</f>
        <v>2</v>
      </c>
      <c r="BI44" s="41">
        <f>IF(BF44&lt;Bewertung_Stammdaten!F$77,Bewertung_Stammdaten!E$77,IF(BF44&lt;Bewertung_Stammdaten!F$78,Bewertung_Stammdaten!E$78,IF(BF44&lt;Bewertung_Stammdaten!F$79,Bewertung_Stammdaten!E$79,IF(BF44&lt;Bewertung_Stammdaten!F$80,Bewertung_Stammdaten!E$80,IF(BF44&lt;Bewertung_Stammdaten!F$81,Bewertung_Stammdaten!E$81,IF(BF44&lt;Bewertung_Stammdaten!F$82,Bewertung_Stammdaten!E$82,IF(BF44&lt;Bewertung_Stammdaten!F$83,Bewertung_Stammdaten!E$83,IF(BF44&lt;Bewertung_Stammdaten!F$84,Bewertung_Stammdaten!E$84,IF(BF44&lt;Bewertung_Stammdaten!F$85,Bewertung_Stammdaten!E$85,Bewertung_Stammdaten!E$86)))))))))</f>
        <v>3</v>
      </c>
      <c r="BJ44" s="41">
        <f>IF(BG44&lt;Bewertung_Stammdaten!J$77,Bewertung_Stammdaten!I$77,IF(BG44&lt;Bewertung_Stammdaten!J$78,Bewertung_Stammdaten!I$78,IF(BG44&lt;Bewertung_Stammdaten!J$79,Bewertung_Stammdaten!I$79,IF(BG44&lt;Bewertung_Stammdaten!J$80,Bewertung_Stammdaten!I$80,IF(BG44&lt;Bewertung_Stammdaten!J$81,Bewertung_Stammdaten!I$81,IF(BG44&lt;Bewertung_Stammdaten!J$82,Bewertung_Stammdaten!I$82,IF(BG44&lt;Bewertung_Stammdaten!J$83,Bewertung_Stammdaten!I$83,IF(BG44&lt;Bewertung_Stammdaten!J$84,Bewertung_Stammdaten!I$84,IF(BG44&lt;Bewertung_Stammdaten!J$85,Bewertung_Stammdaten!I$85,Bewertung_Stammdaten!I$86)))))))))</f>
        <v>1</v>
      </c>
      <c r="BK44" s="43"/>
      <c r="BL44" s="12">
        <f ca="1">VLOOKUP(A44,Ausschüttungsquote!A$3:X$103,23,FALSE)</f>
        <v>0.31814715109194458</v>
      </c>
      <c r="BM44" s="12">
        <f>VLOOKUP(A44,Ausschüttungsquote!A$3:X$103,19,FALSE)</f>
        <v>0.29845448701674476</v>
      </c>
      <c r="BN44" s="12">
        <f ca="1">VLOOKUP(A44,Ausschüttungsquote!A$3:X$103,24,FALSE)</f>
        <v>6.5982134401936232E-2</v>
      </c>
      <c r="BO44" s="32">
        <f ca="1">IF(BL44&lt;Bewertung_Stammdaten!B$90,Bewertung_Stammdaten!A$90,IF(BL44&lt;Bewertung_Stammdaten!B$91,Bewertung_Stammdaten!A$91,IF(BL44&lt;Bewertung_Stammdaten!B$92,Bewertung_Stammdaten!A$92,IF(BL44&lt;Bewertung_Stammdaten!B$93,Bewertung_Stammdaten!A$93,IF(BL44&lt;Bewertung_Stammdaten!B$94,Bewertung_Stammdaten!A$94,IF(BL44&lt;Bewertung_Stammdaten!B$95,Bewertung_Stammdaten!A$95,IF(BL44&lt;Bewertung_Stammdaten!B$96,Bewertung_Stammdaten!A$96,IF(BL44&lt;Bewertung_Stammdaten!B$97,Bewertung_Stammdaten!A$97,IF(BL44&lt;Bewertung_Stammdaten!B$98,Bewertung_Stammdaten!A$98,Bewertung_Stammdaten!A$99)))))))))</f>
        <v>10</v>
      </c>
      <c r="BP44" s="41">
        <f>IF(BM44&lt;Bewertung_Stammdaten!F$90,Bewertung_Stammdaten!E$90,IF(BM44&lt;Bewertung_Stammdaten!F$91,Bewertung_Stammdaten!E$91,IF(BM44&lt;Bewertung_Stammdaten!F$92,Bewertung_Stammdaten!E$92,IF(BM44&lt;Bewertung_Stammdaten!F$93,Bewertung_Stammdaten!E$93,IF(BM44&lt;Bewertung_Stammdaten!F$94,Bewertung_Stammdaten!E$94,IF(BM44&lt;Bewertung_Stammdaten!F$95,Bewertung_Stammdaten!E$95,IF(BM44&lt;Bewertung_Stammdaten!F$96,Bewertung_Stammdaten!E$96,IF(BM44&lt;Bewertung_Stammdaten!F$97,Bewertung_Stammdaten!E$97,IF(BM44&lt;Bewertung_Stammdaten!F$98,Bewertung_Stammdaten!E$98,Bewertung_Stammdaten!E$99)))))))))</f>
        <v>10</v>
      </c>
      <c r="BQ44" s="32">
        <f ca="1">IF(BN44&lt;Bewertung_Stammdaten!J$90,Bewertung_Stammdaten!I$90,IF(BN44&lt;Bewertung_Stammdaten!J$91,Bewertung_Stammdaten!I$91,IF(BN44&lt;Bewertung_Stammdaten!J$92,Bewertung_Stammdaten!I$92,IF(BN44&lt;Bewertung_Stammdaten!J$93,Bewertung_Stammdaten!I$93,IF(BN44&lt;Bewertung_Stammdaten!J$94,Bewertung_Stammdaten!I$94,IF(BN44&lt;Bewertung_Stammdaten!J$95,Bewertung_Stammdaten!I$95,IF(BN44&lt;Bewertung_Stammdaten!J$96,Bewertung_Stammdaten!I$96,IF(BN44&lt;Bewertung_Stammdaten!J$97,Bewertung_Stammdaten!I$97,IF(BN44&lt;Bewertung_Stammdaten!J$98,Bewertung_Stammdaten!I$98,Bewertung_Stammdaten!I$99)))))))))</f>
        <v>4</v>
      </c>
    </row>
    <row r="45" spans="1:69" x14ac:dyDescent="0.25">
      <c r="A45" s="55" t="s">
        <v>273</v>
      </c>
      <c r="B45" s="55" t="s">
        <v>278</v>
      </c>
      <c r="C45" s="38" t="s">
        <v>295</v>
      </c>
      <c r="D45" s="32">
        <f t="shared" ca="1" si="11"/>
        <v>132.5</v>
      </c>
      <c r="E45" s="43"/>
      <c r="F45" s="66">
        <v>1</v>
      </c>
      <c r="G45" s="11">
        <f ca="1">VLOOKUP(A45,KGV!A$3:R$103,17,FALSE)</f>
        <v>21.281796394139114</v>
      </c>
      <c r="H45" s="11">
        <f>VLOOKUP(A45,KGV!A$3:R$103,16,FALSE)</f>
        <v>17.647357723577237</v>
      </c>
      <c r="I45" s="12">
        <f ca="1">VLOOKUP(A45,KGV!A$3:R$103,18,FALSE)</f>
        <v>0.20594803638542403</v>
      </c>
      <c r="J45" s="16">
        <f t="shared" ca="1" si="12"/>
        <v>32.691506289590293</v>
      </c>
      <c r="K45" s="12">
        <f t="shared" ca="1" si="13"/>
        <v>0.85248731292581903</v>
      </c>
      <c r="L45" s="11">
        <f ca="1">VLOOKUP(A45,KBV!A$3:R$103,17,FALSE)</f>
        <v>2.2179096005108923</v>
      </c>
      <c r="M45" s="11">
        <f>VLOOKUP(A45,KBV!A$3:R$103,16,FALSE)</f>
        <v>1.5997464074387151</v>
      </c>
      <c r="N45" s="12">
        <f ca="1">VLOOKUP(A45,KBV!A$3:R$103,18,FALSE)</f>
        <v>0.38641324037219849</v>
      </c>
      <c r="O45" s="16">
        <f t="shared" ca="1" si="9"/>
        <v>2.5087384329308255</v>
      </c>
      <c r="P45" s="12">
        <f t="shared" ca="1" si="10"/>
        <v>0.56821007458767059</v>
      </c>
      <c r="Q45" s="32">
        <f ca="1">IF(F45=1,IF(I45&lt;Bewertung_Stammdaten!B$12,Bewertung_Stammdaten!A$12,IF(I45&lt;Bewertung_Stammdaten!B$13,Bewertung_Stammdaten!A$13,IF(I45&lt;Bewertung_Stammdaten!B$14,Bewertung_Stammdaten!A$14,IF(I45&lt;Bewertung_Stammdaten!B$15,Bewertung_Stammdaten!A$15,IF(I45&lt;Bewertung_Stammdaten!B$16,Bewertung_Stammdaten!A$16,IF(I45&lt;Bewertung_Stammdaten!B$17,Bewertung_Stammdaten!A$17,IF(I45&lt;Bewertung_Stammdaten!B$18,Bewertung_Stammdaten!A$18,IF(I45&lt;Bewertung_Stammdaten!B$19,Bewertung_Stammdaten!A$19,IF(I45&lt;Bewertung_Stammdaten!B$20,Bewertung_Stammdaten!A$20,Bewertung_Stammdaten!A$21))))))))),IF(N45&lt;Bewertung_Stammdaten!C$12,Bewertung_Stammdaten!A$12,IF(N45&lt;Bewertung_Stammdaten!C$13,Bewertung_Stammdaten!A$13,IF(N45&lt;Bewertung_Stammdaten!C$14,Bewertung_Stammdaten!A$14,IF(N45&lt;Bewertung_Stammdaten!C$15,Bewertung_Stammdaten!A$15,IF(N45&lt;Bewertung_Stammdaten!C$16,Bewertung_Stammdaten!A$16,IF(N45&lt;Bewertung_Stammdaten!C$17,Bewertung_Stammdaten!A$17,IF(N45&lt;Bewertung_Stammdaten!C$18,Bewertung_Stammdaten!A$18,IF(N45&lt;Bewertung_Stammdaten!C$19,Bewertung_Stammdaten!A$19,IF(N45&lt;Bewertung_Stammdaten!C$20,Bewertung_Stammdaten!A$20,Bewertung_Stammdaten!A$21))))))))))</f>
        <v>12</v>
      </c>
      <c r="R45" s="32">
        <f ca="1">IF(F45=1,IF(K45&lt;Bewertung_Stammdaten!F$12,Bewertung_Stammdaten!E$12,IF(K45&lt;Bewertung_Stammdaten!F$13,Bewertung_Stammdaten!E$13,IF(K45&lt;Bewertung_Stammdaten!F$14,Bewertung_Stammdaten!E$14,IF(K45&lt;Bewertung_Stammdaten!F$15,Bewertung_Stammdaten!E$15,IF(K45&lt;Bewertung_Stammdaten!F$16,Bewertung_Stammdaten!E$16,IF(K45&lt;Bewertung_Stammdaten!F$17,Bewertung_Stammdaten!E$17,IF(K45&lt;Bewertung_Stammdaten!F$18,Bewertung_Stammdaten!E$18,IF(K45&lt;Bewertung_Stammdaten!F$19,Bewertung_Stammdaten!E$19,IF(K45&lt;Bewertung_Stammdaten!F$20,Bewertung_Stammdaten!E$20,Bewertung_Stammdaten!E$21))))))))),IF(P45&lt;Bewertung_Stammdaten!G$12,Bewertung_Stammdaten!E$12,IF(P45&lt;Bewertung_Stammdaten!G$13,Bewertung_Stammdaten!E$13,IF(P45&lt;Bewertung_Stammdaten!G$14,Bewertung_Stammdaten!E$14,IF(P45&lt;Bewertung_Stammdaten!G$15,Bewertung_Stammdaten!E$15,IF(P45&lt;Bewertung_Stammdaten!G$16,Bewertung_Stammdaten!E$16,IF(P45&lt;Bewertung_Stammdaten!G$17,Bewertung_Stammdaten!E$17,IF(P45&lt;Bewertung_Stammdaten!G$18,Bewertung_Stammdaten!E$18,IF(P45&lt;Bewertung_Stammdaten!G$19,Bewertung_Stammdaten!E$19,IF(P45&lt;Bewertung_Stammdaten!G$20,Bewertung_Stammdaten!E$20,Bewertung_Stammdaten!E$21))))))))))</f>
        <v>2.5</v>
      </c>
      <c r="S45" s="43"/>
      <c r="T45" s="11">
        <f ca="1">VLOOKUP(A45,Buchwert_je_Aktie!A$3:AK$103,23,FALSE)</f>
        <v>78.294444444444437</v>
      </c>
      <c r="U45" s="11">
        <f>VLOOKUP(A45,Buchwert_je_Aktie!A$3:AK$103,19,FALSE)</f>
        <v>64.696153846153848</v>
      </c>
      <c r="V45" s="12">
        <f ca="1">VLOOKUP(A45,Buchwert_je_Aktie!A$3:AK$103,24,FALSE)</f>
        <v>0.21018700169761328</v>
      </c>
      <c r="W45" s="12">
        <f>VLOOKUP(A45,Buchwert_je_Aktie!A$3:AK$103,37,FALSE)</f>
        <v>-0.11592632719393281</v>
      </c>
      <c r="X45" s="16">
        <f t="shared" ca="1" si="14"/>
        <v>69.218057060310571</v>
      </c>
      <c r="Y45" s="12">
        <f t="shared" ca="1" si="15"/>
        <v>6.9894467372971114E-2</v>
      </c>
      <c r="Z45" s="51">
        <f ca="1">IF(V45&lt;Bewertung_Stammdaten!B$25,Bewertung_Stammdaten!A$25,IF(V45&lt;Bewertung_Stammdaten!B$26,Bewertung_Stammdaten!A$26,IF(V45&lt;Bewertung_Stammdaten!B$27,Bewertung_Stammdaten!A$27,IF(V45&lt;Bewertung_Stammdaten!B$28,Bewertung_Stammdaten!A$28,IF(V45&lt;Bewertung_Stammdaten!B$29,Bewertung_Stammdaten!A$29,IF(V45&lt;Bewertung_Stammdaten!B$30,Bewertung_Stammdaten!A$30,IF(V45&lt;Bewertung_Stammdaten!B$31,Bewertung_Stammdaten!A$31,IF(V45&lt;Bewertung_Stammdaten!B$32,Bewertung_Stammdaten!A$32,IF(V45&lt;Bewertung_Stammdaten!B$33,Bewertung_Stammdaten!A$33,Bewertung_Stammdaten!A$34)))))))))</f>
        <v>7.5</v>
      </c>
      <c r="AA45" s="51">
        <f>IF(W45&lt;Bewertung_Stammdaten!F$25,Bewertung_Stammdaten!E$25,IF(W45&lt;Bewertung_Stammdaten!F$26,Bewertung_Stammdaten!E$26,IF(W45&lt;Bewertung_Stammdaten!F$27,Bewertung_Stammdaten!E$27,IF(W45&lt;Bewertung_Stammdaten!F$28,Bewertung_Stammdaten!E$28,IF(W45&lt;Bewertung_Stammdaten!F$29,Bewertung_Stammdaten!E$29,IF(W45&lt;Bewertung_Stammdaten!F$30,Bewertung_Stammdaten!E$30,IF(W45&lt;Bewertung_Stammdaten!F$31,Bewertung_Stammdaten!E$31,IF(W45&lt;Bewertung_Stammdaten!F$32,Bewertung_Stammdaten!E$32,IF(W45&lt;Bewertung_Stammdaten!F$33,Bewertung_Stammdaten!E$33,Bewertung_Stammdaten!E$34)))))))))</f>
        <v>7.5</v>
      </c>
      <c r="AB45" s="51">
        <f ca="1">IF(Y45&lt;Bewertung_Stammdaten!J$25,Bewertung_Stammdaten!I$25,IF(Y45&lt;Bewertung_Stammdaten!J$26,Bewertung_Stammdaten!I$26,IF(Y45&lt;Bewertung_Stammdaten!J$27,Bewertung_Stammdaten!I$27,IF(Y45&lt;Bewertung_Stammdaten!J$28,Bewertung_Stammdaten!I$28,IF(Y45&lt;Bewertung_Stammdaten!J$29,Bewertung_Stammdaten!I$29,IF(Y45&lt;Bewertung_Stammdaten!J$30,Bewertung_Stammdaten!I$30,IF(Y45&lt;Bewertung_Stammdaten!J$31,Bewertung_Stammdaten!I$31,IF(Y45&lt;Bewertung_Stammdaten!J$32,Bewertung_Stammdaten!I$32,IF(Y45&lt;Bewertung_Stammdaten!J$33,Bewertung_Stammdaten!I$33,Bewertung_Stammdaten!I$34)))))))))</f>
        <v>3</v>
      </c>
      <c r="AC45" s="43"/>
      <c r="AD45" s="14">
        <f ca="1">VLOOKUP(A45,Ergebnis_je_Aktie_verwässert!A$3:AK$103,23,FALSE)</f>
        <v>8.1595555555555563</v>
      </c>
      <c r="AE45" s="14">
        <f>VLOOKUP(A45,Ergebnis_je_Aktie_verwässert!A$3:AK$103,19,FALSE)</f>
        <v>6.0617692307692295</v>
      </c>
      <c r="AF45" s="12">
        <f ca="1">VLOOKUP(A45,Ergebnis_je_Aktie_verwässert!A$3:AK$103,24,FALSE)</f>
        <v>0.34606832509196672</v>
      </c>
      <c r="AG45" s="40">
        <f>VLOOKUP(A45,Ergebnis_je_Aktie_verwässert!A$3:AK$103,37,FALSE)</f>
        <v>-0.34901144640998949</v>
      </c>
      <c r="AH45" s="16">
        <f t="shared" ca="1" si="16"/>
        <v>5.3117772690484459</v>
      </c>
      <c r="AI45" s="12">
        <f t="shared" ca="1" si="17"/>
        <v>-0.12372492801505253</v>
      </c>
      <c r="AJ45" s="32">
        <f ca="1">IF(AF45&lt;Bewertung_Stammdaten!B$38,Bewertung_Stammdaten!A$38,IF(AF45&lt;Bewertung_Stammdaten!B$39,Bewertung_Stammdaten!A$39,IF(AF45&lt;Bewertung_Stammdaten!B$40,Bewertung_Stammdaten!A$40,IF(AF45&lt;Bewertung_Stammdaten!B$41,Bewertung_Stammdaten!A$41,IF(AF45&lt;Bewertung_Stammdaten!B$42,Bewertung_Stammdaten!A$42,IF(AF45&lt;Bewertung_Stammdaten!B$43,Bewertung_Stammdaten!A$43,IF(AF45&lt;Bewertung_Stammdaten!B$44,Bewertung_Stammdaten!A$44,IF(AF45&lt;Bewertung_Stammdaten!B$45,Bewertung_Stammdaten!A$45,IF(AF45&lt;Bewertung_Stammdaten!B$46,Bewertung_Stammdaten!A$46,Bewertung_Stammdaten!A$47)))))))))</f>
        <v>14</v>
      </c>
      <c r="AK45" s="32">
        <f>IF(AG45&lt;Bewertung_Stammdaten!F$38,Bewertung_Stammdaten!E$38,IF(AG45&lt;Bewertung_Stammdaten!F$39,Bewertung_Stammdaten!E$39,IF(AG45&lt;Bewertung_Stammdaten!F$40,Bewertung_Stammdaten!E$40,IF(AG45&lt;Bewertung_Stammdaten!F$41,Bewertung_Stammdaten!E$41,IF(AG45&lt;Bewertung_Stammdaten!F$42,Bewertung_Stammdaten!E$42,IF(AG45&lt;Bewertung_Stammdaten!F$43,Bewertung_Stammdaten!E$43,IF(AG45&lt;Bewertung_Stammdaten!F$44,Bewertung_Stammdaten!E$44,IF(AG45&lt;Bewertung_Stammdaten!F$45,Bewertung_Stammdaten!E$45,IF(AG45&lt;Bewertung_Stammdaten!F$46,Bewertung_Stammdaten!E$46,Bewertung_Stammdaten!E$47)))))))))</f>
        <v>6</v>
      </c>
      <c r="AL45" s="32">
        <f ca="1">IF(AI45&lt;Bewertung_Stammdaten!J$38,Bewertung_Stammdaten!I$38,IF(AI45&lt;Bewertung_Stammdaten!J$39,Bewertung_Stammdaten!I$39,IF(AI45&lt;Bewertung_Stammdaten!J$40,Bewertung_Stammdaten!I$40,IF(AI45&lt;Bewertung_Stammdaten!J$41,Bewertung_Stammdaten!I$41,IF(AI45&lt;Bewertung_Stammdaten!J$42,Bewertung_Stammdaten!I$42,IF(AI45&lt;Bewertung_Stammdaten!J$43,Bewertung_Stammdaten!I$43,IF(AI45&lt;Bewertung_Stammdaten!J$44,Bewertung_Stammdaten!I$44,IF(AI45&lt;Bewertung_Stammdaten!J$45,Bewertung_Stammdaten!I$45,IF(AI45&lt;Bewertung_Stammdaten!J$46,Bewertung_Stammdaten!I$46,Bewertung_Stammdaten!I$47)))))))))</f>
        <v>3</v>
      </c>
      <c r="AM45" s="43"/>
      <c r="AN45" s="14">
        <f ca="1">VLOOKUP(A45,Dividende_je_Aktie!A$3:AM$103,24,FALSE)</f>
        <v>3.5686111111111116</v>
      </c>
      <c r="AO45" s="14">
        <f>VLOOKUP(A45,Dividende_je_Aktie!A$3:AM$103,20,FALSE)</f>
        <v>2.4592857142857141</v>
      </c>
      <c r="AP45" s="12">
        <f ca="1">VLOOKUP(A45,Dividende_je_Aktie!A$3:AM$103,25,FALSE)</f>
        <v>0.45107625778552318</v>
      </c>
      <c r="AQ45" s="40">
        <f>VLOOKUP(A45,Dividende_je_Aktie!A$3:AM$103,39,FALSE)</f>
        <v>0</v>
      </c>
      <c r="AR45" s="16">
        <f t="shared" ca="1" si="18"/>
        <v>3.5686111111111116</v>
      </c>
      <c r="AS45" s="12">
        <f t="shared" ca="1" si="19"/>
        <v>0.45107625778552318</v>
      </c>
      <c r="AT45" s="32">
        <f ca="1">IF(AP45&lt;Bewertung_Stammdaten!B$51,Bewertung_Stammdaten!A$51,IF(AP45&lt;Bewertung_Stammdaten!B$52,Bewertung_Stammdaten!A$52,IF(AP45&lt;Bewertung_Stammdaten!B$53,Bewertung_Stammdaten!A$53,IF(AP45&lt;Bewertung_Stammdaten!B$54,Bewertung_Stammdaten!A$54,IF(AP45&lt;Bewertung_Stammdaten!B$55,Bewertung_Stammdaten!A$55,IF(AP45&lt;Bewertung_Stammdaten!B$56,Bewertung_Stammdaten!A$56,IF(AP45&lt;Bewertung_Stammdaten!B$57,Bewertung_Stammdaten!A$57,IF(AP45&lt;Bewertung_Stammdaten!B$58,Bewertung_Stammdaten!A$58,IF(AP45&lt;Bewertung_Stammdaten!B$59,Bewertung_Stammdaten!A$59,Bewertung_Stammdaten!A$60)))))))))</f>
        <v>14</v>
      </c>
      <c r="AU45" s="32">
        <f>IF(AQ45&lt;Bewertung_Stammdaten!F$51,Bewertung_Stammdaten!E$51,IF(AQ45&lt;Bewertung_Stammdaten!F$52,Bewertung_Stammdaten!E$52,IF(AQ45&lt;Bewertung_Stammdaten!F$53,Bewertung_Stammdaten!E$53,IF(AQ45&lt;Bewertung_Stammdaten!F$54,Bewertung_Stammdaten!E$54,IF(AQ45&lt;Bewertung_Stammdaten!F$55,Bewertung_Stammdaten!E$55,IF(AQ45&lt;Bewertung_Stammdaten!F$56,Bewertung_Stammdaten!E$56,IF(AQ45&lt;Bewertung_Stammdaten!F$57,Bewertung_Stammdaten!E$57,IF(AQ45&lt;Bewertung_Stammdaten!F$58,Bewertung_Stammdaten!E$58,IF(AQ45&lt;Bewertung_Stammdaten!F$59,Bewertung_Stammdaten!E$59,Bewertung_Stammdaten!E$60)))))))))</f>
        <v>12</v>
      </c>
      <c r="AV45" s="32">
        <f ca="1">IF(AS45&lt;Bewertung_Stammdaten!J$51,Bewertung_Stammdaten!I$51,IF(AS45&lt;Bewertung_Stammdaten!J$52,Bewertung_Stammdaten!I$52,IF(AS45&lt;Bewertung_Stammdaten!J$53,Bewertung_Stammdaten!I$53,IF(AS45&lt;Bewertung_Stammdaten!J$54,Bewertung_Stammdaten!I$54,IF(AS45&lt;Bewertung_Stammdaten!J$55,Bewertung_Stammdaten!I$55,IF(AS45&lt;Bewertung_Stammdaten!J$56,Bewertung_Stammdaten!I$56,IF(AS45&lt;Bewertung_Stammdaten!J$57,Bewertung_Stammdaten!I$57,IF(AS45&lt;Bewertung_Stammdaten!J$58,Bewertung_Stammdaten!I$58,IF(AS45&lt;Bewertung_Stammdaten!J$59,Bewertung_Stammdaten!I$59,Bewertung_Stammdaten!I$60)))))))))</f>
        <v>9</v>
      </c>
      <c r="AW45" s="43"/>
      <c r="AX45" s="12">
        <f ca="1">VLOOKUP(A45,Dividendenrendite!A$3:R$103,17,FALSE)</f>
        <v>2.0550596666346739E-2</v>
      </c>
      <c r="AY45" s="12">
        <f>VLOOKUP(A45,Dividendenrendite!A$3:R$103,16,FALSE)</f>
        <v>2.1641269400663247E-2</v>
      </c>
      <c r="AZ45" s="12">
        <f ca="1">VLOOKUP(A45,Dividendenrendite!A$3:R$103,18,FALSE)</f>
        <v>-5.0397816972930554E-2</v>
      </c>
      <c r="BA45" s="32">
        <f ca="1">IF(AX45&lt;Bewertung_Stammdaten!B$64,Bewertung_Stammdaten!A$64,IF(AX45&lt;Bewertung_Stammdaten!B$65,Bewertung_Stammdaten!A$65,IF(AX45&lt;Bewertung_Stammdaten!B$66,Bewertung_Stammdaten!A$66,IF(AX45&lt;Bewertung_Stammdaten!B$67,Bewertung_Stammdaten!A$67,IF(AX45&lt;Bewertung_Stammdaten!B$68,Bewertung_Stammdaten!A$68,IF(AX45&lt;Bewertung_Stammdaten!B$69,Bewertung_Stammdaten!A$69,IF(AX45&lt;Bewertung_Stammdaten!B$70,Bewertung_Stammdaten!A$70,IF(AX45&lt;Bewertung_Stammdaten!B$71,Bewertung_Stammdaten!A$71,IF(AX45&lt;Bewertung_Stammdaten!B$72,Bewertung_Stammdaten!A$72,Bewertung_Stammdaten!A$73)))))))))</f>
        <v>7.5</v>
      </c>
      <c r="BB45" s="32">
        <f>IF(AY45&lt;Bewertung_Stammdaten!F$64,Bewertung_Stammdaten!E$64,IF(AY45&lt;Bewertung_Stammdaten!F$65,Bewertung_Stammdaten!E$65,IF(AY45&lt;Bewertung_Stammdaten!F$66,Bewertung_Stammdaten!E$66,IF(AY45&lt;Bewertung_Stammdaten!F$67,Bewertung_Stammdaten!E$67,IF(AY45&lt;Bewertung_Stammdaten!F$68,Bewertung_Stammdaten!E$68,IF(AY45&lt;Bewertung_Stammdaten!F$69,Bewertung_Stammdaten!E$69,IF(AY45&lt;Bewertung_Stammdaten!F$70,Bewertung_Stammdaten!E$70,IF(AY45&lt;Bewertung_Stammdaten!F$71,Bewertung_Stammdaten!E$71,IF(AY45&lt;Bewertung_Stammdaten!F$72,Bewertung_Stammdaten!E$72,Bewertung_Stammdaten!E$73)))))))))</f>
        <v>5</v>
      </c>
      <c r="BC45" s="32">
        <f ca="1">IF(AZ45&lt;Bewertung_Stammdaten!J$64,Bewertung_Stammdaten!I$64,IF(AZ45&lt;Bewertung_Stammdaten!J$65,Bewertung_Stammdaten!I$65,IF(AZ45&lt;Bewertung_Stammdaten!J$66,Bewertung_Stammdaten!I$66,IF(AZ45&lt;Bewertung_Stammdaten!J$67,Bewertung_Stammdaten!I$67,IF(AZ45&lt;Bewertung_Stammdaten!J$68,Bewertung_Stammdaten!I$68,IF(AZ45&lt;Bewertung_Stammdaten!J$69,Bewertung_Stammdaten!I$69,IF(AZ45&lt;Bewertung_Stammdaten!J$70,Bewertung_Stammdaten!I$70,IF(AZ45&lt;Bewertung_Stammdaten!J$71,Bewertung_Stammdaten!I$71,IF(AZ45&lt;Bewertung_Stammdaten!J$72,Bewertung_Stammdaten!I$72,Bewertung_Stammdaten!I$73)))))))))</f>
        <v>2</v>
      </c>
      <c r="BD45" s="43"/>
      <c r="BE45" s="12">
        <f>VLOOKUP(A45,Aktien_im_Umlauf_splitbereinigt!A$3:Z$103,26,FALSE)</f>
        <v>4.3091839482878314E-4</v>
      </c>
      <c r="BF45" s="12">
        <f>VLOOKUP(A45,Aktien_im_Umlauf_splitbereinigt!A$3:Y$103,24,FALSE)</f>
        <v>1.3491848358099245E-3</v>
      </c>
      <c r="BG45" s="12">
        <f>VLOOKUP(A45,Aktien_im_Umlauf_splitbereinigt!A$3:Y$103,25,FALSE)</f>
        <v>-99.999989999999997</v>
      </c>
      <c r="BH45" s="41">
        <f>IF(BE45&lt;Bewertung_Stammdaten!B$77,Bewertung_Stammdaten!A$77,IF(BE45&lt;Bewertung_Stammdaten!B$78,Bewertung_Stammdaten!A$78,IF(BE45&lt;Bewertung_Stammdaten!B$79,Bewertung_Stammdaten!A$79,IF(BE45&lt;Bewertung_Stammdaten!B$80,Bewertung_Stammdaten!A$80,IF(BE45&lt;Bewertung_Stammdaten!B$81,Bewertung_Stammdaten!A$81,IF(BE45&lt;Bewertung_Stammdaten!B$82,Bewertung_Stammdaten!A$82,IF(BE45&lt;Bewertung_Stammdaten!B$83,Bewertung_Stammdaten!A$83,IF(BE45&lt;Bewertung_Stammdaten!B$84,Bewertung_Stammdaten!A$84,IF(BE45&lt;Bewertung_Stammdaten!B$85,Bewertung_Stammdaten!A$85,Bewertung_Stammdaten!A$86)))))))))</f>
        <v>2</v>
      </c>
      <c r="BI45" s="41">
        <f>IF(BF45&lt;Bewertung_Stammdaten!F$77,Bewertung_Stammdaten!E$77,IF(BF45&lt;Bewertung_Stammdaten!F$78,Bewertung_Stammdaten!E$78,IF(BF45&lt;Bewertung_Stammdaten!F$79,Bewertung_Stammdaten!E$79,IF(BF45&lt;Bewertung_Stammdaten!F$80,Bewertung_Stammdaten!E$80,IF(BF45&lt;Bewertung_Stammdaten!F$81,Bewertung_Stammdaten!E$81,IF(BF45&lt;Bewertung_Stammdaten!F$82,Bewertung_Stammdaten!E$82,IF(BF45&lt;Bewertung_Stammdaten!F$83,Bewertung_Stammdaten!E$83,IF(BF45&lt;Bewertung_Stammdaten!F$84,Bewertung_Stammdaten!E$84,IF(BF45&lt;Bewertung_Stammdaten!F$85,Bewertung_Stammdaten!E$85,Bewertung_Stammdaten!E$86)))))))))</f>
        <v>2</v>
      </c>
      <c r="BJ45" s="41">
        <f>IF(BG45&lt;Bewertung_Stammdaten!J$77,Bewertung_Stammdaten!I$77,IF(BG45&lt;Bewertung_Stammdaten!J$78,Bewertung_Stammdaten!I$78,IF(BG45&lt;Bewertung_Stammdaten!J$79,Bewertung_Stammdaten!I$79,IF(BG45&lt;Bewertung_Stammdaten!J$80,Bewertung_Stammdaten!I$80,IF(BG45&lt;Bewertung_Stammdaten!J$81,Bewertung_Stammdaten!I$81,IF(BG45&lt;Bewertung_Stammdaten!J$82,Bewertung_Stammdaten!I$82,IF(BG45&lt;Bewertung_Stammdaten!J$83,Bewertung_Stammdaten!I$83,IF(BG45&lt;Bewertung_Stammdaten!J$84,Bewertung_Stammdaten!I$84,IF(BG45&lt;Bewertung_Stammdaten!J$85,Bewertung_Stammdaten!I$85,Bewertung_Stammdaten!I$86)))))))))</f>
        <v>0.5</v>
      </c>
      <c r="BK45" s="43"/>
      <c r="BL45" s="12">
        <f ca="1">VLOOKUP(A45,Ausschüttungsquote!A$3:X$103,23,FALSE)</f>
        <v>0.43786037055223381</v>
      </c>
      <c r="BM45" s="12">
        <f>VLOOKUP(A45,Ausschüttungsquote!A$3:X$103,19,FALSE)</f>
        <v>0.42535136351063058</v>
      </c>
      <c r="BN45" s="12">
        <f ca="1">VLOOKUP(A45,Ausschüttungsquote!A$3:X$103,24,FALSE)</f>
        <v>2.9408644510647175E-2</v>
      </c>
      <c r="BO45" s="32">
        <f ca="1">IF(BL45&lt;Bewertung_Stammdaten!B$90,Bewertung_Stammdaten!A$90,IF(BL45&lt;Bewertung_Stammdaten!B$91,Bewertung_Stammdaten!A$91,IF(BL45&lt;Bewertung_Stammdaten!B$92,Bewertung_Stammdaten!A$92,IF(BL45&lt;Bewertung_Stammdaten!B$93,Bewertung_Stammdaten!A$93,IF(BL45&lt;Bewertung_Stammdaten!B$94,Bewertung_Stammdaten!A$94,IF(BL45&lt;Bewertung_Stammdaten!B$95,Bewertung_Stammdaten!A$95,IF(BL45&lt;Bewertung_Stammdaten!B$96,Bewertung_Stammdaten!A$96,IF(BL45&lt;Bewertung_Stammdaten!B$97,Bewertung_Stammdaten!A$97,IF(BL45&lt;Bewertung_Stammdaten!B$98,Bewertung_Stammdaten!A$98,Bewertung_Stammdaten!A$99)))))))))</f>
        <v>9</v>
      </c>
      <c r="BP45" s="41">
        <f>IF(BM45&lt;Bewertung_Stammdaten!F$90,Bewertung_Stammdaten!E$90,IF(BM45&lt;Bewertung_Stammdaten!F$91,Bewertung_Stammdaten!E$91,IF(BM45&lt;Bewertung_Stammdaten!F$92,Bewertung_Stammdaten!E$92,IF(BM45&lt;Bewertung_Stammdaten!F$93,Bewertung_Stammdaten!E$93,IF(BM45&lt;Bewertung_Stammdaten!F$94,Bewertung_Stammdaten!E$94,IF(BM45&lt;Bewertung_Stammdaten!F$95,Bewertung_Stammdaten!E$95,IF(BM45&lt;Bewertung_Stammdaten!F$96,Bewertung_Stammdaten!E$96,IF(BM45&lt;Bewertung_Stammdaten!F$97,Bewertung_Stammdaten!E$97,IF(BM45&lt;Bewertung_Stammdaten!F$98,Bewertung_Stammdaten!E$98,Bewertung_Stammdaten!E$99)))))))))</f>
        <v>9</v>
      </c>
      <c r="BQ45" s="32">
        <f ca="1">IF(BN45&lt;Bewertung_Stammdaten!J$90,Bewertung_Stammdaten!I$90,IF(BN45&lt;Bewertung_Stammdaten!J$91,Bewertung_Stammdaten!I$91,IF(BN45&lt;Bewertung_Stammdaten!J$92,Bewertung_Stammdaten!I$92,IF(BN45&lt;Bewertung_Stammdaten!J$93,Bewertung_Stammdaten!I$93,IF(BN45&lt;Bewertung_Stammdaten!J$94,Bewertung_Stammdaten!I$94,IF(BN45&lt;Bewertung_Stammdaten!J$95,Bewertung_Stammdaten!I$95,IF(BN45&lt;Bewertung_Stammdaten!J$96,Bewertung_Stammdaten!I$96,IF(BN45&lt;Bewertung_Stammdaten!J$97,Bewertung_Stammdaten!I$97,IF(BN45&lt;Bewertung_Stammdaten!J$98,Bewertung_Stammdaten!I$98,Bewertung_Stammdaten!I$99)))))))))</f>
        <v>5</v>
      </c>
    </row>
    <row r="46" spans="1:69" x14ac:dyDescent="0.25">
      <c r="A46" s="55" t="s">
        <v>275</v>
      </c>
      <c r="B46" s="55" t="s">
        <v>280</v>
      </c>
      <c r="C46" s="38" t="s">
        <v>295</v>
      </c>
      <c r="D46" s="32">
        <f t="shared" ca="1" si="11"/>
        <v>175.5</v>
      </c>
      <c r="E46" s="43"/>
      <c r="F46" s="66">
        <v>1</v>
      </c>
      <c r="G46" s="11">
        <f ca="1">VLOOKUP(A46,KGV!A$3:R$103,17,FALSE)</f>
        <v>28.221941992433795</v>
      </c>
      <c r="H46" s="11">
        <f>VLOOKUP(A46,KGV!A$3:R$103,16,FALSE)</f>
        <v>20.629344919786096</v>
      </c>
      <c r="I46" s="12">
        <f ca="1">VLOOKUP(A46,KGV!A$3:R$103,18,FALSE)</f>
        <v>0.36804838457887512</v>
      </c>
      <c r="J46" s="16">
        <f t="shared" ca="1" si="12"/>
        <v>28.221941992433795</v>
      </c>
      <c r="K46" s="12">
        <f t="shared" ca="1" si="13"/>
        <v>0.36804838457887512</v>
      </c>
      <c r="L46" s="11">
        <f ca="1">VLOOKUP(A46,KBV!A$3:R$103,17,FALSE)</f>
        <v>19.543006840343477</v>
      </c>
      <c r="M46" s="11">
        <f>VLOOKUP(A46,KBV!A$3:R$103,16,FALSE)</f>
        <v>12.613956928581256</v>
      </c>
      <c r="N46" s="12">
        <f ca="1">VLOOKUP(A46,KBV!A$3:R$103,18,FALSE)</f>
        <v>0.54931612268804209</v>
      </c>
      <c r="O46" s="16">
        <f t="shared" ca="1" si="9"/>
        <v>19.889924121533003</v>
      </c>
      <c r="P46" s="12">
        <f t="shared" ca="1" si="10"/>
        <v>0.57681877575351015</v>
      </c>
      <c r="Q46" s="32">
        <f ca="1">IF(F46=1,IF(I46&lt;Bewertung_Stammdaten!B$12,Bewertung_Stammdaten!A$12,IF(I46&lt;Bewertung_Stammdaten!B$13,Bewertung_Stammdaten!A$13,IF(I46&lt;Bewertung_Stammdaten!B$14,Bewertung_Stammdaten!A$14,IF(I46&lt;Bewertung_Stammdaten!B$15,Bewertung_Stammdaten!A$15,IF(I46&lt;Bewertung_Stammdaten!B$16,Bewertung_Stammdaten!A$16,IF(I46&lt;Bewertung_Stammdaten!B$17,Bewertung_Stammdaten!A$17,IF(I46&lt;Bewertung_Stammdaten!B$18,Bewertung_Stammdaten!A$18,IF(I46&lt;Bewertung_Stammdaten!B$19,Bewertung_Stammdaten!A$19,IF(I46&lt;Bewertung_Stammdaten!B$20,Bewertung_Stammdaten!A$20,Bewertung_Stammdaten!A$21))))))))),IF(N46&lt;Bewertung_Stammdaten!C$12,Bewertung_Stammdaten!A$12,IF(N46&lt;Bewertung_Stammdaten!C$13,Bewertung_Stammdaten!A$13,IF(N46&lt;Bewertung_Stammdaten!C$14,Bewertung_Stammdaten!A$14,IF(N46&lt;Bewertung_Stammdaten!C$15,Bewertung_Stammdaten!A$15,IF(N46&lt;Bewertung_Stammdaten!C$16,Bewertung_Stammdaten!A$16,IF(N46&lt;Bewertung_Stammdaten!C$17,Bewertung_Stammdaten!A$17,IF(N46&lt;Bewertung_Stammdaten!C$18,Bewertung_Stammdaten!A$18,IF(N46&lt;Bewertung_Stammdaten!C$19,Bewertung_Stammdaten!A$19,IF(N46&lt;Bewertung_Stammdaten!C$20,Bewertung_Stammdaten!A$20,Bewertung_Stammdaten!A$21))))))))))</f>
        <v>6</v>
      </c>
      <c r="R46" s="32">
        <f ca="1">IF(F46=1,IF(K46&lt;Bewertung_Stammdaten!F$12,Bewertung_Stammdaten!E$12,IF(K46&lt;Bewertung_Stammdaten!F$13,Bewertung_Stammdaten!E$13,IF(K46&lt;Bewertung_Stammdaten!F$14,Bewertung_Stammdaten!E$14,IF(K46&lt;Bewertung_Stammdaten!F$15,Bewertung_Stammdaten!E$15,IF(K46&lt;Bewertung_Stammdaten!F$16,Bewertung_Stammdaten!E$16,IF(K46&lt;Bewertung_Stammdaten!F$17,Bewertung_Stammdaten!E$17,IF(K46&lt;Bewertung_Stammdaten!F$18,Bewertung_Stammdaten!E$18,IF(K46&lt;Bewertung_Stammdaten!F$19,Bewertung_Stammdaten!E$19,IF(K46&lt;Bewertung_Stammdaten!F$20,Bewertung_Stammdaten!E$20,Bewertung_Stammdaten!E$21))))))))),IF(P46&lt;Bewertung_Stammdaten!G$12,Bewertung_Stammdaten!E$12,IF(P46&lt;Bewertung_Stammdaten!G$13,Bewertung_Stammdaten!E$13,IF(P46&lt;Bewertung_Stammdaten!G$14,Bewertung_Stammdaten!E$14,IF(P46&lt;Bewertung_Stammdaten!G$15,Bewertung_Stammdaten!E$15,IF(P46&lt;Bewertung_Stammdaten!G$16,Bewertung_Stammdaten!E$16,IF(P46&lt;Bewertung_Stammdaten!G$17,Bewertung_Stammdaten!E$17,IF(P46&lt;Bewertung_Stammdaten!G$18,Bewertung_Stammdaten!E$18,IF(P46&lt;Bewertung_Stammdaten!G$19,Bewertung_Stammdaten!E$19,IF(P46&lt;Bewertung_Stammdaten!G$20,Bewertung_Stammdaten!E$20,Bewertung_Stammdaten!E$21))))))))))</f>
        <v>5</v>
      </c>
      <c r="S46" s="43"/>
      <c r="T46" s="11">
        <f ca="1">VLOOKUP(A46,Buchwert_je_Aktie!A$3:AK$103,23,FALSE)</f>
        <v>19.086111111111109</v>
      </c>
      <c r="U46" s="11">
        <f>VLOOKUP(A46,Buchwert_je_Aktie!A$3:AK$103,19,FALSE)</f>
        <v>14.420769230769233</v>
      </c>
      <c r="V46" s="12">
        <f ca="1">VLOOKUP(A46,Buchwert_je_Aktie!A$3:AK$103,24,FALSE)</f>
        <v>0.32351546617829174</v>
      </c>
      <c r="W46" s="12">
        <f>VLOOKUP(A46,Buchwert_je_Aktie!A$3:AK$103,37,FALSE)</f>
        <v>-1.7441860465116199E-2</v>
      </c>
      <c r="X46" s="16">
        <f t="shared" ca="1" si="14"/>
        <v>18.753213824289404</v>
      </c>
      <c r="Y46" s="12">
        <f t="shared" ca="1" si="15"/>
        <v>0.30043089409378676</v>
      </c>
      <c r="Z46" s="51">
        <f ca="1">IF(V46&lt;Bewertung_Stammdaten!B$25,Bewertung_Stammdaten!A$25,IF(V46&lt;Bewertung_Stammdaten!B$26,Bewertung_Stammdaten!A$26,IF(V46&lt;Bewertung_Stammdaten!B$27,Bewertung_Stammdaten!A$27,IF(V46&lt;Bewertung_Stammdaten!B$28,Bewertung_Stammdaten!A$28,IF(V46&lt;Bewertung_Stammdaten!B$29,Bewertung_Stammdaten!A$29,IF(V46&lt;Bewertung_Stammdaten!B$30,Bewertung_Stammdaten!A$30,IF(V46&lt;Bewertung_Stammdaten!B$31,Bewertung_Stammdaten!A$31,IF(V46&lt;Bewertung_Stammdaten!B$32,Bewertung_Stammdaten!A$32,IF(V46&lt;Bewertung_Stammdaten!B$33,Bewertung_Stammdaten!A$33,Bewertung_Stammdaten!A$34)))))))))</f>
        <v>9</v>
      </c>
      <c r="AA46" s="51">
        <f>IF(W46&lt;Bewertung_Stammdaten!F$25,Bewertung_Stammdaten!E$25,IF(W46&lt;Bewertung_Stammdaten!F$26,Bewertung_Stammdaten!E$26,IF(W46&lt;Bewertung_Stammdaten!F$27,Bewertung_Stammdaten!E$27,IF(W46&lt;Bewertung_Stammdaten!F$28,Bewertung_Stammdaten!E$28,IF(W46&lt;Bewertung_Stammdaten!F$29,Bewertung_Stammdaten!E$29,IF(W46&lt;Bewertung_Stammdaten!F$30,Bewertung_Stammdaten!E$30,IF(W46&lt;Bewertung_Stammdaten!F$31,Bewertung_Stammdaten!E$31,IF(W46&lt;Bewertung_Stammdaten!F$32,Bewertung_Stammdaten!E$32,IF(W46&lt;Bewertung_Stammdaten!F$33,Bewertung_Stammdaten!E$33,Bewertung_Stammdaten!E$34)))))))))</f>
        <v>10.5</v>
      </c>
      <c r="AB46" s="51">
        <f ca="1">IF(Y46&lt;Bewertung_Stammdaten!J$25,Bewertung_Stammdaten!I$25,IF(Y46&lt;Bewertung_Stammdaten!J$26,Bewertung_Stammdaten!I$26,IF(Y46&lt;Bewertung_Stammdaten!J$27,Bewertung_Stammdaten!I$27,IF(Y46&lt;Bewertung_Stammdaten!J$28,Bewertung_Stammdaten!I$28,IF(Y46&lt;Bewertung_Stammdaten!J$29,Bewertung_Stammdaten!I$29,IF(Y46&lt;Bewertung_Stammdaten!J$30,Bewertung_Stammdaten!I$30,IF(Y46&lt;Bewertung_Stammdaten!J$31,Bewertung_Stammdaten!I$31,IF(Y46&lt;Bewertung_Stammdaten!J$32,Bewertung_Stammdaten!I$32,IF(Y46&lt;Bewertung_Stammdaten!J$33,Bewertung_Stammdaten!I$33,Bewertung_Stammdaten!I$34)))))))))</f>
        <v>6</v>
      </c>
      <c r="AC46" s="43"/>
      <c r="AD46" s="14">
        <f ca="1">VLOOKUP(A46,Ergebnis_je_Aktie_verwässert!A$3:AK$103,23,FALSE)</f>
        <v>13.216666666666667</v>
      </c>
      <c r="AE46" s="14">
        <f>VLOOKUP(A46,Ergebnis_je_Aktie_verwässert!A$3:AK$103,19,FALSE)</f>
        <v>7.3723076923076922</v>
      </c>
      <c r="AF46" s="12">
        <f ca="1">VLOOKUP(A46,Ergebnis_je_Aktie_verwässert!A$3:AK$103,24,FALSE)</f>
        <v>0.79274485253199778</v>
      </c>
      <c r="AG46" s="40">
        <f>VLOOKUP(A46,Ergebnis_je_Aktie_verwässert!A$3:AK$103,37,FALSE)</f>
        <v>7.7005347593583018E-2</v>
      </c>
      <c r="AH46" s="16">
        <f t="shared" ca="1" si="16"/>
        <v>13.216666666666667</v>
      </c>
      <c r="AI46" s="12">
        <f t="shared" ca="1" si="17"/>
        <v>0.79274485253199778</v>
      </c>
      <c r="AJ46" s="32">
        <f ca="1">IF(AF46&lt;Bewertung_Stammdaten!B$38,Bewertung_Stammdaten!A$38,IF(AF46&lt;Bewertung_Stammdaten!B$39,Bewertung_Stammdaten!A$39,IF(AF46&lt;Bewertung_Stammdaten!B$40,Bewertung_Stammdaten!A$40,IF(AF46&lt;Bewertung_Stammdaten!B$41,Bewertung_Stammdaten!A$41,IF(AF46&lt;Bewertung_Stammdaten!B$42,Bewertung_Stammdaten!A$42,IF(AF46&lt;Bewertung_Stammdaten!B$43,Bewertung_Stammdaten!A$43,IF(AF46&lt;Bewertung_Stammdaten!B$44,Bewertung_Stammdaten!A$44,IF(AF46&lt;Bewertung_Stammdaten!B$45,Bewertung_Stammdaten!A$45,IF(AF46&lt;Bewertung_Stammdaten!B$46,Bewertung_Stammdaten!A$46,Bewertung_Stammdaten!A$47)))))))))</f>
        <v>20</v>
      </c>
      <c r="AK46" s="32">
        <f>IF(AG46&lt;Bewertung_Stammdaten!F$38,Bewertung_Stammdaten!E$38,IF(AG46&lt;Bewertung_Stammdaten!F$39,Bewertung_Stammdaten!E$39,IF(AG46&lt;Bewertung_Stammdaten!F$40,Bewertung_Stammdaten!E$40,IF(AG46&lt;Bewertung_Stammdaten!F$41,Bewertung_Stammdaten!E$41,IF(AG46&lt;Bewertung_Stammdaten!F$42,Bewertung_Stammdaten!E$42,IF(AG46&lt;Bewertung_Stammdaten!F$43,Bewertung_Stammdaten!E$43,IF(AG46&lt;Bewertung_Stammdaten!F$44,Bewertung_Stammdaten!E$44,IF(AG46&lt;Bewertung_Stammdaten!F$45,Bewertung_Stammdaten!E$45,IF(AG46&lt;Bewertung_Stammdaten!F$46,Bewertung_Stammdaten!E$46,Bewertung_Stammdaten!E$47)))))))))</f>
        <v>12</v>
      </c>
      <c r="AL46" s="32">
        <f ca="1">IF(AI46&lt;Bewertung_Stammdaten!J$38,Bewertung_Stammdaten!I$38,IF(AI46&lt;Bewertung_Stammdaten!J$39,Bewertung_Stammdaten!I$39,IF(AI46&lt;Bewertung_Stammdaten!J$40,Bewertung_Stammdaten!I$40,IF(AI46&lt;Bewertung_Stammdaten!J$41,Bewertung_Stammdaten!I$41,IF(AI46&lt;Bewertung_Stammdaten!J$42,Bewertung_Stammdaten!I$42,IF(AI46&lt;Bewertung_Stammdaten!J$43,Bewertung_Stammdaten!I$43,IF(AI46&lt;Bewertung_Stammdaten!J$44,Bewertung_Stammdaten!I$44,IF(AI46&lt;Bewertung_Stammdaten!J$45,Bewertung_Stammdaten!I$45,IF(AI46&lt;Bewertung_Stammdaten!J$46,Bewertung_Stammdaten!I$46,Bewertung_Stammdaten!I$47)))))))))</f>
        <v>10</v>
      </c>
      <c r="AM46" s="43"/>
      <c r="AN46" s="14">
        <f ca="1">VLOOKUP(A46,Dividende_je_Aktie!A$3:AM$103,24,FALSE)</f>
        <v>6.1568333333333332</v>
      </c>
      <c r="AO46" s="14">
        <f>VLOOKUP(A46,Dividende_je_Aktie!A$3:AM$103,20,FALSE)</f>
        <v>3.1350000000000002</v>
      </c>
      <c r="AP46" s="12">
        <f ca="1">VLOOKUP(A46,Dividende_je_Aktie!A$3:AM$103,25,FALSE)</f>
        <v>0.96390217969165315</v>
      </c>
      <c r="AQ46" s="40">
        <f>VLOOKUP(A46,Dividende_je_Aktie!A$3:AM$103,39,FALSE)</f>
        <v>0.11111111111111116</v>
      </c>
      <c r="AR46" s="16">
        <f t="shared" ca="1" si="18"/>
        <v>6.1568333333333332</v>
      </c>
      <c r="AS46" s="12">
        <f t="shared" ca="1" si="19"/>
        <v>0.96390217969165315</v>
      </c>
      <c r="AT46" s="32">
        <f ca="1">IF(AP46&lt;Bewertung_Stammdaten!B$51,Bewertung_Stammdaten!A$51,IF(AP46&lt;Bewertung_Stammdaten!B$52,Bewertung_Stammdaten!A$52,IF(AP46&lt;Bewertung_Stammdaten!B$53,Bewertung_Stammdaten!A$53,IF(AP46&lt;Bewertung_Stammdaten!B$54,Bewertung_Stammdaten!A$54,IF(AP46&lt;Bewertung_Stammdaten!B$55,Bewertung_Stammdaten!A$55,IF(AP46&lt;Bewertung_Stammdaten!B$56,Bewertung_Stammdaten!A$56,IF(AP46&lt;Bewertung_Stammdaten!B$57,Bewertung_Stammdaten!A$57,IF(AP46&lt;Bewertung_Stammdaten!B$58,Bewertung_Stammdaten!A$58,IF(AP46&lt;Bewertung_Stammdaten!B$59,Bewertung_Stammdaten!A$59,Bewertung_Stammdaten!A$60)))))))))</f>
        <v>20</v>
      </c>
      <c r="AU46" s="32">
        <f>IF(AQ46&lt;Bewertung_Stammdaten!F$51,Bewertung_Stammdaten!E$51,IF(AQ46&lt;Bewertung_Stammdaten!F$52,Bewertung_Stammdaten!E$52,IF(AQ46&lt;Bewertung_Stammdaten!F$53,Bewertung_Stammdaten!E$53,IF(AQ46&lt;Bewertung_Stammdaten!F$54,Bewertung_Stammdaten!E$54,IF(AQ46&lt;Bewertung_Stammdaten!F$55,Bewertung_Stammdaten!E$55,IF(AQ46&lt;Bewertung_Stammdaten!F$56,Bewertung_Stammdaten!E$56,IF(AQ46&lt;Bewertung_Stammdaten!F$57,Bewertung_Stammdaten!E$57,IF(AQ46&lt;Bewertung_Stammdaten!F$58,Bewertung_Stammdaten!E$58,IF(AQ46&lt;Bewertung_Stammdaten!F$59,Bewertung_Stammdaten!E$59,Bewertung_Stammdaten!E$60)))))))))</f>
        <v>13.5</v>
      </c>
      <c r="AV46" s="32">
        <f ca="1">IF(AS46&lt;Bewertung_Stammdaten!J$51,Bewertung_Stammdaten!I$51,IF(AS46&lt;Bewertung_Stammdaten!J$52,Bewertung_Stammdaten!I$52,IF(AS46&lt;Bewertung_Stammdaten!J$53,Bewertung_Stammdaten!I$53,IF(AS46&lt;Bewertung_Stammdaten!J$54,Bewertung_Stammdaten!I$54,IF(AS46&lt;Bewertung_Stammdaten!J$55,Bewertung_Stammdaten!I$55,IF(AS46&lt;Bewertung_Stammdaten!J$56,Bewertung_Stammdaten!I$56,IF(AS46&lt;Bewertung_Stammdaten!J$57,Bewertung_Stammdaten!I$57,IF(AS46&lt;Bewertung_Stammdaten!J$58,Bewertung_Stammdaten!I$58,IF(AS46&lt;Bewertung_Stammdaten!J$59,Bewertung_Stammdaten!I$59,Bewertung_Stammdaten!I$60)))))))))</f>
        <v>10</v>
      </c>
      <c r="AW46" s="43"/>
      <c r="AX46" s="12">
        <f ca="1">VLOOKUP(A46,Dividendenrendite!A$3:R$103,17,FALSE)</f>
        <v>1.6506255585344055E-2</v>
      </c>
      <c r="AY46" s="12">
        <f>VLOOKUP(A46,Dividendenrendite!A$3:R$103,16,FALSE)</f>
        <v>1.931660864037147E-2</v>
      </c>
      <c r="AZ46" s="12">
        <f ca="1">VLOOKUP(A46,Dividendenrendite!A$3:R$103,18,FALSE)</f>
        <v>-0.14548894722409045</v>
      </c>
      <c r="BA46" s="32">
        <f ca="1">IF(AX46&lt;Bewertung_Stammdaten!B$64,Bewertung_Stammdaten!A$64,IF(AX46&lt;Bewertung_Stammdaten!B$65,Bewertung_Stammdaten!A$65,IF(AX46&lt;Bewertung_Stammdaten!B$66,Bewertung_Stammdaten!A$66,IF(AX46&lt;Bewertung_Stammdaten!B$67,Bewertung_Stammdaten!A$67,IF(AX46&lt;Bewertung_Stammdaten!B$68,Bewertung_Stammdaten!A$68,IF(AX46&lt;Bewertung_Stammdaten!B$69,Bewertung_Stammdaten!A$69,IF(AX46&lt;Bewertung_Stammdaten!B$70,Bewertung_Stammdaten!A$70,IF(AX46&lt;Bewertung_Stammdaten!B$71,Bewertung_Stammdaten!A$71,IF(AX46&lt;Bewertung_Stammdaten!B$72,Bewertung_Stammdaten!A$72,Bewertung_Stammdaten!A$73)))))))))</f>
        <v>6</v>
      </c>
      <c r="BB46" s="32">
        <f>IF(AY46&lt;Bewertung_Stammdaten!F$64,Bewertung_Stammdaten!E$64,IF(AY46&lt;Bewertung_Stammdaten!F$65,Bewertung_Stammdaten!E$65,IF(AY46&lt;Bewertung_Stammdaten!F$66,Bewertung_Stammdaten!E$66,IF(AY46&lt;Bewertung_Stammdaten!F$67,Bewertung_Stammdaten!E$67,IF(AY46&lt;Bewertung_Stammdaten!F$68,Bewertung_Stammdaten!E$68,IF(AY46&lt;Bewertung_Stammdaten!F$69,Bewertung_Stammdaten!E$69,IF(AY46&lt;Bewertung_Stammdaten!F$70,Bewertung_Stammdaten!E$70,IF(AY46&lt;Bewertung_Stammdaten!F$71,Bewertung_Stammdaten!E$71,IF(AY46&lt;Bewertung_Stammdaten!F$72,Bewertung_Stammdaten!E$72,Bewertung_Stammdaten!E$73)))))))))</f>
        <v>4</v>
      </c>
      <c r="BC46" s="32">
        <f ca="1">IF(AZ46&lt;Bewertung_Stammdaten!J$64,Bewertung_Stammdaten!I$64,IF(AZ46&lt;Bewertung_Stammdaten!J$65,Bewertung_Stammdaten!I$65,IF(AZ46&lt;Bewertung_Stammdaten!J$66,Bewertung_Stammdaten!I$66,IF(AZ46&lt;Bewertung_Stammdaten!J$67,Bewertung_Stammdaten!I$67,IF(AZ46&lt;Bewertung_Stammdaten!J$68,Bewertung_Stammdaten!I$68,IF(AZ46&lt;Bewertung_Stammdaten!J$69,Bewertung_Stammdaten!I$69,IF(AZ46&lt;Bewertung_Stammdaten!J$70,Bewertung_Stammdaten!I$70,IF(AZ46&lt;Bewertung_Stammdaten!J$71,Bewertung_Stammdaten!I$71,IF(AZ46&lt;Bewertung_Stammdaten!J$72,Bewertung_Stammdaten!I$72,Bewertung_Stammdaten!I$73)))))))))</f>
        <v>1.5</v>
      </c>
      <c r="BD46" s="43"/>
      <c r="BE46" s="12">
        <f>VLOOKUP(A46,Aktien_im_Umlauf_splitbereinigt!A$3:Z$103,26,FALSE)</f>
        <v>-3.6363636363636376E-2</v>
      </c>
      <c r="BF46" s="12">
        <f>VLOOKUP(A46,Aktien_im_Umlauf_splitbereinigt!A$3:Y$103,24,FALSE)</f>
        <v>-2.2517363964056274E-2</v>
      </c>
      <c r="BG46" s="12">
        <f>VLOOKUP(A46,Aktien_im_Umlauf_splitbereinigt!A$3:Y$103,25,FALSE)</f>
        <v>0.6149153347471068</v>
      </c>
      <c r="BH46" s="41">
        <f>IF(BE46&lt;Bewertung_Stammdaten!B$77,Bewertung_Stammdaten!A$77,IF(BE46&lt;Bewertung_Stammdaten!B$78,Bewertung_Stammdaten!A$78,IF(BE46&lt;Bewertung_Stammdaten!B$79,Bewertung_Stammdaten!A$79,IF(BE46&lt;Bewertung_Stammdaten!B$80,Bewertung_Stammdaten!A$80,IF(BE46&lt;Bewertung_Stammdaten!B$81,Bewertung_Stammdaten!A$81,IF(BE46&lt;Bewertung_Stammdaten!B$82,Bewertung_Stammdaten!A$82,IF(BE46&lt;Bewertung_Stammdaten!B$83,Bewertung_Stammdaten!A$83,IF(BE46&lt;Bewertung_Stammdaten!B$84,Bewertung_Stammdaten!A$84,IF(BE46&lt;Bewertung_Stammdaten!B$85,Bewertung_Stammdaten!A$85,Bewertung_Stammdaten!A$86)))))))))</f>
        <v>10</v>
      </c>
      <c r="BI46" s="41">
        <f>IF(BF46&lt;Bewertung_Stammdaten!F$77,Bewertung_Stammdaten!E$77,IF(BF46&lt;Bewertung_Stammdaten!F$78,Bewertung_Stammdaten!E$78,IF(BF46&lt;Bewertung_Stammdaten!F$79,Bewertung_Stammdaten!E$79,IF(BF46&lt;Bewertung_Stammdaten!F$80,Bewertung_Stammdaten!E$80,IF(BF46&lt;Bewertung_Stammdaten!F$81,Bewertung_Stammdaten!E$81,IF(BF46&lt;Bewertung_Stammdaten!F$82,Bewertung_Stammdaten!E$82,IF(BF46&lt;Bewertung_Stammdaten!F$83,Bewertung_Stammdaten!E$83,IF(BF46&lt;Bewertung_Stammdaten!F$84,Bewertung_Stammdaten!E$84,IF(BF46&lt;Bewertung_Stammdaten!F$85,Bewertung_Stammdaten!E$85,Bewertung_Stammdaten!E$86)))))))))</f>
        <v>7</v>
      </c>
      <c r="BJ46" s="41">
        <f>IF(BG46&lt;Bewertung_Stammdaten!J$77,Bewertung_Stammdaten!I$77,IF(BG46&lt;Bewertung_Stammdaten!J$78,Bewertung_Stammdaten!I$78,IF(BG46&lt;Bewertung_Stammdaten!J$79,Bewertung_Stammdaten!I$79,IF(BG46&lt;Bewertung_Stammdaten!J$80,Bewertung_Stammdaten!I$80,IF(BG46&lt;Bewertung_Stammdaten!J$81,Bewertung_Stammdaten!I$81,IF(BG46&lt;Bewertung_Stammdaten!J$82,Bewertung_Stammdaten!I$82,IF(BG46&lt;Bewertung_Stammdaten!J$83,Bewertung_Stammdaten!I$83,IF(BG46&lt;Bewertung_Stammdaten!J$84,Bewertung_Stammdaten!I$84,IF(BG46&lt;Bewertung_Stammdaten!J$85,Bewertung_Stammdaten!I$85,Bewertung_Stammdaten!I$86)))))))))</f>
        <v>4</v>
      </c>
      <c r="BK46" s="43"/>
      <c r="BL46" s="12">
        <f ca="1">VLOOKUP(A46,Ausschüttungsquote!A$3:X$103,23,FALSE)</f>
        <v>0.46644575064710958</v>
      </c>
      <c r="BM46" s="12">
        <f>VLOOKUP(A46,Ausschüttungsquote!A$3:X$103,19,FALSE)</f>
        <v>0.42559581995888746</v>
      </c>
      <c r="BN46" s="12">
        <f ca="1">VLOOKUP(A46,Ausschüttungsquote!A$3:X$103,24,FALSE)</f>
        <v>9.5982922699213047E-2</v>
      </c>
      <c r="BO46" s="32">
        <f ca="1">IF(BL46&lt;Bewertung_Stammdaten!B$90,Bewertung_Stammdaten!A$90,IF(BL46&lt;Bewertung_Stammdaten!B$91,Bewertung_Stammdaten!A$91,IF(BL46&lt;Bewertung_Stammdaten!B$92,Bewertung_Stammdaten!A$92,IF(BL46&lt;Bewertung_Stammdaten!B$93,Bewertung_Stammdaten!A$93,IF(BL46&lt;Bewertung_Stammdaten!B$94,Bewertung_Stammdaten!A$94,IF(BL46&lt;Bewertung_Stammdaten!B$95,Bewertung_Stammdaten!A$95,IF(BL46&lt;Bewertung_Stammdaten!B$96,Bewertung_Stammdaten!A$96,IF(BL46&lt;Bewertung_Stammdaten!B$97,Bewertung_Stammdaten!A$97,IF(BL46&lt;Bewertung_Stammdaten!B$98,Bewertung_Stammdaten!A$98,Bewertung_Stammdaten!A$99)))))))))</f>
        <v>8</v>
      </c>
      <c r="BP46" s="41">
        <f>IF(BM46&lt;Bewertung_Stammdaten!F$90,Bewertung_Stammdaten!E$90,IF(BM46&lt;Bewertung_Stammdaten!F$91,Bewertung_Stammdaten!E$91,IF(BM46&lt;Bewertung_Stammdaten!F$92,Bewertung_Stammdaten!E$92,IF(BM46&lt;Bewertung_Stammdaten!F$93,Bewertung_Stammdaten!E$93,IF(BM46&lt;Bewertung_Stammdaten!F$94,Bewertung_Stammdaten!E$94,IF(BM46&lt;Bewertung_Stammdaten!F$95,Bewertung_Stammdaten!E$95,IF(BM46&lt;Bewertung_Stammdaten!F$96,Bewertung_Stammdaten!E$96,IF(BM46&lt;Bewertung_Stammdaten!F$97,Bewertung_Stammdaten!E$97,IF(BM46&lt;Bewertung_Stammdaten!F$98,Bewertung_Stammdaten!E$98,Bewertung_Stammdaten!E$99)))))))))</f>
        <v>9</v>
      </c>
      <c r="BQ46" s="32">
        <f ca="1">IF(BN46&lt;Bewertung_Stammdaten!J$90,Bewertung_Stammdaten!I$90,IF(BN46&lt;Bewertung_Stammdaten!J$91,Bewertung_Stammdaten!I$91,IF(BN46&lt;Bewertung_Stammdaten!J$92,Bewertung_Stammdaten!I$92,IF(BN46&lt;Bewertung_Stammdaten!J$93,Bewertung_Stammdaten!I$93,IF(BN46&lt;Bewertung_Stammdaten!J$94,Bewertung_Stammdaten!I$94,IF(BN46&lt;Bewertung_Stammdaten!J$95,Bewertung_Stammdaten!I$95,IF(BN46&lt;Bewertung_Stammdaten!J$96,Bewertung_Stammdaten!I$96,IF(BN46&lt;Bewertung_Stammdaten!J$97,Bewertung_Stammdaten!I$97,IF(BN46&lt;Bewertung_Stammdaten!J$98,Bewertung_Stammdaten!I$98,Bewertung_Stammdaten!I$99)))))))))</f>
        <v>4</v>
      </c>
    </row>
    <row r="47" spans="1:69" x14ac:dyDescent="0.25">
      <c r="A47" s="38" t="s">
        <v>83</v>
      </c>
      <c r="B47" s="38" t="s">
        <v>84</v>
      </c>
      <c r="C47" s="38" t="s">
        <v>295</v>
      </c>
      <c r="D47" s="32">
        <f t="shared" ca="1" si="11"/>
        <v>165.5</v>
      </c>
      <c r="E47" s="43"/>
      <c r="F47" s="66">
        <v>1</v>
      </c>
      <c r="G47" s="11">
        <f ca="1">VLOOKUP(A47,KGV!A$3:R$103,17,FALSE)</f>
        <v>26.52268570930941</v>
      </c>
      <c r="H47" s="11">
        <f>VLOOKUP(A47,KGV!A$3:R$103,16,FALSE)</f>
        <v>21.48076923076923</v>
      </c>
      <c r="I47" s="12">
        <f ca="1">VLOOKUP(A47,KGV!A$3:R$103,18,FALSE)</f>
        <v>0.23471768745218391</v>
      </c>
      <c r="J47" s="16">
        <f t="shared" ca="1" si="12"/>
        <v>27.065547697511651</v>
      </c>
      <c r="K47" s="12">
        <f t="shared" ca="1" si="13"/>
        <v>0.25998968690295965</v>
      </c>
      <c r="L47" s="11">
        <f ca="1">VLOOKUP(A47,KBV!A$3:R$103,17,FALSE)</f>
        <v>4.1586673038847541</v>
      </c>
      <c r="M47" s="11">
        <f>VLOOKUP(A47,KBV!A$3:R$103,16,FALSE)</f>
        <v>3.1540638900121309</v>
      </c>
      <c r="N47" s="12">
        <f ca="1">VLOOKUP(A47,KBV!A$3:R$103,18,FALSE)</f>
        <v>0.31851080032140988</v>
      </c>
      <c r="O47" s="16">
        <f t="shared" ca="1" si="9"/>
        <v>4.6692321639133967</v>
      </c>
      <c r="P47" s="12">
        <f t="shared" ca="1" si="10"/>
        <v>0.48038604376382432</v>
      </c>
      <c r="Q47" s="32">
        <f ca="1">IF(F47=1,IF(I47&lt;Bewertung_Stammdaten!B$12,Bewertung_Stammdaten!A$12,IF(I47&lt;Bewertung_Stammdaten!B$13,Bewertung_Stammdaten!A$13,IF(I47&lt;Bewertung_Stammdaten!B$14,Bewertung_Stammdaten!A$14,IF(I47&lt;Bewertung_Stammdaten!B$15,Bewertung_Stammdaten!A$15,IF(I47&lt;Bewertung_Stammdaten!B$16,Bewertung_Stammdaten!A$16,IF(I47&lt;Bewertung_Stammdaten!B$17,Bewertung_Stammdaten!A$17,IF(I47&lt;Bewertung_Stammdaten!B$18,Bewertung_Stammdaten!A$18,IF(I47&lt;Bewertung_Stammdaten!B$19,Bewertung_Stammdaten!A$19,IF(I47&lt;Bewertung_Stammdaten!B$20,Bewertung_Stammdaten!A$20,Bewertung_Stammdaten!A$21))))))))),IF(N47&lt;Bewertung_Stammdaten!C$12,Bewertung_Stammdaten!A$12,IF(N47&lt;Bewertung_Stammdaten!C$13,Bewertung_Stammdaten!A$13,IF(N47&lt;Bewertung_Stammdaten!C$14,Bewertung_Stammdaten!A$14,IF(N47&lt;Bewertung_Stammdaten!C$15,Bewertung_Stammdaten!A$15,IF(N47&lt;Bewertung_Stammdaten!C$16,Bewertung_Stammdaten!A$16,IF(N47&lt;Bewertung_Stammdaten!C$17,Bewertung_Stammdaten!A$17,IF(N47&lt;Bewertung_Stammdaten!C$18,Bewertung_Stammdaten!A$18,IF(N47&lt;Bewertung_Stammdaten!C$19,Bewertung_Stammdaten!A$19,IF(N47&lt;Bewertung_Stammdaten!C$20,Bewertung_Stammdaten!A$20,Bewertung_Stammdaten!A$21))))))))))</f>
        <v>12</v>
      </c>
      <c r="R47" s="32">
        <f ca="1">IF(F47=1,IF(K47&lt;Bewertung_Stammdaten!F$12,Bewertung_Stammdaten!E$12,IF(K47&lt;Bewertung_Stammdaten!F$13,Bewertung_Stammdaten!E$13,IF(K47&lt;Bewertung_Stammdaten!F$14,Bewertung_Stammdaten!E$14,IF(K47&lt;Bewertung_Stammdaten!F$15,Bewertung_Stammdaten!E$15,IF(K47&lt;Bewertung_Stammdaten!F$16,Bewertung_Stammdaten!E$16,IF(K47&lt;Bewertung_Stammdaten!F$17,Bewertung_Stammdaten!E$17,IF(K47&lt;Bewertung_Stammdaten!F$18,Bewertung_Stammdaten!E$18,IF(K47&lt;Bewertung_Stammdaten!F$19,Bewertung_Stammdaten!E$19,IF(K47&lt;Bewertung_Stammdaten!F$20,Bewertung_Stammdaten!E$20,Bewertung_Stammdaten!E$21))))))))),IF(P47&lt;Bewertung_Stammdaten!G$12,Bewertung_Stammdaten!E$12,IF(P47&lt;Bewertung_Stammdaten!G$13,Bewertung_Stammdaten!E$13,IF(P47&lt;Bewertung_Stammdaten!G$14,Bewertung_Stammdaten!E$14,IF(P47&lt;Bewertung_Stammdaten!G$15,Bewertung_Stammdaten!E$15,IF(P47&lt;Bewertung_Stammdaten!G$16,Bewertung_Stammdaten!E$16,IF(P47&lt;Bewertung_Stammdaten!G$17,Bewertung_Stammdaten!E$17,IF(P47&lt;Bewertung_Stammdaten!G$18,Bewertung_Stammdaten!E$18,IF(P47&lt;Bewertung_Stammdaten!G$19,Bewertung_Stammdaten!E$19,IF(P47&lt;Bewertung_Stammdaten!G$20,Bewertung_Stammdaten!E$20,Bewertung_Stammdaten!E$21))))))))))</f>
        <v>10</v>
      </c>
      <c r="S47" s="43"/>
      <c r="T47" s="11">
        <f ca="1">VLOOKUP(A47,Buchwert_je_Aktie!A$3:AK$103,23,FALSE)</f>
        <v>40.68611111111111</v>
      </c>
      <c r="U47" s="11">
        <f>VLOOKUP(A47,Buchwert_je_Aktie!A$3:AK$103,19,FALSE)</f>
        <v>30.805384615384618</v>
      </c>
      <c r="V47" s="12">
        <f ca="1">VLOOKUP(A47,Buchwert_je_Aktie!A$3:AK$103,24,FALSE)</f>
        <v>0.32074673369901463</v>
      </c>
      <c r="W47" s="12">
        <f>VLOOKUP(A47,Buchwert_je_Aktie!A$3:AK$103,37,FALSE)</f>
        <v>-0.10934664246823955</v>
      </c>
      <c r="X47" s="16">
        <f t="shared" ca="1" si="14"/>
        <v>36.237221466021374</v>
      </c>
      <c r="Y47" s="12">
        <f t="shared" ca="1" si="15"/>
        <v>0.17632751281813319</v>
      </c>
      <c r="Z47" s="51">
        <f ca="1">IF(V47&lt;Bewertung_Stammdaten!B$25,Bewertung_Stammdaten!A$25,IF(V47&lt;Bewertung_Stammdaten!B$26,Bewertung_Stammdaten!A$26,IF(V47&lt;Bewertung_Stammdaten!B$27,Bewertung_Stammdaten!A$27,IF(V47&lt;Bewertung_Stammdaten!B$28,Bewertung_Stammdaten!A$28,IF(V47&lt;Bewertung_Stammdaten!B$29,Bewertung_Stammdaten!A$29,IF(V47&lt;Bewertung_Stammdaten!B$30,Bewertung_Stammdaten!A$30,IF(V47&lt;Bewertung_Stammdaten!B$31,Bewertung_Stammdaten!A$31,IF(V47&lt;Bewertung_Stammdaten!B$32,Bewertung_Stammdaten!A$32,IF(V47&lt;Bewertung_Stammdaten!B$33,Bewertung_Stammdaten!A$33,Bewertung_Stammdaten!A$34)))))))))</f>
        <v>9</v>
      </c>
      <c r="AA47" s="51">
        <f>IF(W47&lt;Bewertung_Stammdaten!F$25,Bewertung_Stammdaten!E$25,IF(W47&lt;Bewertung_Stammdaten!F$26,Bewertung_Stammdaten!E$26,IF(W47&lt;Bewertung_Stammdaten!F$27,Bewertung_Stammdaten!E$27,IF(W47&lt;Bewertung_Stammdaten!F$28,Bewertung_Stammdaten!E$28,IF(W47&lt;Bewertung_Stammdaten!F$29,Bewertung_Stammdaten!E$29,IF(W47&lt;Bewertung_Stammdaten!F$30,Bewertung_Stammdaten!E$30,IF(W47&lt;Bewertung_Stammdaten!F$31,Bewertung_Stammdaten!E$31,IF(W47&lt;Bewertung_Stammdaten!F$32,Bewertung_Stammdaten!E$32,IF(W47&lt;Bewertung_Stammdaten!F$33,Bewertung_Stammdaten!E$33,Bewertung_Stammdaten!E$34)))))))))</f>
        <v>7.5</v>
      </c>
      <c r="AB47" s="51">
        <f ca="1">IF(Y47&lt;Bewertung_Stammdaten!J$25,Bewertung_Stammdaten!I$25,IF(Y47&lt;Bewertung_Stammdaten!J$26,Bewertung_Stammdaten!I$26,IF(Y47&lt;Bewertung_Stammdaten!J$27,Bewertung_Stammdaten!I$27,IF(Y47&lt;Bewertung_Stammdaten!J$28,Bewertung_Stammdaten!I$28,IF(Y47&lt;Bewertung_Stammdaten!J$29,Bewertung_Stammdaten!I$29,IF(Y47&lt;Bewertung_Stammdaten!J$30,Bewertung_Stammdaten!I$30,IF(Y47&lt;Bewertung_Stammdaten!J$31,Bewertung_Stammdaten!I$31,IF(Y47&lt;Bewertung_Stammdaten!J$32,Bewertung_Stammdaten!I$32,IF(Y47&lt;Bewertung_Stammdaten!J$33,Bewertung_Stammdaten!I$33,Bewertung_Stammdaten!I$34)))))))))</f>
        <v>4</v>
      </c>
      <c r="AC47" s="43"/>
      <c r="AD47" s="14">
        <f ca="1">VLOOKUP(A47,Ergebnis_je_Aktie_verwässert!A$3:AK$103,23,FALSE)</f>
        <v>6.3794444444444451</v>
      </c>
      <c r="AE47" s="14">
        <f>VLOOKUP(A47,Ergebnis_je_Aktie_verwässert!A$3:AK$103,19,FALSE)</f>
        <v>4.592307692307692</v>
      </c>
      <c r="AF47" s="12">
        <f ca="1">VLOOKUP(A47,Ergebnis_je_Aktie_verwässert!A$3:AK$103,24,FALSE)</f>
        <v>0.38915875674669675</v>
      </c>
      <c r="AG47" s="40">
        <f>VLOOKUP(A47,Ergebnis_je_Aktie_verwässert!A$3:AK$103,37,FALSE)</f>
        <v>-2.0057306590257951E-2</v>
      </c>
      <c r="AH47" s="16">
        <f t="shared" ca="1" si="16"/>
        <v>6.2514899713467047</v>
      </c>
      <c r="AI47" s="12">
        <f t="shared" ca="1" si="17"/>
        <v>0.36129597366008648</v>
      </c>
      <c r="AJ47" s="32">
        <f ca="1">IF(AF47&lt;Bewertung_Stammdaten!B$38,Bewertung_Stammdaten!A$38,IF(AF47&lt;Bewertung_Stammdaten!B$39,Bewertung_Stammdaten!A$39,IF(AF47&lt;Bewertung_Stammdaten!B$40,Bewertung_Stammdaten!A$40,IF(AF47&lt;Bewertung_Stammdaten!B$41,Bewertung_Stammdaten!A$41,IF(AF47&lt;Bewertung_Stammdaten!B$42,Bewertung_Stammdaten!A$42,IF(AF47&lt;Bewertung_Stammdaten!B$43,Bewertung_Stammdaten!A$43,IF(AF47&lt;Bewertung_Stammdaten!B$44,Bewertung_Stammdaten!A$44,IF(AF47&lt;Bewertung_Stammdaten!B$45,Bewertung_Stammdaten!A$45,IF(AF47&lt;Bewertung_Stammdaten!B$46,Bewertung_Stammdaten!A$46,Bewertung_Stammdaten!A$47)))))))))</f>
        <v>14</v>
      </c>
      <c r="AK47" s="32">
        <f>IF(AG47&lt;Bewertung_Stammdaten!F$38,Bewertung_Stammdaten!E$38,IF(AG47&lt;Bewertung_Stammdaten!F$39,Bewertung_Stammdaten!E$39,IF(AG47&lt;Bewertung_Stammdaten!F$40,Bewertung_Stammdaten!E$40,IF(AG47&lt;Bewertung_Stammdaten!F$41,Bewertung_Stammdaten!E$41,IF(AG47&lt;Bewertung_Stammdaten!F$42,Bewertung_Stammdaten!E$42,IF(AG47&lt;Bewertung_Stammdaten!F$43,Bewertung_Stammdaten!E$43,IF(AG47&lt;Bewertung_Stammdaten!F$44,Bewertung_Stammdaten!E$44,IF(AG47&lt;Bewertung_Stammdaten!F$45,Bewertung_Stammdaten!E$45,IF(AG47&lt;Bewertung_Stammdaten!F$46,Bewertung_Stammdaten!E$46,Bewertung_Stammdaten!E$47)))))))))</f>
        <v>10.5</v>
      </c>
      <c r="AL47" s="32">
        <f ca="1">IF(AI47&lt;Bewertung_Stammdaten!J$38,Bewertung_Stammdaten!I$38,IF(AI47&lt;Bewertung_Stammdaten!J$39,Bewertung_Stammdaten!I$39,IF(AI47&lt;Bewertung_Stammdaten!J$40,Bewertung_Stammdaten!I$40,IF(AI47&lt;Bewertung_Stammdaten!J$41,Bewertung_Stammdaten!I$41,IF(AI47&lt;Bewertung_Stammdaten!J$42,Bewertung_Stammdaten!I$42,IF(AI47&lt;Bewertung_Stammdaten!J$43,Bewertung_Stammdaten!I$43,IF(AI47&lt;Bewertung_Stammdaten!J$44,Bewertung_Stammdaten!I$44,IF(AI47&lt;Bewertung_Stammdaten!J$45,Bewertung_Stammdaten!I$45,IF(AI47&lt;Bewertung_Stammdaten!J$46,Bewertung_Stammdaten!I$46,Bewertung_Stammdaten!I$47)))))))))</f>
        <v>8</v>
      </c>
      <c r="AM47" s="43"/>
      <c r="AN47" s="14">
        <f ca="1">VLOOKUP(A47,Dividende_je_Aktie!A$3:AM$103,24,FALSE)</f>
        <v>3.1948888888888893</v>
      </c>
      <c r="AO47" s="14">
        <f>VLOOKUP(A47,Dividende_je_Aktie!A$3:AM$103,20,FALSE)</f>
        <v>2.0557142857142856</v>
      </c>
      <c r="AP47" s="12">
        <f ca="1">VLOOKUP(A47,Dividende_je_Aktie!A$3:AM$103,25,FALSE)</f>
        <v>0.55415025866728462</v>
      </c>
      <c r="AQ47" s="40">
        <f>VLOOKUP(A47,Dividende_je_Aktie!A$3:AM$103,39,FALSE)</f>
        <v>4.1666666666666741E-2</v>
      </c>
      <c r="AR47" s="16">
        <f t="shared" ca="1" si="18"/>
        <v>3.1948888888888893</v>
      </c>
      <c r="AS47" s="12">
        <f t="shared" ca="1" si="19"/>
        <v>0.55415025866728462</v>
      </c>
      <c r="AT47" s="32">
        <f ca="1">IF(AP47&lt;Bewertung_Stammdaten!B$51,Bewertung_Stammdaten!A$51,IF(AP47&lt;Bewertung_Stammdaten!B$52,Bewertung_Stammdaten!A$52,IF(AP47&lt;Bewertung_Stammdaten!B$53,Bewertung_Stammdaten!A$53,IF(AP47&lt;Bewertung_Stammdaten!B$54,Bewertung_Stammdaten!A$54,IF(AP47&lt;Bewertung_Stammdaten!B$55,Bewertung_Stammdaten!A$55,IF(AP47&lt;Bewertung_Stammdaten!B$56,Bewertung_Stammdaten!A$56,IF(AP47&lt;Bewertung_Stammdaten!B$57,Bewertung_Stammdaten!A$57,IF(AP47&lt;Bewertung_Stammdaten!B$58,Bewertung_Stammdaten!A$58,IF(AP47&lt;Bewertung_Stammdaten!B$59,Bewertung_Stammdaten!A$59,Bewertung_Stammdaten!A$60)))))))))</f>
        <v>16</v>
      </c>
      <c r="AU47" s="32">
        <f>IF(AQ47&lt;Bewertung_Stammdaten!F$51,Bewertung_Stammdaten!E$51,IF(AQ47&lt;Bewertung_Stammdaten!F$52,Bewertung_Stammdaten!E$52,IF(AQ47&lt;Bewertung_Stammdaten!F$53,Bewertung_Stammdaten!E$53,IF(AQ47&lt;Bewertung_Stammdaten!F$54,Bewertung_Stammdaten!E$54,IF(AQ47&lt;Bewertung_Stammdaten!F$55,Bewertung_Stammdaten!E$55,IF(AQ47&lt;Bewertung_Stammdaten!F$56,Bewertung_Stammdaten!E$56,IF(AQ47&lt;Bewertung_Stammdaten!F$57,Bewertung_Stammdaten!E$57,IF(AQ47&lt;Bewertung_Stammdaten!F$58,Bewertung_Stammdaten!E$58,IF(AQ47&lt;Bewertung_Stammdaten!F$59,Bewertung_Stammdaten!E$59,Bewertung_Stammdaten!E$60)))))))))</f>
        <v>12</v>
      </c>
      <c r="AV47" s="32">
        <f ca="1">IF(AS47&lt;Bewertung_Stammdaten!J$51,Bewertung_Stammdaten!I$51,IF(AS47&lt;Bewertung_Stammdaten!J$52,Bewertung_Stammdaten!I$52,IF(AS47&lt;Bewertung_Stammdaten!J$53,Bewertung_Stammdaten!I$53,IF(AS47&lt;Bewertung_Stammdaten!J$54,Bewertung_Stammdaten!I$54,IF(AS47&lt;Bewertung_Stammdaten!J$55,Bewertung_Stammdaten!I$55,IF(AS47&lt;Bewertung_Stammdaten!J$56,Bewertung_Stammdaten!I$56,IF(AS47&lt;Bewertung_Stammdaten!J$57,Bewertung_Stammdaten!I$57,IF(AS47&lt;Bewertung_Stammdaten!J$58,Bewertung_Stammdaten!I$58,IF(AS47&lt;Bewertung_Stammdaten!J$59,Bewertung_Stammdaten!I$59,Bewertung_Stammdaten!I$60)))))))))</f>
        <v>10</v>
      </c>
      <c r="AW47" s="43"/>
      <c r="AX47" s="12">
        <f ca="1">VLOOKUP(A47,Dividendenrendite!A$3:R$103,17,FALSE)</f>
        <v>1.888232203835041E-2</v>
      </c>
      <c r="AY47" s="12">
        <f>VLOOKUP(A47,Dividendenrendite!A$3:R$103,16,FALSE)</f>
        <v>1.9093388704451784E-2</v>
      </c>
      <c r="AZ47" s="12">
        <f ca="1">VLOOKUP(A47,Dividendenrendite!A$3:R$103,18,FALSE)</f>
        <v>-1.1054437186006849E-2</v>
      </c>
      <c r="BA47" s="32">
        <f ca="1">IF(AX47&lt;Bewertung_Stammdaten!B$64,Bewertung_Stammdaten!A$64,IF(AX47&lt;Bewertung_Stammdaten!B$65,Bewertung_Stammdaten!A$65,IF(AX47&lt;Bewertung_Stammdaten!B$66,Bewertung_Stammdaten!A$66,IF(AX47&lt;Bewertung_Stammdaten!B$67,Bewertung_Stammdaten!A$67,IF(AX47&lt;Bewertung_Stammdaten!B$68,Bewertung_Stammdaten!A$68,IF(AX47&lt;Bewertung_Stammdaten!B$69,Bewertung_Stammdaten!A$69,IF(AX47&lt;Bewertung_Stammdaten!B$70,Bewertung_Stammdaten!A$70,IF(AX47&lt;Bewertung_Stammdaten!B$71,Bewertung_Stammdaten!A$71,IF(AX47&lt;Bewertung_Stammdaten!B$72,Bewertung_Stammdaten!A$72,Bewertung_Stammdaten!A$73)))))))))</f>
        <v>6</v>
      </c>
      <c r="BB47" s="32">
        <f>IF(AY47&lt;Bewertung_Stammdaten!F$64,Bewertung_Stammdaten!E$64,IF(AY47&lt;Bewertung_Stammdaten!F$65,Bewertung_Stammdaten!E$65,IF(AY47&lt;Bewertung_Stammdaten!F$66,Bewertung_Stammdaten!E$66,IF(AY47&lt;Bewertung_Stammdaten!F$67,Bewertung_Stammdaten!E$67,IF(AY47&lt;Bewertung_Stammdaten!F$68,Bewertung_Stammdaten!E$68,IF(AY47&lt;Bewertung_Stammdaten!F$69,Bewertung_Stammdaten!E$69,IF(AY47&lt;Bewertung_Stammdaten!F$70,Bewertung_Stammdaten!E$70,IF(AY47&lt;Bewertung_Stammdaten!F$71,Bewertung_Stammdaten!E$71,IF(AY47&lt;Bewertung_Stammdaten!F$72,Bewertung_Stammdaten!E$72,Bewertung_Stammdaten!E$73)))))))))</f>
        <v>4</v>
      </c>
      <c r="BC47" s="32">
        <f ca="1">IF(AZ47&lt;Bewertung_Stammdaten!J$64,Bewertung_Stammdaten!I$64,IF(AZ47&lt;Bewertung_Stammdaten!J$65,Bewertung_Stammdaten!I$65,IF(AZ47&lt;Bewertung_Stammdaten!J$66,Bewertung_Stammdaten!I$66,IF(AZ47&lt;Bewertung_Stammdaten!J$67,Bewertung_Stammdaten!I$67,IF(AZ47&lt;Bewertung_Stammdaten!J$68,Bewertung_Stammdaten!I$68,IF(AZ47&lt;Bewertung_Stammdaten!J$69,Bewertung_Stammdaten!I$69,IF(AZ47&lt;Bewertung_Stammdaten!J$70,Bewertung_Stammdaten!I$70,IF(AZ47&lt;Bewertung_Stammdaten!J$71,Bewertung_Stammdaten!I$71,IF(AZ47&lt;Bewertung_Stammdaten!J$72,Bewertung_Stammdaten!I$72,Bewertung_Stammdaten!I$73)))))))))</f>
        <v>2.5</v>
      </c>
      <c r="BD47" s="43"/>
      <c r="BE47" s="12">
        <f>VLOOKUP(A47,Aktien_im_Umlauf_splitbereinigt!A$3:Z$103,26,FALSE)</f>
        <v>-7.3725037134840687E-2</v>
      </c>
      <c r="BF47" s="12">
        <f>VLOOKUP(A47,Aktien_im_Umlauf_splitbereinigt!A$3:Y$103,24,FALSE)</f>
        <v>-1.7333846016322832E-2</v>
      </c>
      <c r="BG47" s="12">
        <f>VLOOKUP(A47,Aktien_im_Umlauf_splitbereinigt!A$3:Y$103,25,FALSE)</f>
        <v>3.2532417252014199</v>
      </c>
      <c r="BH47" s="41">
        <f>IF(BE47&lt;Bewertung_Stammdaten!B$77,Bewertung_Stammdaten!A$77,IF(BE47&lt;Bewertung_Stammdaten!B$78,Bewertung_Stammdaten!A$78,IF(BE47&lt;Bewertung_Stammdaten!B$79,Bewertung_Stammdaten!A$79,IF(BE47&lt;Bewertung_Stammdaten!B$80,Bewertung_Stammdaten!A$80,IF(BE47&lt;Bewertung_Stammdaten!B$81,Bewertung_Stammdaten!A$81,IF(BE47&lt;Bewertung_Stammdaten!B$82,Bewertung_Stammdaten!A$82,IF(BE47&lt;Bewertung_Stammdaten!B$83,Bewertung_Stammdaten!A$83,IF(BE47&lt;Bewertung_Stammdaten!B$84,Bewertung_Stammdaten!A$84,IF(BE47&lt;Bewertung_Stammdaten!B$85,Bewertung_Stammdaten!A$85,Bewertung_Stammdaten!A$86)))))))))</f>
        <v>10</v>
      </c>
      <c r="BI47" s="41">
        <f>IF(BF47&lt;Bewertung_Stammdaten!F$77,Bewertung_Stammdaten!E$77,IF(BF47&lt;Bewertung_Stammdaten!F$78,Bewertung_Stammdaten!E$78,IF(BF47&lt;Bewertung_Stammdaten!F$79,Bewertung_Stammdaten!E$79,IF(BF47&lt;Bewertung_Stammdaten!F$80,Bewertung_Stammdaten!E$80,IF(BF47&lt;Bewertung_Stammdaten!F$81,Bewertung_Stammdaten!E$81,IF(BF47&lt;Bewertung_Stammdaten!F$82,Bewertung_Stammdaten!E$82,IF(BF47&lt;Bewertung_Stammdaten!F$83,Bewertung_Stammdaten!E$83,IF(BF47&lt;Bewertung_Stammdaten!F$84,Bewertung_Stammdaten!E$84,IF(BF47&lt;Bewertung_Stammdaten!F$85,Bewertung_Stammdaten!E$85,Bewertung_Stammdaten!E$86)))))))))</f>
        <v>6</v>
      </c>
      <c r="BJ47" s="41">
        <f>IF(BG47&lt;Bewertung_Stammdaten!J$77,Bewertung_Stammdaten!I$77,IF(BG47&lt;Bewertung_Stammdaten!J$78,Bewertung_Stammdaten!I$78,IF(BG47&lt;Bewertung_Stammdaten!J$79,Bewertung_Stammdaten!I$79,IF(BG47&lt;Bewertung_Stammdaten!J$80,Bewertung_Stammdaten!I$80,IF(BG47&lt;Bewertung_Stammdaten!J$81,Bewertung_Stammdaten!I$81,IF(BG47&lt;Bewertung_Stammdaten!J$82,Bewertung_Stammdaten!I$82,IF(BG47&lt;Bewertung_Stammdaten!J$83,Bewertung_Stammdaten!I$83,IF(BG47&lt;Bewertung_Stammdaten!J$84,Bewertung_Stammdaten!I$84,IF(BG47&lt;Bewertung_Stammdaten!J$85,Bewertung_Stammdaten!I$85,Bewertung_Stammdaten!I$86)))))))))</f>
        <v>5</v>
      </c>
      <c r="BK47" s="43"/>
      <c r="BL47" s="12">
        <f ca="1">VLOOKUP(A47,Ausschüttungsquote!A$3:X$103,23,FALSE)</f>
        <v>0.50073033068202144</v>
      </c>
      <c r="BM47" s="12">
        <f>VLOOKUP(A47,Ausschüttungsquote!A$3:X$103,19,FALSE)</f>
        <v>0.45602635681847264</v>
      </c>
      <c r="BN47" s="12">
        <f ca="1">VLOOKUP(A47,Ausschüttungsquote!A$3:X$103,24,FALSE)</f>
        <v>9.8029364301291499E-2</v>
      </c>
      <c r="BO47" s="32">
        <f ca="1">IF(BL47&lt;Bewertung_Stammdaten!B$90,Bewertung_Stammdaten!A$90,IF(BL47&lt;Bewertung_Stammdaten!B$91,Bewertung_Stammdaten!A$91,IF(BL47&lt;Bewertung_Stammdaten!B$92,Bewertung_Stammdaten!A$92,IF(BL47&lt;Bewertung_Stammdaten!B$93,Bewertung_Stammdaten!A$93,IF(BL47&lt;Bewertung_Stammdaten!B$94,Bewertung_Stammdaten!A$94,IF(BL47&lt;Bewertung_Stammdaten!B$95,Bewertung_Stammdaten!A$95,IF(BL47&lt;Bewertung_Stammdaten!B$96,Bewertung_Stammdaten!A$96,IF(BL47&lt;Bewertung_Stammdaten!B$97,Bewertung_Stammdaten!A$97,IF(BL47&lt;Bewertung_Stammdaten!B$98,Bewertung_Stammdaten!A$98,Bewertung_Stammdaten!A$99)))))))))</f>
        <v>7</v>
      </c>
      <c r="BP47" s="41">
        <f>IF(BM47&lt;Bewertung_Stammdaten!F$90,Bewertung_Stammdaten!E$90,IF(BM47&lt;Bewertung_Stammdaten!F$91,Bewertung_Stammdaten!E$91,IF(BM47&lt;Bewertung_Stammdaten!F$92,Bewertung_Stammdaten!E$92,IF(BM47&lt;Bewertung_Stammdaten!F$93,Bewertung_Stammdaten!E$93,IF(BM47&lt;Bewertung_Stammdaten!F$94,Bewertung_Stammdaten!E$94,IF(BM47&lt;Bewertung_Stammdaten!F$95,Bewertung_Stammdaten!E$95,IF(BM47&lt;Bewertung_Stammdaten!F$96,Bewertung_Stammdaten!E$96,IF(BM47&lt;Bewertung_Stammdaten!F$97,Bewertung_Stammdaten!E$97,IF(BM47&lt;Bewertung_Stammdaten!F$98,Bewertung_Stammdaten!E$98,Bewertung_Stammdaten!E$99)))))))))</f>
        <v>8</v>
      </c>
      <c r="BQ47" s="32">
        <f ca="1">IF(BN47&lt;Bewertung_Stammdaten!J$90,Bewertung_Stammdaten!I$90,IF(BN47&lt;Bewertung_Stammdaten!J$91,Bewertung_Stammdaten!I$91,IF(BN47&lt;Bewertung_Stammdaten!J$92,Bewertung_Stammdaten!I$92,IF(BN47&lt;Bewertung_Stammdaten!J$93,Bewertung_Stammdaten!I$93,IF(BN47&lt;Bewertung_Stammdaten!J$94,Bewertung_Stammdaten!I$94,IF(BN47&lt;Bewertung_Stammdaten!J$95,Bewertung_Stammdaten!I$95,IF(BN47&lt;Bewertung_Stammdaten!J$96,Bewertung_Stammdaten!I$96,IF(BN47&lt;Bewertung_Stammdaten!J$97,Bewertung_Stammdaten!I$97,IF(BN47&lt;Bewertung_Stammdaten!J$98,Bewertung_Stammdaten!I$98,Bewertung_Stammdaten!I$99)))))))))</f>
        <v>4</v>
      </c>
    </row>
    <row r="48" spans="1:69" x14ac:dyDescent="0.25">
      <c r="A48" s="38" t="s">
        <v>85</v>
      </c>
      <c r="B48" s="38" t="s">
        <v>86</v>
      </c>
      <c r="C48" s="38" t="s">
        <v>295</v>
      </c>
      <c r="D48" s="32">
        <f t="shared" ca="1" si="11"/>
        <v>141.5</v>
      </c>
      <c r="E48" s="43"/>
      <c r="F48" s="66">
        <v>1</v>
      </c>
      <c r="G48" s="11">
        <f ca="1">VLOOKUP(A48,KGV!A$3:R$103,17,FALSE)</f>
        <v>19.839414476772884</v>
      </c>
      <c r="H48" s="11">
        <f>VLOOKUP(A48,KGV!A$3:R$103,16,FALSE)</f>
        <v>17.982005141388175</v>
      </c>
      <c r="I48" s="12">
        <f ca="1">VLOOKUP(A48,KGV!A$3:R$103,18,FALSE)</f>
        <v>0.10329267068829906</v>
      </c>
      <c r="J48" s="16">
        <f t="shared" ca="1" si="12"/>
        <v>26.690435303284389</v>
      </c>
      <c r="K48" s="12">
        <f t="shared" ca="1" si="13"/>
        <v>0.48428582315620106</v>
      </c>
      <c r="L48" s="11">
        <f ca="1">VLOOKUP(A48,KBV!A$3:R$103,17,FALSE)</f>
        <v>2.0619299628420222</v>
      </c>
      <c r="M48" s="11">
        <f>VLOOKUP(A48,KBV!A$3:R$103,16,FALSE)</f>
        <v>1.7594254937163374</v>
      </c>
      <c r="N48" s="12">
        <f ca="1">VLOOKUP(A48,KBV!A$3:R$103,18,FALSE)</f>
        <v>0.17193366255408815</v>
      </c>
      <c r="O48" s="16">
        <f t="shared" ca="1" si="9"/>
        <v>2.1207338532266613</v>
      </c>
      <c r="P48" s="12">
        <f t="shared" ca="1" si="10"/>
        <v>0.20535587372168407</v>
      </c>
      <c r="Q48" s="32">
        <f ca="1">IF(F48=1,IF(I48&lt;Bewertung_Stammdaten!B$12,Bewertung_Stammdaten!A$12,IF(I48&lt;Bewertung_Stammdaten!B$13,Bewertung_Stammdaten!A$13,IF(I48&lt;Bewertung_Stammdaten!B$14,Bewertung_Stammdaten!A$14,IF(I48&lt;Bewertung_Stammdaten!B$15,Bewertung_Stammdaten!A$15,IF(I48&lt;Bewertung_Stammdaten!B$16,Bewertung_Stammdaten!A$16,IF(I48&lt;Bewertung_Stammdaten!B$17,Bewertung_Stammdaten!A$17,IF(I48&lt;Bewertung_Stammdaten!B$18,Bewertung_Stammdaten!A$18,IF(I48&lt;Bewertung_Stammdaten!B$19,Bewertung_Stammdaten!A$19,IF(I48&lt;Bewertung_Stammdaten!B$20,Bewertung_Stammdaten!A$20,Bewertung_Stammdaten!A$21))))))))),IF(N48&lt;Bewertung_Stammdaten!C$12,Bewertung_Stammdaten!A$12,IF(N48&lt;Bewertung_Stammdaten!C$13,Bewertung_Stammdaten!A$13,IF(N48&lt;Bewertung_Stammdaten!C$14,Bewertung_Stammdaten!A$14,IF(N48&lt;Bewertung_Stammdaten!C$15,Bewertung_Stammdaten!A$15,IF(N48&lt;Bewertung_Stammdaten!C$16,Bewertung_Stammdaten!A$16,IF(N48&lt;Bewertung_Stammdaten!C$17,Bewertung_Stammdaten!A$17,IF(N48&lt;Bewertung_Stammdaten!C$18,Bewertung_Stammdaten!A$18,IF(N48&lt;Bewertung_Stammdaten!C$19,Bewertung_Stammdaten!A$19,IF(N48&lt;Bewertung_Stammdaten!C$20,Bewertung_Stammdaten!A$20,Bewertung_Stammdaten!A$21))))))))))</f>
        <v>24</v>
      </c>
      <c r="R48" s="32">
        <f ca="1">IF(F48=1,IF(K48&lt;Bewertung_Stammdaten!F$12,Bewertung_Stammdaten!E$12,IF(K48&lt;Bewertung_Stammdaten!F$13,Bewertung_Stammdaten!E$13,IF(K48&lt;Bewertung_Stammdaten!F$14,Bewertung_Stammdaten!E$14,IF(K48&lt;Bewertung_Stammdaten!F$15,Bewertung_Stammdaten!E$15,IF(K48&lt;Bewertung_Stammdaten!F$16,Bewertung_Stammdaten!E$16,IF(K48&lt;Bewertung_Stammdaten!F$17,Bewertung_Stammdaten!E$17,IF(K48&lt;Bewertung_Stammdaten!F$18,Bewertung_Stammdaten!E$18,IF(K48&lt;Bewertung_Stammdaten!F$19,Bewertung_Stammdaten!E$19,IF(K48&lt;Bewertung_Stammdaten!F$20,Bewertung_Stammdaten!E$20,Bewertung_Stammdaten!E$21))))))))),IF(P48&lt;Bewertung_Stammdaten!G$12,Bewertung_Stammdaten!E$12,IF(P48&lt;Bewertung_Stammdaten!G$13,Bewertung_Stammdaten!E$13,IF(P48&lt;Bewertung_Stammdaten!G$14,Bewertung_Stammdaten!E$14,IF(P48&lt;Bewertung_Stammdaten!G$15,Bewertung_Stammdaten!E$15,IF(P48&lt;Bewertung_Stammdaten!G$16,Bewertung_Stammdaten!E$16,IF(P48&lt;Bewertung_Stammdaten!G$17,Bewertung_Stammdaten!E$17,IF(P48&lt;Bewertung_Stammdaten!G$18,Bewertung_Stammdaten!E$18,IF(P48&lt;Bewertung_Stammdaten!G$19,Bewertung_Stammdaten!E$19,IF(P48&lt;Bewertung_Stammdaten!G$20,Bewertung_Stammdaten!E$20,Bewertung_Stammdaten!E$21))))))))))</f>
        <v>2.5</v>
      </c>
      <c r="S48" s="43"/>
      <c r="T48" s="11">
        <f ca="1">VLOOKUP(A48,Buchwert_je_Aktie!A$3:AK$103,23,FALSE)</f>
        <v>44.405000000000001</v>
      </c>
      <c r="U48" s="11">
        <f>VLOOKUP(A48,Buchwert_je_Aktie!A$3:AK$103,19,FALSE)</f>
        <v>39.752307692307696</v>
      </c>
      <c r="V48" s="12">
        <f ca="1">VLOOKUP(A48,Buchwert_je_Aktie!A$3:AK$103,24,FALSE)</f>
        <v>0.11704206819149343</v>
      </c>
      <c r="W48" s="12">
        <f>VLOOKUP(A48,Buchwert_je_Aktie!A$3:AK$103,37,FALSE)</f>
        <v>-2.7728085867620766E-2</v>
      </c>
      <c r="X48" s="16">
        <f t="shared" ca="1" si="14"/>
        <v>43.173734347048303</v>
      </c>
      <c r="Y48" s="12">
        <f t="shared" ca="1" si="15"/>
        <v>8.6068629806935082E-2</v>
      </c>
      <c r="Z48" s="51">
        <f ca="1">IF(V48&lt;Bewertung_Stammdaten!B$25,Bewertung_Stammdaten!A$25,IF(V48&lt;Bewertung_Stammdaten!B$26,Bewertung_Stammdaten!A$26,IF(V48&lt;Bewertung_Stammdaten!B$27,Bewertung_Stammdaten!A$27,IF(V48&lt;Bewertung_Stammdaten!B$28,Bewertung_Stammdaten!A$28,IF(V48&lt;Bewertung_Stammdaten!B$29,Bewertung_Stammdaten!A$29,IF(V48&lt;Bewertung_Stammdaten!B$30,Bewertung_Stammdaten!A$30,IF(V48&lt;Bewertung_Stammdaten!B$31,Bewertung_Stammdaten!A$31,IF(V48&lt;Bewertung_Stammdaten!B$32,Bewertung_Stammdaten!A$32,IF(V48&lt;Bewertung_Stammdaten!B$33,Bewertung_Stammdaten!A$33,Bewertung_Stammdaten!A$34)))))))))</f>
        <v>6</v>
      </c>
      <c r="AA48" s="51">
        <f>IF(W48&lt;Bewertung_Stammdaten!F$25,Bewertung_Stammdaten!E$25,IF(W48&lt;Bewertung_Stammdaten!F$26,Bewertung_Stammdaten!E$26,IF(W48&lt;Bewertung_Stammdaten!F$27,Bewertung_Stammdaten!E$27,IF(W48&lt;Bewertung_Stammdaten!F$28,Bewertung_Stammdaten!E$28,IF(W48&lt;Bewertung_Stammdaten!F$29,Bewertung_Stammdaten!E$29,IF(W48&lt;Bewertung_Stammdaten!F$30,Bewertung_Stammdaten!E$30,IF(W48&lt;Bewertung_Stammdaten!F$31,Bewertung_Stammdaten!E$31,IF(W48&lt;Bewertung_Stammdaten!F$32,Bewertung_Stammdaten!E$32,IF(W48&lt;Bewertung_Stammdaten!F$33,Bewertung_Stammdaten!E$33,Bewertung_Stammdaten!E$34)))))))))</f>
        <v>10.5</v>
      </c>
      <c r="AB48" s="51">
        <f ca="1">IF(Y48&lt;Bewertung_Stammdaten!J$25,Bewertung_Stammdaten!I$25,IF(Y48&lt;Bewertung_Stammdaten!J$26,Bewertung_Stammdaten!I$26,IF(Y48&lt;Bewertung_Stammdaten!J$27,Bewertung_Stammdaten!I$27,IF(Y48&lt;Bewertung_Stammdaten!J$28,Bewertung_Stammdaten!I$28,IF(Y48&lt;Bewertung_Stammdaten!J$29,Bewertung_Stammdaten!I$29,IF(Y48&lt;Bewertung_Stammdaten!J$30,Bewertung_Stammdaten!I$30,IF(Y48&lt;Bewertung_Stammdaten!J$31,Bewertung_Stammdaten!I$31,IF(Y48&lt;Bewertung_Stammdaten!J$32,Bewertung_Stammdaten!I$32,IF(Y48&lt;Bewertung_Stammdaten!J$33,Bewertung_Stammdaten!I$33,Bewertung_Stammdaten!I$34)))))))))</f>
        <v>3</v>
      </c>
      <c r="AC48" s="43"/>
      <c r="AD48" s="14">
        <f ca="1">VLOOKUP(A48,Ergebnis_je_Aktie_verwässert!A$3:AK$103,23,FALSE)</f>
        <v>4.6150555555555552</v>
      </c>
      <c r="AE48" s="14">
        <f>VLOOKUP(A48,Ergebnis_je_Aktie_verwässert!A$3:AK$103,19,FALSE)</f>
        <v>3.7253846153846153</v>
      </c>
      <c r="AF48" s="12">
        <f ca="1">VLOOKUP(A48,Ergebnis_je_Aktie_verwässert!A$3:AK$103,24,FALSE)</f>
        <v>0.23881317824121862</v>
      </c>
      <c r="AG48" s="40">
        <f>VLOOKUP(A48,Ergebnis_je_Aktie_verwässert!A$3:AK$103,37,FALSE)</f>
        <v>-0.25668449197860976</v>
      </c>
      <c r="AH48" s="16">
        <f t="shared" ca="1" si="16"/>
        <v>3.4304423648247169</v>
      </c>
      <c r="AI48" s="12">
        <f t="shared" ca="1" si="17"/>
        <v>-7.9170953072035477E-2</v>
      </c>
      <c r="AJ48" s="32">
        <f ca="1">IF(AF48&lt;Bewertung_Stammdaten!B$38,Bewertung_Stammdaten!A$38,IF(AF48&lt;Bewertung_Stammdaten!B$39,Bewertung_Stammdaten!A$39,IF(AF48&lt;Bewertung_Stammdaten!B$40,Bewertung_Stammdaten!A$40,IF(AF48&lt;Bewertung_Stammdaten!B$41,Bewertung_Stammdaten!A$41,IF(AF48&lt;Bewertung_Stammdaten!B$42,Bewertung_Stammdaten!A$42,IF(AF48&lt;Bewertung_Stammdaten!B$43,Bewertung_Stammdaten!A$43,IF(AF48&lt;Bewertung_Stammdaten!B$44,Bewertung_Stammdaten!A$44,IF(AF48&lt;Bewertung_Stammdaten!B$45,Bewertung_Stammdaten!A$45,IF(AF48&lt;Bewertung_Stammdaten!B$46,Bewertung_Stammdaten!A$46,Bewertung_Stammdaten!A$47)))))))))</f>
        <v>12</v>
      </c>
      <c r="AK48" s="32">
        <f>IF(AG48&lt;Bewertung_Stammdaten!F$38,Bewertung_Stammdaten!E$38,IF(AG48&lt;Bewertung_Stammdaten!F$39,Bewertung_Stammdaten!E$39,IF(AG48&lt;Bewertung_Stammdaten!F$40,Bewertung_Stammdaten!E$40,IF(AG48&lt;Bewertung_Stammdaten!F$41,Bewertung_Stammdaten!E$41,IF(AG48&lt;Bewertung_Stammdaten!F$42,Bewertung_Stammdaten!E$42,IF(AG48&lt;Bewertung_Stammdaten!F$43,Bewertung_Stammdaten!E$43,IF(AG48&lt;Bewertung_Stammdaten!F$44,Bewertung_Stammdaten!E$44,IF(AG48&lt;Bewertung_Stammdaten!F$45,Bewertung_Stammdaten!E$45,IF(AG48&lt;Bewertung_Stammdaten!F$46,Bewertung_Stammdaten!E$46,Bewertung_Stammdaten!E$47)))))))))</f>
        <v>7.5</v>
      </c>
      <c r="AL48" s="32">
        <f ca="1">IF(AI48&lt;Bewertung_Stammdaten!J$38,Bewertung_Stammdaten!I$38,IF(AI48&lt;Bewertung_Stammdaten!J$39,Bewertung_Stammdaten!I$39,IF(AI48&lt;Bewertung_Stammdaten!J$40,Bewertung_Stammdaten!I$40,IF(AI48&lt;Bewertung_Stammdaten!J$41,Bewertung_Stammdaten!I$41,IF(AI48&lt;Bewertung_Stammdaten!J$42,Bewertung_Stammdaten!I$42,IF(AI48&lt;Bewertung_Stammdaten!J$43,Bewertung_Stammdaten!I$43,IF(AI48&lt;Bewertung_Stammdaten!J$44,Bewertung_Stammdaten!I$44,IF(AI48&lt;Bewertung_Stammdaten!J$45,Bewertung_Stammdaten!I$45,IF(AI48&lt;Bewertung_Stammdaten!J$46,Bewertung_Stammdaten!I$46,Bewertung_Stammdaten!I$47)))))))))</f>
        <v>3</v>
      </c>
      <c r="AM48" s="43"/>
      <c r="AN48" s="14">
        <f ca="1">VLOOKUP(A48,Dividende_je_Aktie!A$3:AM$103,24,FALSE)</f>
        <v>3.0740555555555558</v>
      </c>
      <c r="AO48" s="14">
        <f>VLOOKUP(A48,Dividende_je_Aktie!A$3:AM$103,20,FALSE)</f>
        <v>2.3135714285714282</v>
      </c>
      <c r="AP48" s="12">
        <f ca="1">VLOOKUP(A48,Dividende_je_Aktie!A$3:AM$103,25,FALSE)</f>
        <v>0.32870570477856709</v>
      </c>
      <c r="AQ48" s="40">
        <f>VLOOKUP(A48,Dividende_je_Aktie!A$3:AM$103,39,FALSE)</f>
        <v>1.0830324909747224E-2</v>
      </c>
      <c r="AR48" s="16">
        <f t="shared" ca="1" si="18"/>
        <v>3.0740555555555558</v>
      </c>
      <c r="AS48" s="12">
        <f t="shared" ca="1" si="19"/>
        <v>0.32870570477856709</v>
      </c>
      <c r="AT48" s="32">
        <f ca="1">IF(AP48&lt;Bewertung_Stammdaten!B$51,Bewertung_Stammdaten!A$51,IF(AP48&lt;Bewertung_Stammdaten!B$52,Bewertung_Stammdaten!A$52,IF(AP48&lt;Bewertung_Stammdaten!B$53,Bewertung_Stammdaten!A$53,IF(AP48&lt;Bewertung_Stammdaten!B$54,Bewertung_Stammdaten!A$54,IF(AP48&lt;Bewertung_Stammdaten!B$55,Bewertung_Stammdaten!A$55,IF(AP48&lt;Bewertung_Stammdaten!B$56,Bewertung_Stammdaten!A$56,IF(AP48&lt;Bewertung_Stammdaten!B$57,Bewertung_Stammdaten!A$57,IF(AP48&lt;Bewertung_Stammdaten!B$58,Bewertung_Stammdaten!A$58,IF(AP48&lt;Bewertung_Stammdaten!B$59,Bewertung_Stammdaten!A$59,Bewertung_Stammdaten!A$60)))))))))</f>
        <v>12</v>
      </c>
      <c r="AU48" s="32">
        <f>IF(AQ48&lt;Bewertung_Stammdaten!F$51,Bewertung_Stammdaten!E$51,IF(AQ48&lt;Bewertung_Stammdaten!F$52,Bewertung_Stammdaten!E$52,IF(AQ48&lt;Bewertung_Stammdaten!F$53,Bewertung_Stammdaten!E$53,IF(AQ48&lt;Bewertung_Stammdaten!F$54,Bewertung_Stammdaten!E$54,IF(AQ48&lt;Bewertung_Stammdaten!F$55,Bewertung_Stammdaten!E$55,IF(AQ48&lt;Bewertung_Stammdaten!F$56,Bewertung_Stammdaten!E$56,IF(AQ48&lt;Bewertung_Stammdaten!F$57,Bewertung_Stammdaten!E$57,IF(AQ48&lt;Bewertung_Stammdaten!F$58,Bewertung_Stammdaten!E$58,IF(AQ48&lt;Bewertung_Stammdaten!F$59,Bewertung_Stammdaten!E$59,Bewertung_Stammdaten!E$60)))))))))</f>
        <v>12</v>
      </c>
      <c r="AV48" s="32">
        <f ca="1">IF(AS48&lt;Bewertung_Stammdaten!J$51,Bewertung_Stammdaten!I$51,IF(AS48&lt;Bewertung_Stammdaten!J$52,Bewertung_Stammdaten!I$52,IF(AS48&lt;Bewertung_Stammdaten!J$53,Bewertung_Stammdaten!I$53,IF(AS48&lt;Bewertung_Stammdaten!J$54,Bewertung_Stammdaten!I$54,IF(AS48&lt;Bewertung_Stammdaten!J$55,Bewertung_Stammdaten!I$55,IF(AS48&lt;Bewertung_Stammdaten!J$56,Bewertung_Stammdaten!I$56,IF(AS48&lt;Bewertung_Stammdaten!J$57,Bewertung_Stammdaten!I$57,IF(AS48&lt;Bewertung_Stammdaten!J$58,Bewertung_Stammdaten!I$58,IF(AS48&lt;Bewertung_Stammdaten!J$59,Bewertung_Stammdaten!I$59,Bewertung_Stammdaten!I$60)))))))))</f>
        <v>7</v>
      </c>
      <c r="AW48" s="43"/>
      <c r="AX48" s="12">
        <f ca="1">VLOOKUP(A48,Dividendenrendite!A$3:R$103,17,FALSE)</f>
        <v>3.3574219698072907E-2</v>
      </c>
      <c r="AY48" s="12">
        <f>VLOOKUP(A48,Dividendenrendite!A$3:R$103,16,FALSE)</f>
        <v>3.3883999304521115E-2</v>
      </c>
      <c r="AZ48" s="12">
        <f ca="1">VLOOKUP(A48,Dividendenrendite!A$3:R$103,18,FALSE)</f>
        <v>-9.1423566522996769E-3</v>
      </c>
      <c r="BA48" s="32">
        <f ca="1">IF(AX48&lt;Bewertung_Stammdaten!B$64,Bewertung_Stammdaten!A$64,IF(AX48&lt;Bewertung_Stammdaten!B$65,Bewertung_Stammdaten!A$65,IF(AX48&lt;Bewertung_Stammdaten!B$66,Bewertung_Stammdaten!A$66,IF(AX48&lt;Bewertung_Stammdaten!B$67,Bewertung_Stammdaten!A$67,IF(AX48&lt;Bewertung_Stammdaten!B$68,Bewertung_Stammdaten!A$68,IF(AX48&lt;Bewertung_Stammdaten!B$69,Bewertung_Stammdaten!A$69,IF(AX48&lt;Bewertung_Stammdaten!B$70,Bewertung_Stammdaten!A$70,IF(AX48&lt;Bewertung_Stammdaten!B$71,Bewertung_Stammdaten!A$71,IF(AX48&lt;Bewertung_Stammdaten!B$72,Bewertung_Stammdaten!A$72,Bewertung_Stammdaten!A$73)))))))))</f>
        <v>10.5</v>
      </c>
      <c r="BB48" s="32">
        <f>IF(AY48&lt;Bewertung_Stammdaten!F$64,Bewertung_Stammdaten!E$64,IF(AY48&lt;Bewertung_Stammdaten!F$65,Bewertung_Stammdaten!E$65,IF(AY48&lt;Bewertung_Stammdaten!F$66,Bewertung_Stammdaten!E$66,IF(AY48&lt;Bewertung_Stammdaten!F$67,Bewertung_Stammdaten!E$67,IF(AY48&lt;Bewertung_Stammdaten!F$68,Bewertung_Stammdaten!E$68,IF(AY48&lt;Bewertung_Stammdaten!F$69,Bewertung_Stammdaten!E$69,IF(AY48&lt;Bewertung_Stammdaten!F$70,Bewertung_Stammdaten!E$70,IF(AY48&lt;Bewertung_Stammdaten!F$71,Bewertung_Stammdaten!E$71,IF(AY48&lt;Bewertung_Stammdaten!F$72,Bewertung_Stammdaten!E$72,Bewertung_Stammdaten!E$73)))))))))</f>
        <v>7</v>
      </c>
      <c r="BC48" s="32">
        <f ca="1">IF(AZ48&lt;Bewertung_Stammdaten!J$64,Bewertung_Stammdaten!I$64,IF(AZ48&lt;Bewertung_Stammdaten!J$65,Bewertung_Stammdaten!I$65,IF(AZ48&lt;Bewertung_Stammdaten!J$66,Bewertung_Stammdaten!I$66,IF(AZ48&lt;Bewertung_Stammdaten!J$67,Bewertung_Stammdaten!I$67,IF(AZ48&lt;Bewertung_Stammdaten!J$68,Bewertung_Stammdaten!I$68,IF(AZ48&lt;Bewertung_Stammdaten!J$69,Bewertung_Stammdaten!I$69,IF(AZ48&lt;Bewertung_Stammdaten!J$70,Bewertung_Stammdaten!I$70,IF(AZ48&lt;Bewertung_Stammdaten!J$71,Bewertung_Stammdaten!I$71,IF(AZ48&lt;Bewertung_Stammdaten!J$72,Bewertung_Stammdaten!I$72,Bewertung_Stammdaten!I$73)))))))))</f>
        <v>2.5</v>
      </c>
      <c r="BD48" s="43"/>
      <c r="BE48" s="12">
        <f>VLOOKUP(A48,Aktien_im_Umlauf_splitbereinigt!A$3:Z$103,26,FALSE)</f>
        <v>-3.7764350453172169E-3</v>
      </c>
      <c r="BF48" s="12">
        <f>VLOOKUP(A48,Aktien_im_Umlauf_splitbereinigt!A$3:Y$103,24,FALSE)</f>
        <v>-6.1477062580079051E-3</v>
      </c>
      <c r="BG48" s="12">
        <f>VLOOKUP(A48,Aktien_im_Umlauf_splitbereinigt!A$3:Y$103,25,FALSE)</f>
        <v>-0.38571641408564505</v>
      </c>
      <c r="BH48" s="41">
        <f>IF(BE48&lt;Bewertung_Stammdaten!B$77,Bewertung_Stammdaten!A$77,IF(BE48&lt;Bewertung_Stammdaten!B$78,Bewertung_Stammdaten!A$78,IF(BE48&lt;Bewertung_Stammdaten!B$79,Bewertung_Stammdaten!A$79,IF(BE48&lt;Bewertung_Stammdaten!B$80,Bewertung_Stammdaten!A$80,IF(BE48&lt;Bewertung_Stammdaten!B$81,Bewertung_Stammdaten!A$81,IF(BE48&lt;Bewertung_Stammdaten!B$82,Bewertung_Stammdaten!A$82,IF(BE48&lt;Bewertung_Stammdaten!B$83,Bewertung_Stammdaten!A$83,IF(BE48&lt;Bewertung_Stammdaten!B$84,Bewertung_Stammdaten!A$84,IF(BE48&lt;Bewertung_Stammdaten!B$85,Bewertung_Stammdaten!A$85,Bewertung_Stammdaten!A$86)))))))))</f>
        <v>3</v>
      </c>
      <c r="BI48" s="41">
        <f>IF(BF48&lt;Bewertung_Stammdaten!F$77,Bewertung_Stammdaten!E$77,IF(BF48&lt;Bewertung_Stammdaten!F$78,Bewertung_Stammdaten!E$78,IF(BF48&lt;Bewertung_Stammdaten!F$79,Bewertung_Stammdaten!E$79,IF(BF48&lt;Bewertung_Stammdaten!F$80,Bewertung_Stammdaten!E$80,IF(BF48&lt;Bewertung_Stammdaten!F$81,Bewertung_Stammdaten!E$81,IF(BF48&lt;Bewertung_Stammdaten!F$82,Bewertung_Stammdaten!E$82,IF(BF48&lt;Bewertung_Stammdaten!F$83,Bewertung_Stammdaten!E$83,IF(BF48&lt;Bewertung_Stammdaten!F$84,Bewertung_Stammdaten!E$84,IF(BF48&lt;Bewertung_Stammdaten!F$85,Bewertung_Stammdaten!E$85,Bewertung_Stammdaten!E$86)))))))))</f>
        <v>4</v>
      </c>
      <c r="BJ48" s="41">
        <f>IF(BG48&lt;Bewertung_Stammdaten!J$77,Bewertung_Stammdaten!I$77,IF(BG48&lt;Bewertung_Stammdaten!J$78,Bewertung_Stammdaten!I$78,IF(BG48&lt;Bewertung_Stammdaten!J$79,Bewertung_Stammdaten!I$79,IF(BG48&lt;Bewertung_Stammdaten!J$80,Bewertung_Stammdaten!I$80,IF(BG48&lt;Bewertung_Stammdaten!J$81,Bewertung_Stammdaten!I$81,IF(BG48&lt;Bewertung_Stammdaten!J$82,Bewertung_Stammdaten!I$82,IF(BG48&lt;Bewertung_Stammdaten!J$83,Bewertung_Stammdaten!I$83,IF(BG48&lt;Bewertung_Stammdaten!J$84,Bewertung_Stammdaten!I$84,IF(BG48&lt;Bewertung_Stammdaten!J$85,Bewertung_Stammdaten!I$85,Bewertung_Stammdaten!I$86)))))))))</f>
        <v>2</v>
      </c>
      <c r="BK48" s="43"/>
      <c r="BL48" s="12">
        <f ca="1">VLOOKUP(A48,Ausschüttungsquote!A$3:X$103,23,FALSE)</f>
        <v>0.66633724145615658</v>
      </c>
      <c r="BM48" s="12">
        <f>VLOOKUP(A48,Ausschüttungsquote!A$3:X$103,19,FALSE)</f>
        <v>0.66086600459265088</v>
      </c>
      <c r="BN48" s="12">
        <f ca="1">VLOOKUP(A48,Ausschüttungsquote!A$3:X$103,24,FALSE)</f>
        <v>8.2788898588876947E-3</v>
      </c>
      <c r="BO48" s="32">
        <f ca="1">IF(BL48&lt;Bewertung_Stammdaten!B$90,Bewertung_Stammdaten!A$90,IF(BL48&lt;Bewertung_Stammdaten!B$91,Bewertung_Stammdaten!A$91,IF(BL48&lt;Bewertung_Stammdaten!B$92,Bewertung_Stammdaten!A$92,IF(BL48&lt;Bewertung_Stammdaten!B$93,Bewertung_Stammdaten!A$93,IF(BL48&lt;Bewertung_Stammdaten!B$94,Bewertung_Stammdaten!A$94,IF(BL48&lt;Bewertung_Stammdaten!B$95,Bewertung_Stammdaten!A$95,IF(BL48&lt;Bewertung_Stammdaten!B$96,Bewertung_Stammdaten!A$96,IF(BL48&lt;Bewertung_Stammdaten!B$97,Bewertung_Stammdaten!A$97,IF(BL48&lt;Bewertung_Stammdaten!B$98,Bewertung_Stammdaten!A$98,Bewertung_Stammdaten!A$99)))))))))</f>
        <v>4</v>
      </c>
      <c r="BP48" s="41">
        <f>IF(BM48&lt;Bewertung_Stammdaten!F$90,Bewertung_Stammdaten!E$90,IF(BM48&lt;Bewertung_Stammdaten!F$91,Bewertung_Stammdaten!E$91,IF(BM48&lt;Bewertung_Stammdaten!F$92,Bewertung_Stammdaten!E$92,IF(BM48&lt;Bewertung_Stammdaten!F$93,Bewertung_Stammdaten!E$93,IF(BM48&lt;Bewertung_Stammdaten!F$94,Bewertung_Stammdaten!E$94,IF(BM48&lt;Bewertung_Stammdaten!F$95,Bewertung_Stammdaten!E$95,IF(BM48&lt;Bewertung_Stammdaten!F$96,Bewertung_Stammdaten!E$96,IF(BM48&lt;Bewertung_Stammdaten!F$97,Bewertung_Stammdaten!E$97,IF(BM48&lt;Bewertung_Stammdaten!F$98,Bewertung_Stammdaten!E$98,Bewertung_Stammdaten!E$99)))))))))</f>
        <v>4</v>
      </c>
      <c r="BQ48" s="32">
        <f ca="1">IF(BN48&lt;Bewertung_Stammdaten!J$90,Bewertung_Stammdaten!I$90,IF(BN48&lt;Bewertung_Stammdaten!J$91,Bewertung_Stammdaten!I$91,IF(BN48&lt;Bewertung_Stammdaten!J$92,Bewertung_Stammdaten!I$92,IF(BN48&lt;Bewertung_Stammdaten!J$93,Bewertung_Stammdaten!I$93,IF(BN48&lt;Bewertung_Stammdaten!J$94,Bewertung_Stammdaten!I$94,IF(BN48&lt;Bewertung_Stammdaten!J$95,Bewertung_Stammdaten!I$95,IF(BN48&lt;Bewertung_Stammdaten!J$96,Bewertung_Stammdaten!I$96,IF(BN48&lt;Bewertung_Stammdaten!J$97,Bewertung_Stammdaten!I$97,IF(BN48&lt;Bewertung_Stammdaten!J$98,Bewertung_Stammdaten!I$98,Bewertung_Stammdaten!I$99)))))))))</f>
        <v>5</v>
      </c>
    </row>
    <row r="49" spans="1:69" x14ac:dyDescent="0.25">
      <c r="A49" s="38" t="s">
        <v>87</v>
      </c>
      <c r="B49" s="38" t="s">
        <v>88</v>
      </c>
      <c r="C49" s="38" t="s">
        <v>295</v>
      </c>
      <c r="D49" s="32">
        <f t="shared" ca="1" si="11"/>
        <v>158</v>
      </c>
      <c r="E49" s="43"/>
      <c r="F49" s="66">
        <v>1</v>
      </c>
      <c r="G49" s="11">
        <f ca="1">VLOOKUP(A49,KGV!A$3:R$103,17,FALSE)</f>
        <v>18.822687109279503</v>
      </c>
      <c r="H49" s="11">
        <f>VLOOKUP(A49,KGV!A$3:R$103,16,FALSE)</f>
        <v>16.536363636363635</v>
      </c>
      <c r="I49" s="12">
        <f ca="1">VLOOKUP(A49,KGV!A$3:R$103,18,FALSE)</f>
        <v>0.13826035295258143</v>
      </c>
      <c r="J49" s="16">
        <f t="shared" ca="1" si="12"/>
        <v>22.929455205849575</v>
      </c>
      <c r="K49" s="12">
        <f t="shared" ca="1" si="13"/>
        <v>0.38660806632405342</v>
      </c>
      <c r="L49" s="11">
        <f ca="1">VLOOKUP(A49,KBV!A$3:R$103,17,FALSE)</f>
        <v>5.4581360609666554</v>
      </c>
      <c r="M49" s="11">
        <f>VLOOKUP(A49,KBV!A$3:R$103,16,FALSE)</f>
        <v>6.2617449664429534</v>
      </c>
      <c r="N49" s="12">
        <f ca="1">VLOOKUP(A49,KBV!A$3:R$103,18,FALSE)</f>
        <v>-0.12833625607284926</v>
      </c>
      <c r="O49" s="16">
        <f t="shared" ca="1" si="9"/>
        <v>5.9847983124634387</v>
      </c>
      <c r="P49" s="12">
        <f t="shared" ca="1" si="10"/>
        <v>-4.4228350957071449E-2</v>
      </c>
      <c r="Q49" s="32">
        <f ca="1">IF(F49=1,IF(I49&lt;Bewertung_Stammdaten!B$12,Bewertung_Stammdaten!A$12,IF(I49&lt;Bewertung_Stammdaten!B$13,Bewertung_Stammdaten!A$13,IF(I49&lt;Bewertung_Stammdaten!B$14,Bewertung_Stammdaten!A$14,IF(I49&lt;Bewertung_Stammdaten!B$15,Bewertung_Stammdaten!A$15,IF(I49&lt;Bewertung_Stammdaten!B$16,Bewertung_Stammdaten!A$16,IF(I49&lt;Bewertung_Stammdaten!B$17,Bewertung_Stammdaten!A$17,IF(I49&lt;Bewertung_Stammdaten!B$18,Bewertung_Stammdaten!A$18,IF(I49&lt;Bewertung_Stammdaten!B$19,Bewertung_Stammdaten!A$19,IF(I49&lt;Bewertung_Stammdaten!B$20,Bewertung_Stammdaten!A$20,Bewertung_Stammdaten!A$21))))))))),IF(N49&lt;Bewertung_Stammdaten!C$12,Bewertung_Stammdaten!A$12,IF(N49&lt;Bewertung_Stammdaten!C$13,Bewertung_Stammdaten!A$13,IF(N49&lt;Bewertung_Stammdaten!C$14,Bewertung_Stammdaten!A$14,IF(N49&lt;Bewertung_Stammdaten!C$15,Bewertung_Stammdaten!A$15,IF(N49&lt;Bewertung_Stammdaten!C$16,Bewertung_Stammdaten!A$16,IF(N49&lt;Bewertung_Stammdaten!C$17,Bewertung_Stammdaten!A$17,IF(N49&lt;Bewertung_Stammdaten!C$18,Bewertung_Stammdaten!A$18,IF(N49&lt;Bewertung_Stammdaten!C$19,Bewertung_Stammdaten!A$19,IF(N49&lt;Bewertung_Stammdaten!C$20,Bewertung_Stammdaten!A$20,Bewertung_Stammdaten!A$21))))))))))</f>
        <v>24</v>
      </c>
      <c r="R49" s="32">
        <f ca="1">IF(F49=1,IF(K49&lt;Bewertung_Stammdaten!F$12,Bewertung_Stammdaten!E$12,IF(K49&lt;Bewertung_Stammdaten!F$13,Bewertung_Stammdaten!E$13,IF(K49&lt;Bewertung_Stammdaten!F$14,Bewertung_Stammdaten!E$14,IF(K49&lt;Bewertung_Stammdaten!F$15,Bewertung_Stammdaten!E$15,IF(K49&lt;Bewertung_Stammdaten!F$16,Bewertung_Stammdaten!E$16,IF(K49&lt;Bewertung_Stammdaten!F$17,Bewertung_Stammdaten!E$17,IF(K49&lt;Bewertung_Stammdaten!F$18,Bewertung_Stammdaten!E$18,IF(K49&lt;Bewertung_Stammdaten!F$19,Bewertung_Stammdaten!E$19,IF(K49&lt;Bewertung_Stammdaten!F$20,Bewertung_Stammdaten!E$20,Bewertung_Stammdaten!E$21))))))))),IF(P49&lt;Bewertung_Stammdaten!G$12,Bewertung_Stammdaten!E$12,IF(P49&lt;Bewertung_Stammdaten!G$13,Bewertung_Stammdaten!E$13,IF(P49&lt;Bewertung_Stammdaten!G$14,Bewertung_Stammdaten!E$14,IF(P49&lt;Bewertung_Stammdaten!G$15,Bewertung_Stammdaten!E$15,IF(P49&lt;Bewertung_Stammdaten!G$16,Bewertung_Stammdaten!E$16,IF(P49&lt;Bewertung_Stammdaten!G$17,Bewertung_Stammdaten!E$17,IF(P49&lt;Bewertung_Stammdaten!G$18,Bewertung_Stammdaten!E$18,IF(P49&lt;Bewertung_Stammdaten!G$19,Bewertung_Stammdaten!E$19,IF(P49&lt;Bewertung_Stammdaten!G$20,Bewertung_Stammdaten!E$20,Bewertung_Stammdaten!E$21))))))))))</f>
        <v>5</v>
      </c>
      <c r="S49" s="43"/>
      <c r="T49" s="11">
        <f ca="1">VLOOKUP(A49,Buchwert_je_Aktie!A$3:AK$103,23,FALSE)</f>
        <v>3.2914166666666667</v>
      </c>
      <c r="U49" s="11">
        <f>VLOOKUP(A49,Buchwert_je_Aktie!A$3:AK$103,19,FALSE)</f>
        <v>2.0723076923076924</v>
      </c>
      <c r="V49" s="12">
        <f ca="1">VLOOKUP(A49,Buchwert_je_Aktie!A$3:AK$103,24,FALSE)</f>
        <v>0.58828569660975005</v>
      </c>
      <c r="W49" s="12">
        <f>VLOOKUP(A49,Buchwert_je_Aktie!A$3:AK$103,37,FALSE)</f>
        <v>-8.8000000000000078E-2</v>
      </c>
      <c r="X49" s="16">
        <f t="shared" ca="1" si="14"/>
        <v>3.0017719999999999</v>
      </c>
      <c r="Y49" s="12">
        <f t="shared" ca="1" si="15"/>
        <v>0.44851655530809187</v>
      </c>
      <c r="Z49" s="51">
        <f ca="1">IF(V49&lt;Bewertung_Stammdaten!B$25,Bewertung_Stammdaten!A$25,IF(V49&lt;Bewertung_Stammdaten!B$26,Bewertung_Stammdaten!A$26,IF(V49&lt;Bewertung_Stammdaten!B$27,Bewertung_Stammdaten!A$27,IF(V49&lt;Bewertung_Stammdaten!B$28,Bewertung_Stammdaten!A$28,IF(V49&lt;Bewertung_Stammdaten!B$29,Bewertung_Stammdaten!A$29,IF(V49&lt;Bewertung_Stammdaten!B$30,Bewertung_Stammdaten!A$30,IF(V49&lt;Bewertung_Stammdaten!B$31,Bewertung_Stammdaten!A$31,IF(V49&lt;Bewertung_Stammdaten!B$32,Bewertung_Stammdaten!A$32,IF(V49&lt;Bewertung_Stammdaten!B$33,Bewertung_Stammdaten!A$33,Bewertung_Stammdaten!A$34)))))))))</f>
        <v>12</v>
      </c>
      <c r="AA49" s="51">
        <f>IF(W49&lt;Bewertung_Stammdaten!F$25,Bewertung_Stammdaten!E$25,IF(W49&lt;Bewertung_Stammdaten!F$26,Bewertung_Stammdaten!E$26,IF(W49&lt;Bewertung_Stammdaten!F$27,Bewertung_Stammdaten!E$27,IF(W49&lt;Bewertung_Stammdaten!F$28,Bewertung_Stammdaten!E$28,IF(W49&lt;Bewertung_Stammdaten!F$29,Bewertung_Stammdaten!E$29,IF(W49&lt;Bewertung_Stammdaten!F$30,Bewertung_Stammdaten!E$30,IF(W49&lt;Bewertung_Stammdaten!F$31,Bewertung_Stammdaten!E$31,IF(W49&lt;Bewertung_Stammdaten!F$32,Bewertung_Stammdaten!E$32,IF(W49&lt;Bewertung_Stammdaten!F$33,Bewertung_Stammdaten!E$33,Bewertung_Stammdaten!E$34)))))))))</f>
        <v>9</v>
      </c>
      <c r="AB49" s="51">
        <f ca="1">IF(Y49&lt;Bewertung_Stammdaten!J$25,Bewertung_Stammdaten!I$25,IF(Y49&lt;Bewertung_Stammdaten!J$26,Bewertung_Stammdaten!I$26,IF(Y49&lt;Bewertung_Stammdaten!J$27,Bewertung_Stammdaten!I$27,IF(Y49&lt;Bewertung_Stammdaten!J$28,Bewertung_Stammdaten!I$28,IF(Y49&lt;Bewertung_Stammdaten!J$29,Bewertung_Stammdaten!I$29,IF(Y49&lt;Bewertung_Stammdaten!J$30,Bewertung_Stammdaten!I$30,IF(Y49&lt;Bewertung_Stammdaten!J$31,Bewertung_Stammdaten!I$31,IF(Y49&lt;Bewertung_Stammdaten!J$32,Bewertung_Stammdaten!I$32,IF(Y49&lt;Bewertung_Stammdaten!J$33,Bewertung_Stammdaten!I$33,Bewertung_Stammdaten!I$34)))))))))</f>
        <v>7</v>
      </c>
      <c r="AC49" s="43"/>
      <c r="AD49" s="14">
        <f ca="1">VLOOKUP(A49,Ergebnis_je_Aktie_verwässert!A$3:AK$103,23,FALSE)</f>
        <v>0.95443333333333336</v>
      </c>
      <c r="AE49" s="14">
        <f>VLOOKUP(A49,Ergebnis_je_Aktie_verwässert!A$3:AK$103,19,FALSE)</f>
        <v>0.75992307692307703</v>
      </c>
      <c r="AF49" s="12">
        <f ca="1">VLOOKUP(A49,Ergebnis_je_Aktie_verwässert!A$3:AK$103,24,FALSE)</f>
        <v>0.25596045483685925</v>
      </c>
      <c r="AG49" s="40">
        <f>VLOOKUP(A49,Ergebnis_je_Aktie_verwässert!A$3:AK$103,37,FALSE)</f>
        <v>-0.17910447761194026</v>
      </c>
      <c r="AH49" s="16">
        <f t="shared" ca="1" si="16"/>
        <v>0.78349004975124381</v>
      </c>
      <c r="AI49" s="12">
        <f t="shared" ca="1" si="17"/>
        <v>3.1012313672048597E-2</v>
      </c>
      <c r="AJ49" s="32">
        <f ca="1">IF(AF49&lt;Bewertung_Stammdaten!B$38,Bewertung_Stammdaten!A$38,IF(AF49&lt;Bewertung_Stammdaten!B$39,Bewertung_Stammdaten!A$39,IF(AF49&lt;Bewertung_Stammdaten!B$40,Bewertung_Stammdaten!A$40,IF(AF49&lt;Bewertung_Stammdaten!B$41,Bewertung_Stammdaten!A$41,IF(AF49&lt;Bewertung_Stammdaten!B$42,Bewertung_Stammdaten!A$42,IF(AF49&lt;Bewertung_Stammdaten!B$43,Bewertung_Stammdaten!A$43,IF(AF49&lt;Bewertung_Stammdaten!B$44,Bewertung_Stammdaten!A$44,IF(AF49&lt;Bewertung_Stammdaten!B$45,Bewertung_Stammdaten!A$45,IF(AF49&lt;Bewertung_Stammdaten!B$46,Bewertung_Stammdaten!A$46,Bewertung_Stammdaten!A$47)))))))))</f>
        <v>12</v>
      </c>
      <c r="AK49" s="32">
        <f>IF(AG49&lt;Bewertung_Stammdaten!F$38,Bewertung_Stammdaten!E$38,IF(AG49&lt;Bewertung_Stammdaten!F$39,Bewertung_Stammdaten!E$39,IF(AG49&lt;Bewertung_Stammdaten!F$40,Bewertung_Stammdaten!E$40,IF(AG49&lt;Bewertung_Stammdaten!F$41,Bewertung_Stammdaten!E$41,IF(AG49&lt;Bewertung_Stammdaten!F$42,Bewertung_Stammdaten!E$42,IF(AG49&lt;Bewertung_Stammdaten!F$43,Bewertung_Stammdaten!E$43,IF(AG49&lt;Bewertung_Stammdaten!F$44,Bewertung_Stammdaten!E$44,IF(AG49&lt;Bewertung_Stammdaten!F$45,Bewertung_Stammdaten!E$45,IF(AG49&lt;Bewertung_Stammdaten!F$46,Bewertung_Stammdaten!E$46,Bewertung_Stammdaten!E$47)))))))))</f>
        <v>9</v>
      </c>
      <c r="AL49" s="32">
        <f ca="1">IF(AI49&lt;Bewertung_Stammdaten!J$38,Bewertung_Stammdaten!I$38,IF(AI49&lt;Bewertung_Stammdaten!J$39,Bewertung_Stammdaten!I$39,IF(AI49&lt;Bewertung_Stammdaten!J$40,Bewertung_Stammdaten!I$40,IF(AI49&lt;Bewertung_Stammdaten!J$41,Bewertung_Stammdaten!I$41,IF(AI49&lt;Bewertung_Stammdaten!J$42,Bewertung_Stammdaten!I$42,IF(AI49&lt;Bewertung_Stammdaten!J$43,Bewertung_Stammdaten!I$43,IF(AI49&lt;Bewertung_Stammdaten!J$44,Bewertung_Stammdaten!I$44,IF(AI49&lt;Bewertung_Stammdaten!J$45,Bewertung_Stammdaten!I$45,IF(AI49&lt;Bewertung_Stammdaten!J$46,Bewertung_Stammdaten!I$46,Bewertung_Stammdaten!I$47)))))))))</f>
        <v>4</v>
      </c>
      <c r="AM49" s="43"/>
      <c r="AN49" s="14">
        <f ca="1">VLOOKUP(A49,Dividende_je_Aktie!A$3:AM$103,24,FALSE)</f>
        <v>0.57082500000000014</v>
      </c>
      <c r="AO49" s="14">
        <f>VLOOKUP(A49,Dividende_je_Aktie!A$3:AM$103,20,FALSE)</f>
        <v>0.41842857142857143</v>
      </c>
      <c r="AP49" s="12">
        <f ca="1">VLOOKUP(A49,Dividende_je_Aktie!A$3:AM$103,25,FALSE)</f>
        <v>0.36421133492659652</v>
      </c>
      <c r="AQ49" s="40">
        <f>VLOOKUP(A49,Dividende_je_Aktie!A$3:AM$103,39,FALSE)</f>
        <v>3.0303030303030276E-2</v>
      </c>
      <c r="AR49" s="16">
        <f t="shared" ca="1" si="18"/>
        <v>0.57082500000000014</v>
      </c>
      <c r="AS49" s="12">
        <f t="shared" ca="1" si="19"/>
        <v>0.36421133492659652</v>
      </c>
      <c r="AT49" s="32">
        <f ca="1">IF(AP49&lt;Bewertung_Stammdaten!B$51,Bewertung_Stammdaten!A$51,IF(AP49&lt;Bewertung_Stammdaten!B$52,Bewertung_Stammdaten!A$52,IF(AP49&lt;Bewertung_Stammdaten!B$53,Bewertung_Stammdaten!A$53,IF(AP49&lt;Bewertung_Stammdaten!B$54,Bewertung_Stammdaten!A$54,IF(AP49&lt;Bewertung_Stammdaten!B$55,Bewertung_Stammdaten!A$55,IF(AP49&lt;Bewertung_Stammdaten!B$56,Bewertung_Stammdaten!A$56,IF(AP49&lt;Bewertung_Stammdaten!B$57,Bewertung_Stammdaten!A$57,IF(AP49&lt;Bewertung_Stammdaten!B$58,Bewertung_Stammdaten!A$58,IF(AP49&lt;Bewertung_Stammdaten!B$59,Bewertung_Stammdaten!A$59,Bewertung_Stammdaten!A$60)))))))))</f>
        <v>12</v>
      </c>
      <c r="AU49" s="32">
        <f>IF(AQ49&lt;Bewertung_Stammdaten!F$51,Bewertung_Stammdaten!E$51,IF(AQ49&lt;Bewertung_Stammdaten!F$52,Bewertung_Stammdaten!E$52,IF(AQ49&lt;Bewertung_Stammdaten!F$53,Bewertung_Stammdaten!E$53,IF(AQ49&lt;Bewertung_Stammdaten!F$54,Bewertung_Stammdaten!E$54,IF(AQ49&lt;Bewertung_Stammdaten!F$55,Bewertung_Stammdaten!E$55,IF(AQ49&lt;Bewertung_Stammdaten!F$56,Bewertung_Stammdaten!E$56,IF(AQ49&lt;Bewertung_Stammdaten!F$57,Bewertung_Stammdaten!E$57,IF(AQ49&lt;Bewertung_Stammdaten!F$58,Bewertung_Stammdaten!E$58,IF(AQ49&lt;Bewertung_Stammdaten!F$59,Bewertung_Stammdaten!E$59,Bewertung_Stammdaten!E$60)))))))))</f>
        <v>12</v>
      </c>
      <c r="AV49" s="32">
        <f ca="1">IF(AS49&lt;Bewertung_Stammdaten!J$51,Bewertung_Stammdaten!I$51,IF(AS49&lt;Bewertung_Stammdaten!J$52,Bewertung_Stammdaten!I$52,IF(AS49&lt;Bewertung_Stammdaten!J$53,Bewertung_Stammdaten!I$53,IF(AS49&lt;Bewertung_Stammdaten!J$54,Bewertung_Stammdaten!I$54,IF(AS49&lt;Bewertung_Stammdaten!J$55,Bewertung_Stammdaten!I$55,IF(AS49&lt;Bewertung_Stammdaten!J$56,Bewertung_Stammdaten!I$56,IF(AS49&lt;Bewertung_Stammdaten!J$57,Bewertung_Stammdaten!I$57,IF(AS49&lt;Bewertung_Stammdaten!J$58,Bewertung_Stammdaten!I$58,IF(AS49&lt;Bewertung_Stammdaten!J$59,Bewertung_Stammdaten!I$59,Bewertung_Stammdaten!I$60)))))))))</f>
        <v>8</v>
      </c>
      <c r="AW49" s="43"/>
      <c r="AX49" s="12">
        <f ca="1">VLOOKUP(A49,Dividendenrendite!A$3:R$103,17,FALSE)</f>
        <v>3.177428332869469E-2</v>
      </c>
      <c r="AY49" s="12">
        <f>VLOOKUP(A49,Dividendenrendite!A$3:R$103,16,FALSE)</f>
        <v>3.2855637079703771E-2</v>
      </c>
      <c r="AZ49" s="12">
        <f ca="1">VLOOKUP(A49,Dividendenrendite!A$3:R$103,18,FALSE)</f>
        <v>-3.2912274639077865E-2</v>
      </c>
      <c r="BA49" s="32">
        <f ca="1">IF(AX49&lt;Bewertung_Stammdaten!B$64,Bewertung_Stammdaten!A$64,IF(AX49&lt;Bewertung_Stammdaten!B$65,Bewertung_Stammdaten!A$65,IF(AX49&lt;Bewertung_Stammdaten!B$66,Bewertung_Stammdaten!A$66,IF(AX49&lt;Bewertung_Stammdaten!B$67,Bewertung_Stammdaten!A$67,IF(AX49&lt;Bewertung_Stammdaten!B$68,Bewertung_Stammdaten!A$68,IF(AX49&lt;Bewertung_Stammdaten!B$69,Bewertung_Stammdaten!A$69,IF(AX49&lt;Bewertung_Stammdaten!B$70,Bewertung_Stammdaten!A$70,IF(AX49&lt;Bewertung_Stammdaten!B$71,Bewertung_Stammdaten!A$71,IF(AX49&lt;Bewertung_Stammdaten!B$72,Bewertung_Stammdaten!A$72,Bewertung_Stammdaten!A$73)))))))))</f>
        <v>10.5</v>
      </c>
      <c r="BB49" s="32">
        <f>IF(AY49&lt;Bewertung_Stammdaten!F$64,Bewertung_Stammdaten!E$64,IF(AY49&lt;Bewertung_Stammdaten!F$65,Bewertung_Stammdaten!E$65,IF(AY49&lt;Bewertung_Stammdaten!F$66,Bewertung_Stammdaten!E$66,IF(AY49&lt;Bewertung_Stammdaten!F$67,Bewertung_Stammdaten!E$67,IF(AY49&lt;Bewertung_Stammdaten!F$68,Bewertung_Stammdaten!E$68,IF(AY49&lt;Bewertung_Stammdaten!F$69,Bewertung_Stammdaten!E$69,IF(AY49&lt;Bewertung_Stammdaten!F$70,Bewertung_Stammdaten!E$70,IF(AY49&lt;Bewertung_Stammdaten!F$71,Bewertung_Stammdaten!E$71,IF(AY49&lt;Bewertung_Stammdaten!F$72,Bewertung_Stammdaten!E$72,Bewertung_Stammdaten!E$73)))))))))</f>
        <v>7</v>
      </c>
      <c r="BC49" s="32">
        <f ca="1">IF(AZ49&lt;Bewertung_Stammdaten!J$64,Bewertung_Stammdaten!I$64,IF(AZ49&lt;Bewertung_Stammdaten!J$65,Bewertung_Stammdaten!I$65,IF(AZ49&lt;Bewertung_Stammdaten!J$66,Bewertung_Stammdaten!I$66,IF(AZ49&lt;Bewertung_Stammdaten!J$67,Bewertung_Stammdaten!I$67,IF(AZ49&lt;Bewertung_Stammdaten!J$68,Bewertung_Stammdaten!I$68,IF(AZ49&lt;Bewertung_Stammdaten!J$69,Bewertung_Stammdaten!I$69,IF(AZ49&lt;Bewertung_Stammdaten!J$70,Bewertung_Stammdaten!I$70,IF(AZ49&lt;Bewertung_Stammdaten!J$71,Bewertung_Stammdaten!I$71,IF(AZ49&lt;Bewertung_Stammdaten!J$72,Bewertung_Stammdaten!I$72,Bewertung_Stammdaten!I$73)))))))))</f>
        <v>2.5</v>
      </c>
      <c r="BD49" s="43"/>
      <c r="BE49" s="12">
        <f>VLOOKUP(A49,Aktien_im_Umlauf_splitbereinigt!A$3:Z$103,26,FALSE)</f>
        <v>0</v>
      </c>
      <c r="BF49" s="12">
        <f>VLOOKUP(A49,Aktien_im_Umlauf_splitbereinigt!A$3:Y$103,24,FALSE)</f>
        <v>-1.1473508792419991E-2</v>
      </c>
      <c r="BG49" s="12">
        <f>VLOOKUP(A49,Aktien_im_Umlauf_splitbereinigt!A$3:Y$103,25,FALSE)</f>
        <v>-1</v>
      </c>
      <c r="BH49" s="41">
        <f>IF(BE49&lt;Bewertung_Stammdaten!B$77,Bewertung_Stammdaten!A$77,IF(BE49&lt;Bewertung_Stammdaten!B$78,Bewertung_Stammdaten!A$78,IF(BE49&lt;Bewertung_Stammdaten!B$79,Bewertung_Stammdaten!A$79,IF(BE49&lt;Bewertung_Stammdaten!B$80,Bewertung_Stammdaten!A$80,IF(BE49&lt;Bewertung_Stammdaten!B$81,Bewertung_Stammdaten!A$81,IF(BE49&lt;Bewertung_Stammdaten!B$82,Bewertung_Stammdaten!A$82,IF(BE49&lt;Bewertung_Stammdaten!B$83,Bewertung_Stammdaten!A$83,IF(BE49&lt;Bewertung_Stammdaten!B$84,Bewertung_Stammdaten!A$84,IF(BE49&lt;Bewertung_Stammdaten!B$85,Bewertung_Stammdaten!A$85,Bewertung_Stammdaten!A$86)))))))))</f>
        <v>2</v>
      </c>
      <c r="BI49" s="41">
        <f>IF(BF49&lt;Bewertung_Stammdaten!F$77,Bewertung_Stammdaten!E$77,IF(BF49&lt;Bewertung_Stammdaten!F$78,Bewertung_Stammdaten!E$78,IF(BF49&lt;Bewertung_Stammdaten!F$79,Bewertung_Stammdaten!E$79,IF(BF49&lt;Bewertung_Stammdaten!F$80,Bewertung_Stammdaten!E$80,IF(BF49&lt;Bewertung_Stammdaten!F$81,Bewertung_Stammdaten!E$81,IF(BF49&lt;Bewertung_Stammdaten!F$82,Bewertung_Stammdaten!E$82,IF(BF49&lt;Bewertung_Stammdaten!F$83,Bewertung_Stammdaten!E$83,IF(BF49&lt;Bewertung_Stammdaten!F$84,Bewertung_Stammdaten!E$84,IF(BF49&lt;Bewertung_Stammdaten!F$85,Bewertung_Stammdaten!E$85,Bewertung_Stammdaten!E$86)))))))))</f>
        <v>5</v>
      </c>
      <c r="BJ49" s="41">
        <f>IF(BG49&lt;Bewertung_Stammdaten!J$77,Bewertung_Stammdaten!I$77,IF(BG49&lt;Bewertung_Stammdaten!J$78,Bewertung_Stammdaten!I$78,IF(BG49&lt;Bewertung_Stammdaten!J$79,Bewertung_Stammdaten!I$79,IF(BG49&lt;Bewertung_Stammdaten!J$80,Bewertung_Stammdaten!I$80,IF(BG49&lt;Bewertung_Stammdaten!J$81,Bewertung_Stammdaten!I$81,IF(BG49&lt;Bewertung_Stammdaten!J$82,Bewertung_Stammdaten!I$82,IF(BG49&lt;Bewertung_Stammdaten!J$83,Bewertung_Stammdaten!I$83,IF(BG49&lt;Bewertung_Stammdaten!J$84,Bewertung_Stammdaten!I$84,IF(BG49&lt;Bewertung_Stammdaten!J$85,Bewertung_Stammdaten!I$85,Bewertung_Stammdaten!I$86)))))))))</f>
        <v>1</v>
      </c>
      <c r="BK49" s="43"/>
      <c r="BL49" s="12">
        <f ca="1">VLOOKUP(A49,Ausschüttungsquote!A$3:X$103,23,FALSE)</f>
        <v>0.59830855925558524</v>
      </c>
      <c r="BM49" s="12">
        <f>VLOOKUP(A49,Ausschüttungsquote!A$3:X$103,19,FALSE)</f>
        <v>0.5672208720114813</v>
      </c>
      <c r="BN49" s="12">
        <f ca="1">VLOOKUP(A49,Ausschüttungsquote!A$3:X$103,24,FALSE)</f>
        <v>5.4807022763214919E-2</v>
      </c>
      <c r="BO49" s="32">
        <f ca="1">IF(BL49&lt;Bewertung_Stammdaten!B$90,Bewertung_Stammdaten!A$90,IF(BL49&lt;Bewertung_Stammdaten!B$91,Bewertung_Stammdaten!A$91,IF(BL49&lt;Bewertung_Stammdaten!B$92,Bewertung_Stammdaten!A$92,IF(BL49&lt;Bewertung_Stammdaten!B$93,Bewertung_Stammdaten!A$93,IF(BL49&lt;Bewertung_Stammdaten!B$94,Bewertung_Stammdaten!A$94,IF(BL49&lt;Bewertung_Stammdaten!B$95,Bewertung_Stammdaten!A$95,IF(BL49&lt;Bewertung_Stammdaten!B$96,Bewertung_Stammdaten!A$96,IF(BL49&lt;Bewertung_Stammdaten!B$97,Bewertung_Stammdaten!A$97,IF(BL49&lt;Bewertung_Stammdaten!B$98,Bewertung_Stammdaten!A$98,Bewertung_Stammdaten!A$99)))))))))</f>
        <v>6</v>
      </c>
      <c r="BP49" s="41">
        <f>IF(BM49&lt;Bewertung_Stammdaten!F$90,Bewertung_Stammdaten!E$90,IF(BM49&lt;Bewertung_Stammdaten!F$91,Bewertung_Stammdaten!E$91,IF(BM49&lt;Bewertung_Stammdaten!F$92,Bewertung_Stammdaten!E$92,IF(BM49&lt;Bewertung_Stammdaten!F$93,Bewertung_Stammdaten!E$93,IF(BM49&lt;Bewertung_Stammdaten!F$94,Bewertung_Stammdaten!E$94,IF(BM49&lt;Bewertung_Stammdaten!F$95,Bewertung_Stammdaten!E$95,IF(BM49&lt;Bewertung_Stammdaten!F$96,Bewertung_Stammdaten!E$96,IF(BM49&lt;Bewertung_Stammdaten!F$97,Bewertung_Stammdaten!E$97,IF(BM49&lt;Bewertung_Stammdaten!F$98,Bewertung_Stammdaten!E$98,Bewertung_Stammdaten!E$99)))))))))</f>
        <v>6</v>
      </c>
      <c r="BQ49" s="32">
        <f ca="1">IF(BN49&lt;Bewertung_Stammdaten!J$90,Bewertung_Stammdaten!I$90,IF(BN49&lt;Bewertung_Stammdaten!J$91,Bewertung_Stammdaten!I$91,IF(BN49&lt;Bewertung_Stammdaten!J$92,Bewertung_Stammdaten!I$92,IF(BN49&lt;Bewertung_Stammdaten!J$93,Bewertung_Stammdaten!I$93,IF(BN49&lt;Bewertung_Stammdaten!J$94,Bewertung_Stammdaten!I$94,IF(BN49&lt;Bewertung_Stammdaten!J$95,Bewertung_Stammdaten!I$95,IF(BN49&lt;Bewertung_Stammdaten!J$96,Bewertung_Stammdaten!I$96,IF(BN49&lt;Bewertung_Stammdaten!J$97,Bewertung_Stammdaten!I$97,IF(BN49&lt;Bewertung_Stammdaten!J$98,Bewertung_Stammdaten!I$98,Bewertung_Stammdaten!I$99)))))))))</f>
        <v>4</v>
      </c>
    </row>
    <row r="50" spans="1:69" x14ac:dyDescent="0.25">
      <c r="A50" s="38" t="s">
        <v>89</v>
      </c>
      <c r="B50" s="38" t="s">
        <v>90</v>
      </c>
      <c r="C50" s="38" t="s">
        <v>295</v>
      </c>
      <c r="D50" s="32">
        <f t="shared" ca="1" si="11"/>
        <v>124</v>
      </c>
      <c r="E50" s="43"/>
      <c r="F50" s="66">
        <v>1</v>
      </c>
      <c r="G50" s="11">
        <f ca="1">VLOOKUP(A50,KGV!A$3:R$103,17,FALSE)</f>
        <v>23.551703753062224</v>
      </c>
      <c r="H50" s="11">
        <f>VLOOKUP(A50,KGV!A$3:R$103,16,FALSE)</f>
        <v>19.297121052631578</v>
      </c>
      <c r="I50" s="12">
        <f ca="1">VLOOKUP(A50,KGV!A$3:R$103,18,FALSE)</f>
        <v>0.22047758776174753</v>
      </c>
      <c r="J50" s="16">
        <f t="shared" ca="1" si="12"/>
        <v>30.478675445139348</v>
      </c>
      <c r="K50" s="12">
        <f t="shared" ca="1" si="13"/>
        <v>0.57944158416226155</v>
      </c>
      <c r="L50" s="11">
        <f ca="1">VLOOKUP(A50,KBV!A$3:R$103,17,FALSE)</f>
        <v>2.8087546663550311</v>
      </c>
      <c r="M50" s="11">
        <f>VLOOKUP(A50,KBV!A$3:R$103,16,FALSE)</f>
        <v>2.3485632050431318</v>
      </c>
      <c r="N50" s="12">
        <f ca="1">VLOOKUP(A50,KBV!A$3:R$103,18,FALSE)</f>
        <v>0.1959459555202594</v>
      </c>
      <c r="O50" s="16">
        <f t="shared" ca="1" si="9"/>
        <v>3.3734012229934138</v>
      </c>
      <c r="P50" s="12">
        <f t="shared" ca="1" si="10"/>
        <v>0.43636808059907461</v>
      </c>
      <c r="Q50" s="32">
        <f ca="1">IF(F50=1,IF(I50&lt;Bewertung_Stammdaten!B$12,Bewertung_Stammdaten!A$12,IF(I50&lt;Bewertung_Stammdaten!B$13,Bewertung_Stammdaten!A$13,IF(I50&lt;Bewertung_Stammdaten!B$14,Bewertung_Stammdaten!A$14,IF(I50&lt;Bewertung_Stammdaten!B$15,Bewertung_Stammdaten!A$15,IF(I50&lt;Bewertung_Stammdaten!B$16,Bewertung_Stammdaten!A$16,IF(I50&lt;Bewertung_Stammdaten!B$17,Bewertung_Stammdaten!A$17,IF(I50&lt;Bewertung_Stammdaten!B$18,Bewertung_Stammdaten!A$18,IF(I50&lt;Bewertung_Stammdaten!B$19,Bewertung_Stammdaten!A$19,IF(I50&lt;Bewertung_Stammdaten!B$20,Bewertung_Stammdaten!A$20,Bewertung_Stammdaten!A$21))))))))),IF(N50&lt;Bewertung_Stammdaten!C$12,Bewertung_Stammdaten!A$12,IF(N50&lt;Bewertung_Stammdaten!C$13,Bewertung_Stammdaten!A$13,IF(N50&lt;Bewertung_Stammdaten!C$14,Bewertung_Stammdaten!A$14,IF(N50&lt;Bewertung_Stammdaten!C$15,Bewertung_Stammdaten!A$15,IF(N50&lt;Bewertung_Stammdaten!C$16,Bewertung_Stammdaten!A$16,IF(N50&lt;Bewertung_Stammdaten!C$17,Bewertung_Stammdaten!A$17,IF(N50&lt;Bewertung_Stammdaten!C$18,Bewertung_Stammdaten!A$18,IF(N50&lt;Bewertung_Stammdaten!C$19,Bewertung_Stammdaten!A$19,IF(N50&lt;Bewertung_Stammdaten!C$20,Bewertung_Stammdaten!A$20,Bewertung_Stammdaten!A$21))))))))))</f>
        <v>12</v>
      </c>
      <c r="R50" s="32">
        <f ca="1">IF(F50=1,IF(K50&lt;Bewertung_Stammdaten!F$12,Bewertung_Stammdaten!E$12,IF(K50&lt;Bewertung_Stammdaten!F$13,Bewertung_Stammdaten!E$13,IF(K50&lt;Bewertung_Stammdaten!F$14,Bewertung_Stammdaten!E$14,IF(K50&lt;Bewertung_Stammdaten!F$15,Bewertung_Stammdaten!E$15,IF(K50&lt;Bewertung_Stammdaten!F$16,Bewertung_Stammdaten!E$16,IF(K50&lt;Bewertung_Stammdaten!F$17,Bewertung_Stammdaten!E$17,IF(K50&lt;Bewertung_Stammdaten!F$18,Bewertung_Stammdaten!E$18,IF(K50&lt;Bewertung_Stammdaten!F$19,Bewertung_Stammdaten!E$19,IF(K50&lt;Bewertung_Stammdaten!F$20,Bewertung_Stammdaten!E$20,Bewertung_Stammdaten!E$21))))))))),IF(P50&lt;Bewertung_Stammdaten!G$12,Bewertung_Stammdaten!E$12,IF(P50&lt;Bewertung_Stammdaten!G$13,Bewertung_Stammdaten!E$13,IF(P50&lt;Bewertung_Stammdaten!G$14,Bewertung_Stammdaten!E$14,IF(P50&lt;Bewertung_Stammdaten!G$15,Bewertung_Stammdaten!E$15,IF(P50&lt;Bewertung_Stammdaten!G$16,Bewertung_Stammdaten!E$16,IF(P50&lt;Bewertung_Stammdaten!G$17,Bewertung_Stammdaten!E$17,IF(P50&lt;Bewertung_Stammdaten!G$18,Bewertung_Stammdaten!E$18,IF(P50&lt;Bewertung_Stammdaten!G$19,Bewertung_Stammdaten!E$19,IF(P50&lt;Bewertung_Stammdaten!G$20,Bewertung_Stammdaten!E$20,Bewertung_Stammdaten!E$21))))))))))</f>
        <v>2.5</v>
      </c>
      <c r="S50" s="43"/>
      <c r="T50" s="11">
        <f ca="1">VLOOKUP(A50,Buchwert_je_Aktie!A$3:AK$103,23,FALSE)</f>
        <v>19.015555555555554</v>
      </c>
      <c r="U50" s="11">
        <f>VLOOKUP(A50,Buchwert_je_Aktie!A$3:AK$103,19,FALSE)</f>
        <v>14.510909090909088</v>
      </c>
      <c r="V50" s="12">
        <f ca="1">VLOOKUP(A50,Buchwert_je_Aktie!A$3:AK$103,24,FALSE)</f>
        <v>0.31043171977891948</v>
      </c>
      <c r="W50" s="12">
        <f>VLOOKUP(A50,Buchwert_je_Aktie!A$3:AK$103,37,FALSE)</f>
        <v>-0.16738197424892709</v>
      </c>
      <c r="X50" s="16">
        <f t="shared" ca="1" si="14"/>
        <v>15.832694325226512</v>
      </c>
      <c r="Y50" s="12">
        <f t="shared" ca="1" si="15"/>
        <v>9.1089071403907207E-2</v>
      </c>
      <c r="Z50" s="51">
        <f ca="1">IF(V50&lt;Bewertung_Stammdaten!B$25,Bewertung_Stammdaten!A$25,IF(V50&lt;Bewertung_Stammdaten!B$26,Bewertung_Stammdaten!A$26,IF(V50&lt;Bewertung_Stammdaten!B$27,Bewertung_Stammdaten!A$27,IF(V50&lt;Bewertung_Stammdaten!B$28,Bewertung_Stammdaten!A$28,IF(V50&lt;Bewertung_Stammdaten!B$29,Bewertung_Stammdaten!A$29,IF(V50&lt;Bewertung_Stammdaten!B$30,Bewertung_Stammdaten!A$30,IF(V50&lt;Bewertung_Stammdaten!B$31,Bewertung_Stammdaten!A$31,IF(V50&lt;Bewertung_Stammdaten!B$32,Bewertung_Stammdaten!A$32,IF(V50&lt;Bewertung_Stammdaten!B$33,Bewertung_Stammdaten!A$33,Bewertung_Stammdaten!A$34)))))))))</f>
        <v>9</v>
      </c>
      <c r="AA50" s="51">
        <f>IF(W50&lt;Bewertung_Stammdaten!F$25,Bewertung_Stammdaten!E$25,IF(W50&lt;Bewertung_Stammdaten!F$26,Bewertung_Stammdaten!E$26,IF(W50&lt;Bewertung_Stammdaten!F$27,Bewertung_Stammdaten!E$27,IF(W50&lt;Bewertung_Stammdaten!F$28,Bewertung_Stammdaten!E$28,IF(W50&lt;Bewertung_Stammdaten!F$29,Bewertung_Stammdaten!E$29,IF(W50&lt;Bewertung_Stammdaten!F$30,Bewertung_Stammdaten!E$30,IF(W50&lt;Bewertung_Stammdaten!F$31,Bewertung_Stammdaten!E$31,IF(W50&lt;Bewertung_Stammdaten!F$32,Bewertung_Stammdaten!E$32,IF(W50&lt;Bewertung_Stammdaten!F$33,Bewertung_Stammdaten!E$33,Bewertung_Stammdaten!E$34)))))))))</f>
        <v>6</v>
      </c>
      <c r="AB50" s="51">
        <f ca="1">IF(Y50&lt;Bewertung_Stammdaten!J$25,Bewertung_Stammdaten!I$25,IF(Y50&lt;Bewertung_Stammdaten!J$26,Bewertung_Stammdaten!I$26,IF(Y50&lt;Bewertung_Stammdaten!J$27,Bewertung_Stammdaten!I$27,IF(Y50&lt;Bewertung_Stammdaten!J$28,Bewertung_Stammdaten!I$28,IF(Y50&lt;Bewertung_Stammdaten!J$29,Bewertung_Stammdaten!I$29,IF(Y50&lt;Bewertung_Stammdaten!J$30,Bewertung_Stammdaten!I$30,IF(Y50&lt;Bewertung_Stammdaten!J$31,Bewertung_Stammdaten!I$31,IF(Y50&lt;Bewertung_Stammdaten!J$32,Bewertung_Stammdaten!I$32,IF(Y50&lt;Bewertung_Stammdaten!J$33,Bewertung_Stammdaten!I$33,Bewertung_Stammdaten!I$34)))))))))</f>
        <v>3</v>
      </c>
      <c r="AC50" s="43"/>
      <c r="AD50" s="14">
        <f ca="1">VLOOKUP(A50,Ergebnis_je_Aktie_verwässert!A$3:AK$103,23,FALSE)</f>
        <v>2.2677777777777779</v>
      </c>
      <c r="AE50" s="14">
        <f>VLOOKUP(A50,Ergebnis_je_Aktie_verwässert!A$3:AK$103,19,FALSE)</f>
        <v>1.8372727272727274</v>
      </c>
      <c r="AF50" s="12">
        <f ca="1">VLOOKUP(A50,Ergebnis_je_Aktie_verwässert!A$3:AK$103,24,FALSE)</f>
        <v>0.2343174446093792</v>
      </c>
      <c r="AG50" s="40">
        <f>VLOOKUP(A50,Ergebnis_je_Aktie_verwässert!A$3:AK$103,37,FALSE)</f>
        <v>-0.22727272727272729</v>
      </c>
      <c r="AH50" s="16">
        <f t="shared" ca="1" si="16"/>
        <v>1.7523737373737374</v>
      </c>
      <c r="AI50" s="12">
        <f t="shared" ca="1" si="17"/>
        <v>-4.6209247347297921E-2</v>
      </c>
      <c r="AJ50" s="32">
        <f ca="1">IF(AF50&lt;Bewertung_Stammdaten!B$38,Bewertung_Stammdaten!A$38,IF(AF50&lt;Bewertung_Stammdaten!B$39,Bewertung_Stammdaten!A$39,IF(AF50&lt;Bewertung_Stammdaten!B$40,Bewertung_Stammdaten!A$40,IF(AF50&lt;Bewertung_Stammdaten!B$41,Bewertung_Stammdaten!A$41,IF(AF50&lt;Bewertung_Stammdaten!B$42,Bewertung_Stammdaten!A$42,IF(AF50&lt;Bewertung_Stammdaten!B$43,Bewertung_Stammdaten!A$43,IF(AF50&lt;Bewertung_Stammdaten!B$44,Bewertung_Stammdaten!A$44,IF(AF50&lt;Bewertung_Stammdaten!B$45,Bewertung_Stammdaten!A$45,IF(AF50&lt;Bewertung_Stammdaten!B$46,Bewertung_Stammdaten!A$46,Bewertung_Stammdaten!A$47)))))))))</f>
        <v>12</v>
      </c>
      <c r="AK50" s="32">
        <f>IF(AG50&lt;Bewertung_Stammdaten!F$38,Bewertung_Stammdaten!E$38,IF(AG50&lt;Bewertung_Stammdaten!F$39,Bewertung_Stammdaten!E$39,IF(AG50&lt;Bewertung_Stammdaten!F$40,Bewertung_Stammdaten!E$40,IF(AG50&lt;Bewertung_Stammdaten!F$41,Bewertung_Stammdaten!E$41,IF(AG50&lt;Bewertung_Stammdaten!F$42,Bewertung_Stammdaten!E$42,IF(AG50&lt;Bewertung_Stammdaten!F$43,Bewertung_Stammdaten!E$43,IF(AG50&lt;Bewertung_Stammdaten!F$44,Bewertung_Stammdaten!E$44,IF(AG50&lt;Bewertung_Stammdaten!F$45,Bewertung_Stammdaten!E$45,IF(AG50&lt;Bewertung_Stammdaten!F$46,Bewertung_Stammdaten!E$46,Bewertung_Stammdaten!E$47)))))))))</f>
        <v>7.5</v>
      </c>
      <c r="AL50" s="32">
        <f ca="1">IF(AI50&lt;Bewertung_Stammdaten!J$38,Bewertung_Stammdaten!I$38,IF(AI50&lt;Bewertung_Stammdaten!J$39,Bewertung_Stammdaten!I$39,IF(AI50&lt;Bewertung_Stammdaten!J$40,Bewertung_Stammdaten!I$40,IF(AI50&lt;Bewertung_Stammdaten!J$41,Bewertung_Stammdaten!I$41,IF(AI50&lt;Bewertung_Stammdaten!J$42,Bewertung_Stammdaten!I$42,IF(AI50&lt;Bewertung_Stammdaten!J$43,Bewertung_Stammdaten!I$43,IF(AI50&lt;Bewertung_Stammdaten!J$44,Bewertung_Stammdaten!I$44,IF(AI50&lt;Bewertung_Stammdaten!J$45,Bewertung_Stammdaten!I$45,IF(AI50&lt;Bewertung_Stammdaten!J$46,Bewertung_Stammdaten!I$46,Bewertung_Stammdaten!I$47)))))))))</f>
        <v>4</v>
      </c>
      <c r="AM50" s="43"/>
      <c r="AN50" s="14">
        <f ca="1">VLOOKUP(A50,Dividende_je_Aktie!A$3:AM$103,24,FALSE)</f>
        <v>1.1679999999999999</v>
      </c>
      <c r="AO50" s="14">
        <f>VLOOKUP(A50,Dividende_je_Aktie!A$3:AM$103,20,FALSE)</f>
        <v>0.87545454545454549</v>
      </c>
      <c r="AP50" s="12">
        <f ca="1">VLOOKUP(A50,Dividende_je_Aktie!A$3:AM$103,25,FALSE)</f>
        <v>0.33416407061266851</v>
      </c>
      <c r="AQ50" s="40">
        <f>VLOOKUP(A50,Dividende_je_Aktie!A$3:AM$103,39,FALSE)</f>
        <v>0</v>
      </c>
      <c r="AR50" s="16">
        <f t="shared" ca="1" si="18"/>
        <v>1.1679999999999999</v>
      </c>
      <c r="AS50" s="12">
        <f t="shared" ca="1" si="19"/>
        <v>0.33416407061266851</v>
      </c>
      <c r="AT50" s="32">
        <f ca="1">IF(AP50&lt;Bewertung_Stammdaten!B$51,Bewertung_Stammdaten!A$51,IF(AP50&lt;Bewertung_Stammdaten!B$52,Bewertung_Stammdaten!A$52,IF(AP50&lt;Bewertung_Stammdaten!B$53,Bewertung_Stammdaten!A$53,IF(AP50&lt;Bewertung_Stammdaten!B$54,Bewertung_Stammdaten!A$54,IF(AP50&lt;Bewertung_Stammdaten!B$55,Bewertung_Stammdaten!A$55,IF(AP50&lt;Bewertung_Stammdaten!B$56,Bewertung_Stammdaten!A$56,IF(AP50&lt;Bewertung_Stammdaten!B$57,Bewertung_Stammdaten!A$57,IF(AP50&lt;Bewertung_Stammdaten!B$58,Bewertung_Stammdaten!A$58,IF(AP50&lt;Bewertung_Stammdaten!B$59,Bewertung_Stammdaten!A$59,Bewertung_Stammdaten!A$60)))))))))</f>
        <v>12</v>
      </c>
      <c r="AU50" s="32">
        <f>IF(AQ50&lt;Bewertung_Stammdaten!F$51,Bewertung_Stammdaten!E$51,IF(AQ50&lt;Bewertung_Stammdaten!F$52,Bewertung_Stammdaten!E$52,IF(AQ50&lt;Bewertung_Stammdaten!F$53,Bewertung_Stammdaten!E$53,IF(AQ50&lt;Bewertung_Stammdaten!F$54,Bewertung_Stammdaten!E$54,IF(AQ50&lt;Bewertung_Stammdaten!F$55,Bewertung_Stammdaten!E$55,IF(AQ50&lt;Bewertung_Stammdaten!F$56,Bewertung_Stammdaten!E$56,IF(AQ50&lt;Bewertung_Stammdaten!F$57,Bewertung_Stammdaten!E$57,IF(AQ50&lt;Bewertung_Stammdaten!F$58,Bewertung_Stammdaten!E$58,IF(AQ50&lt;Bewertung_Stammdaten!F$59,Bewertung_Stammdaten!E$59,Bewertung_Stammdaten!E$60)))))))))</f>
        <v>12</v>
      </c>
      <c r="AV50" s="32">
        <f ca="1">IF(AS50&lt;Bewertung_Stammdaten!J$51,Bewertung_Stammdaten!I$51,IF(AS50&lt;Bewertung_Stammdaten!J$52,Bewertung_Stammdaten!I$52,IF(AS50&lt;Bewertung_Stammdaten!J$53,Bewertung_Stammdaten!I$53,IF(AS50&lt;Bewertung_Stammdaten!J$54,Bewertung_Stammdaten!I$54,IF(AS50&lt;Bewertung_Stammdaten!J$55,Bewertung_Stammdaten!I$55,IF(AS50&lt;Bewertung_Stammdaten!J$56,Bewertung_Stammdaten!I$56,IF(AS50&lt;Bewertung_Stammdaten!J$57,Bewertung_Stammdaten!I$57,IF(AS50&lt;Bewertung_Stammdaten!J$58,Bewertung_Stammdaten!I$58,IF(AS50&lt;Bewertung_Stammdaten!J$59,Bewertung_Stammdaten!I$59,Bewertung_Stammdaten!I$60)))))))))</f>
        <v>7</v>
      </c>
      <c r="AW50" s="43"/>
      <c r="AX50" s="12">
        <f ca="1">VLOOKUP(A50,Dividendenrendite!A$3:R$103,17,FALSE)</f>
        <v>2.1868551492155674E-2</v>
      </c>
      <c r="AY50" s="12">
        <f>VLOOKUP(A50,Dividendenrendite!A$3:R$103,16,FALSE)</f>
        <v>2.3987589798345844E-2</v>
      </c>
      <c r="AZ50" s="12">
        <f ca="1">VLOOKUP(A50,Dividendenrendite!A$3:R$103,18,FALSE)</f>
        <v>-8.8338942094811745E-2</v>
      </c>
      <c r="BA50" s="32">
        <f ca="1">IF(AX50&lt;Bewertung_Stammdaten!B$64,Bewertung_Stammdaten!A$64,IF(AX50&lt;Bewertung_Stammdaten!B$65,Bewertung_Stammdaten!A$65,IF(AX50&lt;Bewertung_Stammdaten!B$66,Bewertung_Stammdaten!A$66,IF(AX50&lt;Bewertung_Stammdaten!B$67,Bewertung_Stammdaten!A$67,IF(AX50&lt;Bewertung_Stammdaten!B$68,Bewertung_Stammdaten!A$68,IF(AX50&lt;Bewertung_Stammdaten!B$69,Bewertung_Stammdaten!A$69,IF(AX50&lt;Bewertung_Stammdaten!B$70,Bewertung_Stammdaten!A$70,IF(AX50&lt;Bewertung_Stammdaten!B$71,Bewertung_Stammdaten!A$71,IF(AX50&lt;Bewertung_Stammdaten!B$72,Bewertung_Stammdaten!A$72,Bewertung_Stammdaten!A$73)))))))))</f>
        <v>7.5</v>
      </c>
      <c r="BB50" s="32">
        <f>IF(AY50&lt;Bewertung_Stammdaten!F$64,Bewertung_Stammdaten!E$64,IF(AY50&lt;Bewertung_Stammdaten!F$65,Bewertung_Stammdaten!E$65,IF(AY50&lt;Bewertung_Stammdaten!F$66,Bewertung_Stammdaten!E$66,IF(AY50&lt;Bewertung_Stammdaten!F$67,Bewertung_Stammdaten!E$67,IF(AY50&lt;Bewertung_Stammdaten!F$68,Bewertung_Stammdaten!E$68,IF(AY50&lt;Bewertung_Stammdaten!F$69,Bewertung_Stammdaten!E$69,IF(AY50&lt;Bewertung_Stammdaten!F$70,Bewertung_Stammdaten!E$70,IF(AY50&lt;Bewertung_Stammdaten!F$71,Bewertung_Stammdaten!E$71,IF(AY50&lt;Bewertung_Stammdaten!F$72,Bewertung_Stammdaten!E$72,Bewertung_Stammdaten!E$73)))))))))</f>
        <v>5</v>
      </c>
      <c r="BC50" s="32">
        <f ca="1">IF(AZ50&lt;Bewertung_Stammdaten!J$64,Bewertung_Stammdaten!I$64,IF(AZ50&lt;Bewertung_Stammdaten!J$65,Bewertung_Stammdaten!I$65,IF(AZ50&lt;Bewertung_Stammdaten!J$66,Bewertung_Stammdaten!I$66,IF(AZ50&lt;Bewertung_Stammdaten!J$67,Bewertung_Stammdaten!I$67,IF(AZ50&lt;Bewertung_Stammdaten!J$68,Bewertung_Stammdaten!I$68,IF(AZ50&lt;Bewertung_Stammdaten!J$69,Bewertung_Stammdaten!I$69,IF(AZ50&lt;Bewertung_Stammdaten!J$70,Bewertung_Stammdaten!I$70,IF(AZ50&lt;Bewertung_Stammdaten!J$71,Bewertung_Stammdaten!I$71,IF(AZ50&lt;Bewertung_Stammdaten!J$72,Bewertung_Stammdaten!I$72,Bewertung_Stammdaten!I$73)))))))))</f>
        <v>2</v>
      </c>
      <c r="BD50" s="43"/>
      <c r="BE50" s="12">
        <f>VLOOKUP(A50,Aktien_im_Umlauf_splitbereinigt!A$3:Z$103,26,FALSE)</f>
        <v>1.796407185628679E-3</v>
      </c>
      <c r="BF50" s="12">
        <f>VLOOKUP(A50,Aktien_im_Umlauf_splitbereinigt!A$3:Y$103,24,FALSE)</f>
        <v>1.5310433024641792E-2</v>
      </c>
      <c r="BG50" s="12">
        <f>VLOOKUP(A50,Aktien_im_Umlauf_splitbereinigt!A$3:Y$103,25,FALSE)</f>
        <v>-99.999989999999997</v>
      </c>
      <c r="BH50" s="41">
        <f>IF(BE50&lt;Bewertung_Stammdaten!B$77,Bewertung_Stammdaten!A$77,IF(BE50&lt;Bewertung_Stammdaten!B$78,Bewertung_Stammdaten!A$78,IF(BE50&lt;Bewertung_Stammdaten!B$79,Bewertung_Stammdaten!A$79,IF(BE50&lt;Bewertung_Stammdaten!B$80,Bewertung_Stammdaten!A$80,IF(BE50&lt;Bewertung_Stammdaten!B$81,Bewertung_Stammdaten!A$81,IF(BE50&lt;Bewertung_Stammdaten!B$82,Bewertung_Stammdaten!A$82,IF(BE50&lt;Bewertung_Stammdaten!B$83,Bewertung_Stammdaten!A$83,IF(BE50&lt;Bewertung_Stammdaten!B$84,Bewertung_Stammdaten!A$84,IF(BE50&lt;Bewertung_Stammdaten!B$85,Bewertung_Stammdaten!A$85,Bewertung_Stammdaten!A$86)))))))))</f>
        <v>2</v>
      </c>
      <c r="BI50" s="41">
        <f>IF(BF50&lt;Bewertung_Stammdaten!F$77,Bewertung_Stammdaten!E$77,IF(BF50&lt;Bewertung_Stammdaten!F$78,Bewertung_Stammdaten!E$78,IF(BF50&lt;Bewertung_Stammdaten!F$79,Bewertung_Stammdaten!E$79,IF(BF50&lt;Bewertung_Stammdaten!F$80,Bewertung_Stammdaten!E$80,IF(BF50&lt;Bewertung_Stammdaten!F$81,Bewertung_Stammdaten!E$81,IF(BF50&lt;Bewertung_Stammdaten!F$82,Bewertung_Stammdaten!E$82,IF(BF50&lt;Bewertung_Stammdaten!F$83,Bewertung_Stammdaten!E$83,IF(BF50&lt;Bewertung_Stammdaten!F$84,Bewertung_Stammdaten!E$84,IF(BF50&lt;Bewertung_Stammdaten!F$85,Bewertung_Stammdaten!E$85,Bewertung_Stammdaten!E$86)))))))))</f>
        <v>1</v>
      </c>
      <c r="BJ50" s="41">
        <f>IF(BG50&lt;Bewertung_Stammdaten!J$77,Bewertung_Stammdaten!I$77,IF(BG50&lt;Bewertung_Stammdaten!J$78,Bewertung_Stammdaten!I$78,IF(BG50&lt;Bewertung_Stammdaten!J$79,Bewertung_Stammdaten!I$79,IF(BG50&lt;Bewertung_Stammdaten!J$80,Bewertung_Stammdaten!I$80,IF(BG50&lt;Bewertung_Stammdaten!J$81,Bewertung_Stammdaten!I$81,IF(BG50&lt;Bewertung_Stammdaten!J$82,Bewertung_Stammdaten!I$82,IF(BG50&lt;Bewertung_Stammdaten!J$83,Bewertung_Stammdaten!I$83,IF(BG50&lt;Bewertung_Stammdaten!J$84,Bewertung_Stammdaten!I$84,IF(BG50&lt;Bewertung_Stammdaten!J$85,Bewertung_Stammdaten!I$85,Bewertung_Stammdaten!I$86)))))))))</f>
        <v>0.5</v>
      </c>
      <c r="BK50" s="43"/>
      <c r="BL50" s="12">
        <f ca="1">VLOOKUP(A50,Ausschüttungsquote!A$3:X$103,23,FALSE)</f>
        <v>0.51507986898463087</v>
      </c>
      <c r="BM50" s="12">
        <f>VLOOKUP(A50,Ausschüttungsquote!A$3:X$103,19,FALSE)</f>
        <v>0.48052641165930526</v>
      </c>
      <c r="BN50" s="12">
        <f ca="1">VLOOKUP(A50,Ausschüttungsquote!A$3:X$103,24,FALSE)</f>
        <v>7.1907509112785428E-2</v>
      </c>
      <c r="BO50" s="32">
        <f ca="1">IF(BL50&lt;Bewertung_Stammdaten!B$90,Bewertung_Stammdaten!A$90,IF(BL50&lt;Bewertung_Stammdaten!B$91,Bewertung_Stammdaten!A$91,IF(BL50&lt;Bewertung_Stammdaten!B$92,Bewertung_Stammdaten!A$92,IF(BL50&lt;Bewertung_Stammdaten!B$93,Bewertung_Stammdaten!A$93,IF(BL50&lt;Bewertung_Stammdaten!B$94,Bewertung_Stammdaten!A$94,IF(BL50&lt;Bewertung_Stammdaten!B$95,Bewertung_Stammdaten!A$95,IF(BL50&lt;Bewertung_Stammdaten!B$96,Bewertung_Stammdaten!A$96,IF(BL50&lt;Bewertung_Stammdaten!B$97,Bewertung_Stammdaten!A$97,IF(BL50&lt;Bewertung_Stammdaten!B$98,Bewertung_Stammdaten!A$98,Bewertung_Stammdaten!A$99)))))))))</f>
        <v>7</v>
      </c>
      <c r="BP50" s="41">
        <f>IF(BM50&lt;Bewertung_Stammdaten!F$90,Bewertung_Stammdaten!E$90,IF(BM50&lt;Bewertung_Stammdaten!F$91,Bewertung_Stammdaten!E$91,IF(BM50&lt;Bewertung_Stammdaten!F$92,Bewertung_Stammdaten!E$92,IF(BM50&lt;Bewertung_Stammdaten!F$93,Bewertung_Stammdaten!E$93,IF(BM50&lt;Bewertung_Stammdaten!F$94,Bewertung_Stammdaten!E$94,IF(BM50&lt;Bewertung_Stammdaten!F$95,Bewertung_Stammdaten!E$95,IF(BM50&lt;Bewertung_Stammdaten!F$96,Bewertung_Stammdaten!E$96,IF(BM50&lt;Bewertung_Stammdaten!F$97,Bewertung_Stammdaten!E$97,IF(BM50&lt;Bewertung_Stammdaten!F$98,Bewertung_Stammdaten!E$98,Bewertung_Stammdaten!E$99)))))))))</f>
        <v>8</v>
      </c>
      <c r="BQ50" s="32">
        <f ca="1">IF(BN50&lt;Bewertung_Stammdaten!J$90,Bewertung_Stammdaten!I$90,IF(BN50&lt;Bewertung_Stammdaten!J$91,Bewertung_Stammdaten!I$91,IF(BN50&lt;Bewertung_Stammdaten!J$92,Bewertung_Stammdaten!I$92,IF(BN50&lt;Bewertung_Stammdaten!J$93,Bewertung_Stammdaten!I$93,IF(BN50&lt;Bewertung_Stammdaten!J$94,Bewertung_Stammdaten!I$94,IF(BN50&lt;Bewertung_Stammdaten!J$95,Bewertung_Stammdaten!I$95,IF(BN50&lt;Bewertung_Stammdaten!J$96,Bewertung_Stammdaten!I$96,IF(BN50&lt;Bewertung_Stammdaten!J$97,Bewertung_Stammdaten!I$97,IF(BN50&lt;Bewertung_Stammdaten!J$98,Bewertung_Stammdaten!I$98,Bewertung_Stammdaten!I$99)))))))))</f>
        <v>4</v>
      </c>
    </row>
    <row r="51" spans="1:69" x14ac:dyDescent="0.25">
      <c r="A51" s="38" t="s">
        <v>91</v>
      </c>
      <c r="B51" s="38" t="s">
        <v>92</v>
      </c>
      <c r="C51" s="38" t="s">
        <v>295</v>
      </c>
      <c r="D51" s="32">
        <f t="shared" ca="1" si="11"/>
        <v>134</v>
      </c>
      <c r="E51" s="43"/>
      <c r="F51" s="66">
        <v>1</v>
      </c>
      <c r="G51" s="11">
        <f ca="1">VLOOKUP(A51,KGV!A$3:R$103,17,FALSE)</f>
        <v>23.977695167286246</v>
      </c>
      <c r="H51" s="11">
        <f>VLOOKUP(A51,KGV!A$3:R$103,16,FALSE)</f>
        <v>17.723117187500002</v>
      </c>
      <c r="I51" s="12">
        <f ca="1">VLOOKUP(A51,KGV!A$3:R$103,18,FALSE)</f>
        <v>0.3529050738431927</v>
      </c>
      <c r="J51" s="16">
        <f t="shared" ca="1" si="12"/>
        <v>26.98975142648159</v>
      </c>
      <c r="K51" s="12">
        <f t="shared" ca="1" si="13"/>
        <v>0.52285577875190503</v>
      </c>
      <c r="L51" s="11">
        <f ca="1">VLOOKUP(A51,KBV!A$3:R$103,17,FALSE)</f>
        <v>3.3678639575060592</v>
      </c>
      <c r="M51" s="11">
        <f>VLOOKUP(A51,KBV!A$3:R$103,16,FALSE)</f>
        <v>4.5148072072072072</v>
      </c>
      <c r="N51" s="12">
        <f ca="1">VLOOKUP(A51,KBV!A$3:R$103,18,FALSE)</f>
        <v>-0.25404036032152744</v>
      </c>
      <c r="O51" s="16">
        <f t="shared" ca="1" si="9"/>
        <v>3.3678639575060592</v>
      </c>
      <c r="P51" s="12">
        <f t="shared" ca="1" si="10"/>
        <v>-0.25404036032152744</v>
      </c>
      <c r="Q51" s="32">
        <f ca="1">IF(F51=1,IF(I51&lt;Bewertung_Stammdaten!B$12,Bewertung_Stammdaten!A$12,IF(I51&lt;Bewertung_Stammdaten!B$13,Bewertung_Stammdaten!A$13,IF(I51&lt;Bewertung_Stammdaten!B$14,Bewertung_Stammdaten!A$14,IF(I51&lt;Bewertung_Stammdaten!B$15,Bewertung_Stammdaten!A$15,IF(I51&lt;Bewertung_Stammdaten!B$16,Bewertung_Stammdaten!A$16,IF(I51&lt;Bewertung_Stammdaten!B$17,Bewertung_Stammdaten!A$17,IF(I51&lt;Bewertung_Stammdaten!B$18,Bewertung_Stammdaten!A$18,IF(I51&lt;Bewertung_Stammdaten!B$19,Bewertung_Stammdaten!A$19,IF(I51&lt;Bewertung_Stammdaten!B$20,Bewertung_Stammdaten!A$20,Bewertung_Stammdaten!A$21))))))))),IF(N51&lt;Bewertung_Stammdaten!C$12,Bewertung_Stammdaten!A$12,IF(N51&lt;Bewertung_Stammdaten!C$13,Bewertung_Stammdaten!A$13,IF(N51&lt;Bewertung_Stammdaten!C$14,Bewertung_Stammdaten!A$14,IF(N51&lt;Bewertung_Stammdaten!C$15,Bewertung_Stammdaten!A$15,IF(N51&lt;Bewertung_Stammdaten!C$16,Bewertung_Stammdaten!A$16,IF(N51&lt;Bewertung_Stammdaten!C$17,Bewertung_Stammdaten!A$17,IF(N51&lt;Bewertung_Stammdaten!C$18,Bewertung_Stammdaten!A$18,IF(N51&lt;Bewertung_Stammdaten!C$19,Bewertung_Stammdaten!A$19,IF(N51&lt;Bewertung_Stammdaten!C$20,Bewertung_Stammdaten!A$20,Bewertung_Stammdaten!A$21))))))))))</f>
        <v>6</v>
      </c>
      <c r="R51" s="32">
        <f ca="1">IF(F51=1,IF(K51&lt;Bewertung_Stammdaten!F$12,Bewertung_Stammdaten!E$12,IF(K51&lt;Bewertung_Stammdaten!F$13,Bewertung_Stammdaten!E$13,IF(K51&lt;Bewertung_Stammdaten!F$14,Bewertung_Stammdaten!E$14,IF(K51&lt;Bewertung_Stammdaten!F$15,Bewertung_Stammdaten!E$15,IF(K51&lt;Bewertung_Stammdaten!F$16,Bewertung_Stammdaten!E$16,IF(K51&lt;Bewertung_Stammdaten!F$17,Bewertung_Stammdaten!E$17,IF(K51&lt;Bewertung_Stammdaten!F$18,Bewertung_Stammdaten!E$18,IF(K51&lt;Bewertung_Stammdaten!F$19,Bewertung_Stammdaten!E$19,IF(K51&lt;Bewertung_Stammdaten!F$20,Bewertung_Stammdaten!E$20,Bewertung_Stammdaten!E$21))))))))),IF(P51&lt;Bewertung_Stammdaten!G$12,Bewertung_Stammdaten!E$12,IF(P51&lt;Bewertung_Stammdaten!G$13,Bewertung_Stammdaten!E$13,IF(P51&lt;Bewertung_Stammdaten!G$14,Bewertung_Stammdaten!E$14,IF(P51&lt;Bewertung_Stammdaten!G$15,Bewertung_Stammdaten!E$15,IF(P51&lt;Bewertung_Stammdaten!G$16,Bewertung_Stammdaten!E$16,IF(P51&lt;Bewertung_Stammdaten!G$17,Bewertung_Stammdaten!E$17,IF(P51&lt;Bewertung_Stammdaten!G$18,Bewertung_Stammdaten!E$18,IF(P51&lt;Bewertung_Stammdaten!G$19,Bewertung_Stammdaten!E$19,IF(P51&lt;Bewertung_Stammdaten!G$20,Bewertung_Stammdaten!E$20,Bewertung_Stammdaten!E$21))))))))))</f>
        <v>2.5</v>
      </c>
      <c r="S51" s="43"/>
      <c r="T51" s="11">
        <f ca="1">VLOOKUP(A51,Buchwert_je_Aktie!A$3:AK$103,23,FALSE)</f>
        <v>17.236444444444444</v>
      </c>
      <c r="U51" s="11">
        <f>VLOOKUP(A51,Buchwert_je_Aktie!A$3:AK$103,19,FALSE)</f>
        <v>9.0161538461538449</v>
      </c>
      <c r="V51" s="12">
        <f ca="1">VLOOKUP(A51,Buchwert_je_Aktie!A$3:AK$103,24,FALSE)</f>
        <v>0.91172918503351097</v>
      </c>
      <c r="W51" s="12">
        <f>VLOOKUP(A51,Buchwert_je_Aktie!A$3:AK$103,37,FALSE)</f>
        <v>7.7821011673151474E-3</v>
      </c>
      <c r="X51" s="16">
        <f t="shared" ca="1" si="14"/>
        <v>17.236444444444444</v>
      </c>
      <c r="Y51" s="12">
        <f t="shared" ca="1" si="15"/>
        <v>0.91172918503351097</v>
      </c>
      <c r="Z51" s="51">
        <f ca="1">IF(V51&lt;Bewertung_Stammdaten!B$25,Bewertung_Stammdaten!A$25,IF(V51&lt;Bewertung_Stammdaten!B$26,Bewertung_Stammdaten!A$26,IF(V51&lt;Bewertung_Stammdaten!B$27,Bewertung_Stammdaten!A$27,IF(V51&lt;Bewertung_Stammdaten!B$28,Bewertung_Stammdaten!A$28,IF(V51&lt;Bewertung_Stammdaten!B$29,Bewertung_Stammdaten!A$29,IF(V51&lt;Bewertung_Stammdaten!B$30,Bewertung_Stammdaten!A$30,IF(V51&lt;Bewertung_Stammdaten!B$31,Bewertung_Stammdaten!A$31,IF(V51&lt;Bewertung_Stammdaten!B$32,Bewertung_Stammdaten!A$32,IF(V51&lt;Bewertung_Stammdaten!B$33,Bewertung_Stammdaten!A$33,Bewertung_Stammdaten!A$34)))))))))</f>
        <v>15</v>
      </c>
      <c r="AA51" s="51">
        <f>IF(W51&lt;Bewertung_Stammdaten!F$25,Bewertung_Stammdaten!E$25,IF(W51&lt;Bewertung_Stammdaten!F$26,Bewertung_Stammdaten!E$26,IF(W51&lt;Bewertung_Stammdaten!F$27,Bewertung_Stammdaten!E$27,IF(W51&lt;Bewertung_Stammdaten!F$28,Bewertung_Stammdaten!E$28,IF(W51&lt;Bewertung_Stammdaten!F$29,Bewertung_Stammdaten!E$29,IF(W51&lt;Bewertung_Stammdaten!F$30,Bewertung_Stammdaten!E$30,IF(W51&lt;Bewertung_Stammdaten!F$31,Bewertung_Stammdaten!E$31,IF(W51&lt;Bewertung_Stammdaten!F$32,Bewertung_Stammdaten!E$32,IF(W51&lt;Bewertung_Stammdaten!F$33,Bewertung_Stammdaten!E$33,Bewertung_Stammdaten!E$34)))))))))</f>
        <v>12</v>
      </c>
      <c r="AB51" s="51">
        <f ca="1">IF(Y51&lt;Bewertung_Stammdaten!J$25,Bewertung_Stammdaten!I$25,IF(Y51&lt;Bewertung_Stammdaten!J$26,Bewertung_Stammdaten!I$26,IF(Y51&lt;Bewertung_Stammdaten!J$27,Bewertung_Stammdaten!I$27,IF(Y51&lt;Bewertung_Stammdaten!J$28,Bewertung_Stammdaten!I$28,IF(Y51&lt;Bewertung_Stammdaten!J$29,Bewertung_Stammdaten!I$29,IF(Y51&lt;Bewertung_Stammdaten!J$30,Bewertung_Stammdaten!I$30,IF(Y51&lt;Bewertung_Stammdaten!J$31,Bewertung_Stammdaten!I$31,IF(Y51&lt;Bewertung_Stammdaten!J$32,Bewertung_Stammdaten!I$32,IF(Y51&lt;Bewertung_Stammdaten!J$33,Bewertung_Stammdaten!I$33,Bewertung_Stammdaten!I$34)))))))))</f>
        <v>10</v>
      </c>
      <c r="AC51" s="43"/>
      <c r="AD51" s="14">
        <f ca="1">VLOOKUP(A51,Ergebnis_je_Aktie_verwässert!A$3:AK$103,23,FALSE)</f>
        <v>2.4209999999999998</v>
      </c>
      <c r="AE51" s="14">
        <f>VLOOKUP(A51,Ergebnis_je_Aktie_verwässert!A$3:AK$103,19,FALSE)</f>
        <v>1.9843076923076925</v>
      </c>
      <c r="AF51" s="12">
        <f ca="1">VLOOKUP(A51,Ergebnis_je_Aktie_verwässert!A$3:AK$103,24,FALSE)</f>
        <v>0.22007287951620391</v>
      </c>
      <c r="AG51" s="40">
        <f>VLOOKUP(A51,Ergebnis_je_Aktie_verwässert!A$3:AK$103,37,FALSE)</f>
        <v>-0.11159999999999992</v>
      </c>
      <c r="AH51" s="16">
        <f t="shared" ca="1" si="16"/>
        <v>2.1508164000000001</v>
      </c>
      <c r="AI51" s="12">
        <f t="shared" ca="1" si="17"/>
        <v>8.3912746162195573E-2</v>
      </c>
      <c r="AJ51" s="32">
        <f ca="1">IF(AF51&lt;Bewertung_Stammdaten!B$38,Bewertung_Stammdaten!A$38,IF(AF51&lt;Bewertung_Stammdaten!B$39,Bewertung_Stammdaten!A$39,IF(AF51&lt;Bewertung_Stammdaten!B$40,Bewertung_Stammdaten!A$40,IF(AF51&lt;Bewertung_Stammdaten!B$41,Bewertung_Stammdaten!A$41,IF(AF51&lt;Bewertung_Stammdaten!B$42,Bewertung_Stammdaten!A$42,IF(AF51&lt;Bewertung_Stammdaten!B$43,Bewertung_Stammdaten!A$43,IF(AF51&lt;Bewertung_Stammdaten!B$44,Bewertung_Stammdaten!A$44,IF(AF51&lt;Bewertung_Stammdaten!B$45,Bewertung_Stammdaten!A$45,IF(AF51&lt;Bewertung_Stammdaten!B$46,Bewertung_Stammdaten!A$46,Bewertung_Stammdaten!A$47)))))))))</f>
        <v>12</v>
      </c>
      <c r="AK51" s="32">
        <f>IF(AG51&lt;Bewertung_Stammdaten!F$38,Bewertung_Stammdaten!E$38,IF(AG51&lt;Bewertung_Stammdaten!F$39,Bewertung_Stammdaten!E$39,IF(AG51&lt;Bewertung_Stammdaten!F$40,Bewertung_Stammdaten!E$40,IF(AG51&lt;Bewertung_Stammdaten!F$41,Bewertung_Stammdaten!E$41,IF(AG51&lt;Bewertung_Stammdaten!F$42,Bewertung_Stammdaten!E$42,IF(AG51&lt;Bewertung_Stammdaten!F$43,Bewertung_Stammdaten!E$43,IF(AG51&lt;Bewertung_Stammdaten!F$44,Bewertung_Stammdaten!E$44,IF(AG51&lt;Bewertung_Stammdaten!F$45,Bewertung_Stammdaten!E$45,IF(AG51&lt;Bewertung_Stammdaten!F$46,Bewertung_Stammdaten!E$46,Bewertung_Stammdaten!E$47)))))))))</f>
        <v>9</v>
      </c>
      <c r="AL51" s="32">
        <f ca="1">IF(AI51&lt;Bewertung_Stammdaten!J$38,Bewertung_Stammdaten!I$38,IF(AI51&lt;Bewertung_Stammdaten!J$39,Bewertung_Stammdaten!I$39,IF(AI51&lt;Bewertung_Stammdaten!J$40,Bewertung_Stammdaten!I$40,IF(AI51&lt;Bewertung_Stammdaten!J$41,Bewertung_Stammdaten!I$41,IF(AI51&lt;Bewertung_Stammdaten!J$42,Bewertung_Stammdaten!I$42,IF(AI51&lt;Bewertung_Stammdaten!J$43,Bewertung_Stammdaten!I$43,IF(AI51&lt;Bewertung_Stammdaten!J$44,Bewertung_Stammdaten!I$44,IF(AI51&lt;Bewertung_Stammdaten!J$45,Bewertung_Stammdaten!I$45,IF(AI51&lt;Bewertung_Stammdaten!J$46,Bewertung_Stammdaten!I$46,Bewertung_Stammdaten!I$47)))))))))</f>
        <v>5</v>
      </c>
      <c r="AM51" s="43"/>
      <c r="AN51" s="14">
        <f ca="1">VLOOKUP(A51,Dividende_je_Aktie!A$3:AM$103,24,FALSE)</f>
        <v>1.2871111111111111</v>
      </c>
      <c r="AO51" s="14">
        <f>VLOOKUP(A51,Dividende_je_Aktie!A$3:AM$103,20,FALSE)</f>
        <v>1.0346153846153845</v>
      </c>
      <c r="AP51" s="12">
        <f ca="1">VLOOKUP(A51,Dividende_je_Aktie!A$3:AM$103,25,FALSE)</f>
        <v>0.24404791408508886</v>
      </c>
      <c r="AQ51" s="40">
        <f>VLOOKUP(A51,Dividende_je_Aktie!A$3:AM$103,39,FALSE)</f>
        <v>-9.3525179856115082E-2</v>
      </c>
      <c r="AR51" s="16">
        <f t="shared" ca="1" si="18"/>
        <v>1.1667338129496403</v>
      </c>
      <c r="AS51" s="12">
        <f t="shared" ca="1" si="19"/>
        <v>0.12769810917065616</v>
      </c>
      <c r="AT51" s="32">
        <f ca="1">IF(AP51&lt;Bewertung_Stammdaten!B$51,Bewertung_Stammdaten!A$51,IF(AP51&lt;Bewertung_Stammdaten!B$52,Bewertung_Stammdaten!A$52,IF(AP51&lt;Bewertung_Stammdaten!B$53,Bewertung_Stammdaten!A$53,IF(AP51&lt;Bewertung_Stammdaten!B$54,Bewertung_Stammdaten!A$54,IF(AP51&lt;Bewertung_Stammdaten!B$55,Bewertung_Stammdaten!A$55,IF(AP51&lt;Bewertung_Stammdaten!B$56,Bewertung_Stammdaten!A$56,IF(AP51&lt;Bewertung_Stammdaten!B$57,Bewertung_Stammdaten!A$57,IF(AP51&lt;Bewertung_Stammdaten!B$58,Bewertung_Stammdaten!A$58,IF(AP51&lt;Bewertung_Stammdaten!B$59,Bewertung_Stammdaten!A$59,Bewertung_Stammdaten!A$60)))))))))</f>
        <v>10</v>
      </c>
      <c r="AU51" s="32">
        <f>IF(AQ51&lt;Bewertung_Stammdaten!F$51,Bewertung_Stammdaten!E$51,IF(AQ51&lt;Bewertung_Stammdaten!F$52,Bewertung_Stammdaten!E$52,IF(AQ51&lt;Bewertung_Stammdaten!F$53,Bewertung_Stammdaten!E$53,IF(AQ51&lt;Bewertung_Stammdaten!F$54,Bewertung_Stammdaten!E$54,IF(AQ51&lt;Bewertung_Stammdaten!F$55,Bewertung_Stammdaten!E$55,IF(AQ51&lt;Bewertung_Stammdaten!F$56,Bewertung_Stammdaten!E$56,IF(AQ51&lt;Bewertung_Stammdaten!F$57,Bewertung_Stammdaten!E$57,IF(AQ51&lt;Bewertung_Stammdaten!F$58,Bewertung_Stammdaten!E$58,IF(AQ51&lt;Bewertung_Stammdaten!F$59,Bewertung_Stammdaten!E$59,Bewertung_Stammdaten!E$60)))))))))</f>
        <v>10.5</v>
      </c>
      <c r="AV51" s="32">
        <f ca="1">IF(AS51&lt;Bewertung_Stammdaten!J$51,Bewertung_Stammdaten!I$51,IF(AS51&lt;Bewertung_Stammdaten!J$52,Bewertung_Stammdaten!I$52,IF(AS51&lt;Bewertung_Stammdaten!J$53,Bewertung_Stammdaten!I$53,IF(AS51&lt;Bewertung_Stammdaten!J$54,Bewertung_Stammdaten!I$54,IF(AS51&lt;Bewertung_Stammdaten!J$55,Bewertung_Stammdaten!I$55,IF(AS51&lt;Bewertung_Stammdaten!J$56,Bewertung_Stammdaten!I$56,IF(AS51&lt;Bewertung_Stammdaten!J$57,Bewertung_Stammdaten!I$57,IF(AS51&lt;Bewertung_Stammdaten!J$58,Bewertung_Stammdaten!I$58,IF(AS51&lt;Bewertung_Stammdaten!J$59,Bewertung_Stammdaten!I$59,Bewertung_Stammdaten!I$60)))))))))</f>
        <v>5</v>
      </c>
      <c r="AW51" s="43"/>
      <c r="AX51" s="12">
        <f ca="1">VLOOKUP(A51,Dividendenrendite!A$3:R$103,17,FALSE)</f>
        <v>2.2172456694420521E-2</v>
      </c>
      <c r="AY51" s="12">
        <f>VLOOKUP(A51,Dividendenrendite!A$3:R$103,16,FALSE)</f>
        <v>2.6773653563315718E-2</v>
      </c>
      <c r="AZ51" s="12">
        <f ca="1">VLOOKUP(A51,Dividendenrendite!A$3:R$103,18,FALSE)</f>
        <v>-0.17185539724767296</v>
      </c>
      <c r="BA51" s="32">
        <f ca="1">IF(AX51&lt;Bewertung_Stammdaten!B$64,Bewertung_Stammdaten!A$64,IF(AX51&lt;Bewertung_Stammdaten!B$65,Bewertung_Stammdaten!A$65,IF(AX51&lt;Bewertung_Stammdaten!B$66,Bewertung_Stammdaten!A$66,IF(AX51&lt;Bewertung_Stammdaten!B$67,Bewertung_Stammdaten!A$67,IF(AX51&lt;Bewertung_Stammdaten!B$68,Bewertung_Stammdaten!A$68,IF(AX51&lt;Bewertung_Stammdaten!B$69,Bewertung_Stammdaten!A$69,IF(AX51&lt;Bewertung_Stammdaten!B$70,Bewertung_Stammdaten!A$70,IF(AX51&lt;Bewertung_Stammdaten!B$71,Bewertung_Stammdaten!A$71,IF(AX51&lt;Bewertung_Stammdaten!B$72,Bewertung_Stammdaten!A$72,Bewertung_Stammdaten!A$73)))))))))</f>
        <v>7.5</v>
      </c>
      <c r="BB51" s="32">
        <f>IF(AY51&lt;Bewertung_Stammdaten!F$64,Bewertung_Stammdaten!E$64,IF(AY51&lt;Bewertung_Stammdaten!F$65,Bewertung_Stammdaten!E$65,IF(AY51&lt;Bewertung_Stammdaten!F$66,Bewertung_Stammdaten!E$66,IF(AY51&lt;Bewertung_Stammdaten!F$67,Bewertung_Stammdaten!E$67,IF(AY51&lt;Bewertung_Stammdaten!F$68,Bewertung_Stammdaten!E$68,IF(AY51&lt;Bewertung_Stammdaten!F$69,Bewertung_Stammdaten!E$69,IF(AY51&lt;Bewertung_Stammdaten!F$70,Bewertung_Stammdaten!E$70,IF(AY51&lt;Bewertung_Stammdaten!F$71,Bewertung_Stammdaten!E$71,IF(AY51&lt;Bewertung_Stammdaten!F$72,Bewertung_Stammdaten!E$72,Bewertung_Stammdaten!E$73)))))))))</f>
        <v>6</v>
      </c>
      <c r="BC51" s="32">
        <f ca="1">IF(AZ51&lt;Bewertung_Stammdaten!J$64,Bewertung_Stammdaten!I$64,IF(AZ51&lt;Bewertung_Stammdaten!J$65,Bewertung_Stammdaten!I$65,IF(AZ51&lt;Bewertung_Stammdaten!J$66,Bewertung_Stammdaten!I$66,IF(AZ51&lt;Bewertung_Stammdaten!J$67,Bewertung_Stammdaten!I$67,IF(AZ51&lt;Bewertung_Stammdaten!J$68,Bewertung_Stammdaten!I$68,IF(AZ51&lt;Bewertung_Stammdaten!J$69,Bewertung_Stammdaten!I$69,IF(AZ51&lt;Bewertung_Stammdaten!J$70,Bewertung_Stammdaten!I$70,IF(AZ51&lt;Bewertung_Stammdaten!J$71,Bewertung_Stammdaten!I$71,IF(AZ51&lt;Bewertung_Stammdaten!J$72,Bewertung_Stammdaten!I$72,Bewertung_Stammdaten!I$73)))))))))</f>
        <v>1</v>
      </c>
      <c r="BD51" s="43"/>
      <c r="BE51" s="12">
        <f>VLOOKUP(A51,Aktien_im_Umlauf_splitbereinigt!A$3:Z$103,26,FALSE)</f>
        <v>0</v>
      </c>
      <c r="BF51" s="12">
        <f>VLOOKUP(A51,Aktien_im_Umlauf_splitbereinigt!A$3:Y$103,24,FALSE)</f>
        <v>2.7688359974270072E-3</v>
      </c>
      <c r="BG51" s="12">
        <f>VLOOKUP(A51,Aktien_im_Umlauf_splitbereinigt!A$3:Y$103,25,FALSE)</f>
        <v>-99.999989999999997</v>
      </c>
      <c r="BH51" s="41">
        <f>IF(BE51&lt;Bewertung_Stammdaten!B$77,Bewertung_Stammdaten!A$77,IF(BE51&lt;Bewertung_Stammdaten!B$78,Bewertung_Stammdaten!A$78,IF(BE51&lt;Bewertung_Stammdaten!B$79,Bewertung_Stammdaten!A$79,IF(BE51&lt;Bewertung_Stammdaten!B$80,Bewertung_Stammdaten!A$80,IF(BE51&lt;Bewertung_Stammdaten!B$81,Bewertung_Stammdaten!A$81,IF(BE51&lt;Bewertung_Stammdaten!B$82,Bewertung_Stammdaten!A$82,IF(BE51&lt;Bewertung_Stammdaten!B$83,Bewertung_Stammdaten!A$83,IF(BE51&lt;Bewertung_Stammdaten!B$84,Bewertung_Stammdaten!A$84,IF(BE51&lt;Bewertung_Stammdaten!B$85,Bewertung_Stammdaten!A$85,Bewertung_Stammdaten!A$86)))))))))</f>
        <v>2</v>
      </c>
      <c r="BI51" s="41">
        <f>IF(BF51&lt;Bewertung_Stammdaten!F$77,Bewertung_Stammdaten!E$77,IF(BF51&lt;Bewertung_Stammdaten!F$78,Bewertung_Stammdaten!E$78,IF(BF51&lt;Bewertung_Stammdaten!F$79,Bewertung_Stammdaten!E$79,IF(BF51&lt;Bewertung_Stammdaten!F$80,Bewertung_Stammdaten!E$80,IF(BF51&lt;Bewertung_Stammdaten!F$81,Bewertung_Stammdaten!E$81,IF(BF51&lt;Bewertung_Stammdaten!F$82,Bewertung_Stammdaten!E$82,IF(BF51&lt;Bewertung_Stammdaten!F$83,Bewertung_Stammdaten!E$83,IF(BF51&lt;Bewertung_Stammdaten!F$84,Bewertung_Stammdaten!E$84,IF(BF51&lt;Bewertung_Stammdaten!F$85,Bewertung_Stammdaten!E$85,Bewertung_Stammdaten!E$86)))))))))</f>
        <v>2</v>
      </c>
      <c r="BJ51" s="41">
        <f>IF(BG51&lt;Bewertung_Stammdaten!J$77,Bewertung_Stammdaten!I$77,IF(BG51&lt;Bewertung_Stammdaten!J$78,Bewertung_Stammdaten!I$78,IF(BG51&lt;Bewertung_Stammdaten!J$79,Bewertung_Stammdaten!I$79,IF(BG51&lt;Bewertung_Stammdaten!J$80,Bewertung_Stammdaten!I$80,IF(BG51&lt;Bewertung_Stammdaten!J$81,Bewertung_Stammdaten!I$81,IF(BG51&lt;Bewertung_Stammdaten!J$82,Bewertung_Stammdaten!I$82,IF(BG51&lt;Bewertung_Stammdaten!J$83,Bewertung_Stammdaten!I$83,IF(BG51&lt;Bewertung_Stammdaten!J$84,Bewertung_Stammdaten!I$84,IF(BG51&lt;Bewertung_Stammdaten!J$85,Bewertung_Stammdaten!I$85,Bewertung_Stammdaten!I$86)))))))))</f>
        <v>0.5</v>
      </c>
      <c r="BK51" s="43"/>
      <c r="BL51" s="12">
        <f ca="1">VLOOKUP(A51,Ausschüttungsquote!A$3:X$103,23,FALSE)</f>
        <v>0.53175000370716374</v>
      </c>
      <c r="BM51" s="12">
        <f>VLOOKUP(A51,Ausschüttungsquote!A$3:X$103,19,FALSE)</f>
        <v>0.50519018514243497</v>
      </c>
      <c r="BN51" s="12">
        <f ca="1">VLOOKUP(A51,Ausschüttungsquote!A$3:X$103,24,FALSE)</f>
        <v>5.2573900574177657E-2</v>
      </c>
      <c r="BO51" s="32">
        <f ca="1">IF(BL51&lt;Bewertung_Stammdaten!B$90,Bewertung_Stammdaten!A$90,IF(BL51&lt;Bewertung_Stammdaten!B$91,Bewertung_Stammdaten!A$91,IF(BL51&lt;Bewertung_Stammdaten!B$92,Bewertung_Stammdaten!A$92,IF(BL51&lt;Bewertung_Stammdaten!B$93,Bewertung_Stammdaten!A$93,IF(BL51&lt;Bewertung_Stammdaten!B$94,Bewertung_Stammdaten!A$94,IF(BL51&lt;Bewertung_Stammdaten!B$95,Bewertung_Stammdaten!A$95,IF(BL51&lt;Bewertung_Stammdaten!B$96,Bewertung_Stammdaten!A$96,IF(BL51&lt;Bewertung_Stammdaten!B$97,Bewertung_Stammdaten!A$97,IF(BL51&lt;Bewertung_Stammdaten!B$98,Bewertung_Stammdaten!A$98,Bewertung_Stammdaten!A$99)))))))))</f>
        <v>7</v>
      </c>
      <c r="BP51" s="41">
        <f>IF(BM51&lt;Bewertung_Stammdaten!F$90,Bewertung_Stammdaten!E$90,IF(BM51&lt;Bewertung_Stammdaten!F$91,Bewertung_Stammdaten!E$91,IF(BM51&lt;Bewertung_Stammdaten!F$92,Bewertung_Stammdaten!E$92,IF(BM51&lt;Bewertung_Stammdaten!F$93,Bewertung_Stammdaten!E$93,IF(BM51&lt;Bewertung_Stammdaten!F$94,Bewertung_Stammdaten!E$94,IF(BM51&lt;Bewertung_Stammdaten!F$95,Bewertung_Stammdaten!E$95,IF(BM51&lt;Bewertung_Stammdaten!F$96,Bewertung_Stammdaten!E$96,IF(BM51&lt;Bewertung_Stammdaten!F$97,Bewertung_Stammdaten!E$97,IF(BM51&lt;Bewertung_Stammdaten!F$98,Bewertung_Stammdaten!E$98,Bewertung_Stammdaten!E$99)))))))))</f>
        <v>7</v>
      </c>
      <c r="BQ51" s="32">
        <f ca="1">IF(BN51&lt;Bewertung_Stammdaten!J$90,Bewertung_Stammdaten!I$90,IF(BN51&lt;Bewertung_Stammdaten!J$91,Bewertung_Stammdaten!I$91,IF(BN51&lt;Bewertung_Stammdaten!J$92,Bewertung_Stammdaten!I$92,IF(BN51&lt;Bewertung_Stammdaten!J$93,Bewertung_Stammdaten!I$93,IF(BN51&lt;Bewertung_Stammdaten!J$94,Bewertung_Stammdaten!I$94,IF(BN51&lt;Bewertung_Stammdaten!J$95,Bewertung_Stammdaten!I$95,IF(BN51&lt;Bewertung_Stammdaten!J$96,Bewertung_Stammdaten!I$96,IF(BN51&lt;Bewertung_Stammdaten!J$97,Bewertung_Stammdaten!I$97,IF(BN51&lt;Bewertung_Stammdaten!J$98,Bewertung_Stammdaten!I$98,Bewertung_Stammdaten!I$99)))))))))</f>
        <v>4</v>
      </c>
    </row>
    <row r="52" spans="1:69" x14ac:dyDescent="0.25">
      <c r="A52" s="55" t="s">
        <v>288</v>
      </c>
      <c r="B52" s="55" t="s">
        <v>289</v>
      </c>
      <c r="C52" s="38" t="s">
        <v>295</v>
      </c>
      <c r="D52" s="32">
        <f t="shared" ca="1" si="11"/>
        <v>175.5</v>
      </c>
      <c r="E52" s="43"/>
      <c r="F52" s="66">
        <v>1</v>
      </c>
      <c r="G52" s="11">
        <f ca="1">VLOOKUP(A52,KGV!A$3:R$103,17,FALSE)</f>
        <v>18.67108236232334</v>
      </c>
      <c r="H52" s="11">
        <f>VLOOKUP(A52,KGV!A$3:R$103,16,FALSE)</f>
        <v>15.550943396226415</v>
      </c>
      <c r="I52" s="12">
        <f ca="1">VLOOKUP(A52,KGV!A$3:R$103,18,FALSE)</f>
        <v>0.20063985101084314</v>
      </c>
      <c r="J52" s="16">
        <f t="shared" ca="1" si="12"/>
        <v>20.278019778752807</v>
      </c>
      <c r="K52" s="12">
        <f t="shared" ca="1" si="13"/>
        <v>0.30397360867980927</v>
      </c>
      <c r="L52" s="11">
        <f ca="1">VLOOKUP(A52,KBV!A$3:R$103,17,FALSE)</f>
        <v>9.5181899798422371</v>
      </c>
      <c r="M52" s="11">
        <f>VLOOKUP(A52,KBV!A$3:R$103,16,FALSE)</f>
        <v>8.7422512234910279</v>
      </c>
      <c r="N52" s="12">
        <f ca="1">VLOOKUP(A52,KBV!A$3:R$103,18,FALSE)</f>
        <v>8.8757316223790017E-2</v>
      </c>
      <c r="O52" s="16">
        <f t="shared" ca="1" si="9"/>
        <v>9.5181899798422371</v>
      </c>
      <c r="P52" s="12">
        <f t="shared" ca="1" si="10"/>
        <v>8.8757316223790017E-2</v>
      </c>
      <c r="Q52" s="32">
        <f ca="1">IF(F52=1,IF(I52&lt;Bewertung_Stammdaten!B$12,Bewertung_Stammdaten!A$12,IF(I52&lt;Bewertung_Stammdaten!B$13,Bewertung_Stammdaten!A$13,IF(I52&lt;Bewertung_Stammdaten!B$14,Bewertung_Stammdaten!A$14,IF(I52&lt;Bewertung_Stammdaten!B$15,Bewertung_Stammdaten!A$15,IF(I52&lt;Bewertung_Stammdaten!B$16,Bewertung_Stammdaten!A$16,IF(I52&lt;Bewertung_Stammdaten!B$17,Bewertung_Stammdaten!A$17,IF(I52&lt;Bewertung_Stammdaten!B$18,Bewertung_Stammdaten!A$18,IF(I52&lt;Bewertung_Stammdaten!B$19,Bewertung_Stammdaten!A$19,IF(I52&lt;Bewertung_Stammdaten!B$20,Bewertung_Stammdaten!A$20,Bewertung_Stammdaten!A$21))))))))),IF(N52&lt;Bewertung_Stammdaten!C$12,Bewertung_Stammdaten!A$12,IF(N52&lt;Bewertung_Stammdaten!C$13,Bewertung_Stammdaten!A$13,IF(N52&lt;Bewertung_Stammdaten!C$14,Bewertung_Stammdaten!A$14,IF(N52&lt;Bewertung_Stammdaten!C$15,Bewertung_Stammdaten!A$15,IF(N52&lt;Bewertung_Stammdaten!C$16,Bewertung_Stammdaten!A$16,IF(N52&lt;Bewertung_Stammdaten!C$17,Bewertung_Stammdaten!A$17,IF(N52&lt;Bewertung_Stammdaten!C$18,Bewertung_Stammdaten!A$18,IF(N52&lt;Bewertung_Stammdaten!C$19,Bewertung_Stammdaten!A$19,IF(N52&lt;Bewertung_Stammdaten!C$20,Bewertung_Stammdaten!A$20,Bewertung_Stammdaten!A$21))))))))))</f>
        <v>12</v>
      </c>
      <c r="R52" s="32">
        <f ca="1">IF(F52=1,IF(K52&lt;Bewertung_Stammdaten!F$12,Bewertung_Stammdaten!E$12,IF(K52&lt;Bewertung_Stammdaten!F$13,Bewertung_Stammdaten!E$13,IF(K52&lt;Bewertung_Stammdaten!F$14,Bewertung_Stammdaten!E$14,IF(K52&lt;Bewertung_Stammdaten!F$15,Bewertung_Stammdaten!E$15,IF(K52&lt;Bewertung_Stammdaten!F$16,Bewertung_Stammdaten!E$16,IF(K52&lt;Bewertung_Stammdaten!F$17,Bewertung_Stammdaten!E$17,IF(K52&lt;Bewertung_Stammdaten!F$18,Bewertung_Stammdaten!E$18,IF(K52&lt;Bewertung_Stammdaten!F$19,Bewertung_Stammdaten!E$19,IF(K52&lt;Bewertung_Stammdaten!F$20,Bewertung_Stammdaten!E$20,Bewertung_Stammdaten!E$21))))))))),IF(P52&lt;Bewertung_Stammdaten!G$12,Bewertung_Stammdaten!E$12,IF(P52&lt;Bewertung_Stammdaten!G$13,Bewertung_Stammdaten!E$13,IF(P52&lt;Bewertung_Stammdaten!G$14,Bewertung_Stammdaten!E$14,IF(P52&lt;Bewertung_Stammdaten!G$15,Bewertung_Stammdaten!E$15,IF(P52&lt;Bewertung_Stammdaten!G$16,Bewertung_Stammdaten!E$16,IF(P52&lt;Bewertung_Stammdaten!G$17,Bewertung_Stammdaten!E$17,IF(P52&lt;Bewertung_Stammdaten!G$18,Bewertung_Stammdaten!E$18,IF(P52&lt;Bewertung_Stammdaten!G$19,Bewertung_Stammdaten!E$19,IF(P52&lt;Bewertung_Stammdaten!G$20,Bewertung_Stammdaten!E$20,Bewertung_Stammdaten!E$21))))))))))</f>
        <v>7.5</v>
      </c>
      <c r="S52" s="43"/>
      <c r="T52" s="11">
        <f ca="1">VLOOKUP(A52,Buchwert_je_Aktie!A$3:AK$103,23,FALSE)</f>
        <v>9.8390555555555572</v>
      </c>
      <c r="U52" s="11">
        <f>VLOOKUP(A52,Buchwert_je_Aktie!A$3:AK$103,19,FALSE)</f>
        <v>5.9492307692307698</v>
      </c>
      <c r="V52" s="12">
        <f ca="1">VLOOKUP(A52,Buchwert_je_Aktie!A$3:AK$103,24,FALSE)</f>
        <v>0.65383659454644727</v>
      </c>
      <c r="W52" s="12">
        <f>VLOOKUP(A52,Buchwert_je_Aktie!A$3:AK$103,37,FALSE)</f>
        <v>2.2613065326633208E-2</v>
      </c>
      <c r="X52" s="16">
        <f t="shared" ca="1" si="14"/>
        <v>9.8390555555555572</v>
      </c>
      <c r="Y52" s="12">
        <f t="shared" ca="1" si="15"/>
        <v>0.65383659454644727</v>
      </c>
      <c r="Z52" s="51">
        <f ca="1">IF(V52&lt;Bewertung_Stammdaten!B$25,Bewertung_Stammdaten!A$25,IF(V52&lt;Bewertung_Stammdaten!B$26,Bewertung_Stammdaten!A$26,IF(V52&lt;Bewertung_Stammdaten!B$27,Bewertung_Stammdaten!A$27,IF(V52&lt;Bewertung_Stammdaten!B$28,Bewertung_Stammdaten!A$28,IF(V52&lt;Bewertung_Stammdaten!B$29,Bewertung_Stammdaten!A$29,IF(V52&lt;Bewertung_Stammdaten!B$30,Bewertung_Stammdaten!A$30,IF(V52&lt;Bewertung_Stammdaten!B$31,Bewertung_Stammdaten!A$31,IF(V52&lt;Bewertung_Stammdaten!B$32,Bewertung_Stammdaten!A$32,IF(V52&lt;Bewertung_Stammdaten!B$33,Bewertung_Stammdaten!A$33,Bewertung_Stammdaten!A$34)))))))))</f>
        <v>13.5</v>
      </c>
      <c r="AA52" s="51">
        <f>IF(W52&lt;Bewertung_Stammdaten!F$25,Bewertung_Stammdaten!E$25,IF(W52&lt;Bewertung_Stammdaten!F$26,Bewertung_Stammdaten!E$26,IF(W52&lt;Bewertung_Stammdaten!F$27,Bewertung_Stammdaten!E$27,IF(W52&lt;Bewertung_Stammdaten!F$28,Bewertung_Stammdaten!E$28,IF(W52&lt;Bewertung_Stammdaten!F$29,Bewertung_Stammdaten!E$29,IF(W52&lt;Bewertung_Stammdaten!F$30,Bewertung_Stammdaten!E$30,IF(W52&lt;Bewertung_Stammdaten!F$31,Bewertung_Stammdaten!E$31,IF(W52&lt;Bewertung_Stammdaten!F$32,Bewertung_Stammdaten!E$32,IF(W52&lt;Bewertung_Stammdaten!F$33,Bewertung_Stammdaten!E$33,Bewertung_Stammdaten!E$34)))))))))</f>
        <v>12</v>
      </c>
      <c r="AB52" s="51">
        <f ca="1">IF(Y52&lt;Bewertung_Stammdaten!J$25,Bewertung_Stammdaten!I$25,IF(Y52&lt;Bewertung_Stammdaten!J$26,Bewertung_Stammdaten!I$26,IF(Y52&lt;Bewertung_Stammdaten!J$27,Bewertung_Stammdaten!I$27,IF(Y52&lt;Bewertung_Stammdaten!J$28,Bewertung_Stammdaten!I$28,IF(Y52&lt;Bewertung_Stammdaten!J$29,Bewertung_Stammdaten!I$29,IF(Y52&lt;Bewertung_Stammdaten!J$30,Bewertung_Stammdaten!I$30,IF(Y52&lt;Bewertung_Stammdaten!J$31,Bewertung_Stammdaten!I$31,IF(Y52&lt;Bewertung_Stammdaten!J$32,Bewertung_Stammdaten!I$32,IF(Y52&lt;Bewertung_Stammdaten!J$33,Bewertung_Stammdaten!I$33,Bewertung_Stammdaten!I$34)))))))))</f>
        <v>9</v>
      </c>
      <c r="AC52" s="43"/>
      <c r="AD52" s="14">
        <f ca="1">VLOOKUP(A52,Ergebnis_je_Aktie_verwässert!A$3:AK$103,23,FALSE)</f>
        <v>5.0157777777777772</v>
      </c>
      <c r="AE52" s="14">
        <f>VLOOKUP(A52,Ergebnis_je_Aktie_verwässert!A$3:AK$103,19,FALSE)</f>
        <v>3.4184615384615382</v>
      </c>
      <c r="AF52" s="12">
        <f ca="1">VLOOKUP(A52,Ergebnis_je_Aktie_verwässert!A$3:AK$103,24,FALSE)</f>
        <v>0.4672617261726173</v>
      </c>
      <c r="AG52" s="40">
        <f>VLOOKUP(A52,Ergebnis_je_Aktie_verwässert!A$3:AK$103,37,FALSE)</f>
        <v>-7.9245283018867907E-2</v>
      </c>
      <c r="AH52" s="16">
        <f t="shared" ca="1" si="16"/>
        <v>4.6183010482180293</v>
      </c>
      <c r="AI52" s="12">
        <f t="shared" ca="1" si="17"/>
        <v>0.35098815541931572</v>
      </c>
      <c r="AJ52" s="32">
        <f ca="1">IF(AF52&lt;Bewertung_Stammdaten!B$38,Bewertung_Stammdaten!A$38,IF(AF52&lt;Bewertung_Stammdaten!B$39,Bewertung_Stammdaten!A$39,IF(AF52&lt;Bewertung_Stammdaten!B$40,Bewertung_Stammdaten!A$40,IF(AF52&lt;Bewertung_Stammdaten!B$41,Bewertung_Stammdaten!A$41,IF(AF52&lt;Bewertung_Stammdaten!B$42,Bewertung_Stammdaten!A$42,IF(AF52&lt;Bewertung_Stammdaten!B$43,Bewertung_Stammdaten!A$43,IF(AF52&lt;Bewertung_Stammdaten!B$44,Bewertung_Stammdaten!A$44,IF(AF52&lt;Bewertung_Stammdaten!B$45,Bewertung_Stammdaten!A$45,IF(AF52&lt;Bewertung_Stammdaten!B$46,Bewertung_Stammdaten!A$46,Bewertung_Stammdaten!A$47)))))))))</f>
        <v>16</v>
      </c>
      <c r="AK52" s="32">
        <f>IF(AG52&lt;Bewertung_Stammdaten!F$38,Bewertung_Stammdaten!E$38,IF(AG52&lt;Bewertung_Stammdaten!F$39,Bewertung_Stammdaten!E$39,IF(AG52&lt;Bewertung_Stammdaten!F$40,Bewertung_Stammdaten!E$40,IF(AG52&lt;Bewertung_Stammdaten!F$41,Bewertung_Stammdaten!E$41,IF(AG52&lt;Bewertung_Stammdaten!F$42,Bewertung_Stammdaten!E$42,IF(AG52&lt;Bewertung_Stammdaten!F$43,Bewertung_Stammdaten!E$43,IF(AG52&lt;Bewertung_Stammdaten!F$44,Bewertung_Stammdaten!E$44,IF(AG52&lt;Bewertung_Stammdaten!F$45,Bewertung_Stammdaten!E$45,IF(AG52&lt;Bewertung_Stammdaten!F$46,Bewertung_Stammdaten!E$46,Bewertung_Stammdaten!E$47)))))))))</f>
        <v>10.5</v>
      </c>
      <c r="AL52" s="32">
        <f ca="1">IF(AI52&lt;Bewertung_Stammdaten!J$38,Bewertung_Stammdaten!I$38,IF(AI52&lt;Bewertung_Stammdaten!J$39,Bewertung_Stammdaten!I$39,IF(AI52&lt;Bewertung_Stammdaten!J$40,Bewertung_Stammdaten!I$40,IF(AI52&lt;Bewertung_Stammdaten!J$41,Bewertung_Stammdaten!I$41,IF(AI52&lt;Bewertung_Stammdaten!J$42,Bewertung_Stammdaten!I$42,IF(AI52&lt;Bewertung_Stammdaten!J$43,Bewertung_Stammdaten!I$43,IF(AI52&lt;Bewertung_Stammdaten!J$44,Bewertung_Stammdaten!I$44,IF(AI52&lt;Bewertung_Stammdaten!J$45,Bewertung_Stammdaten!I$45,IF(AI52&lt;Bewertung_Stammdaten!J$46,Bewertung_Stammdaten!I$46,Bewertung_Stammdaten!I$47)))))))))</f>
        <v>8</v>
      </c>
      <c r="AM52" s="43"/>
      <c r="AN52" s="14">
        <f ca="1">VLOOKUP(A52,Dividende_je_Aktie!A$3:AM$103,24,FALSE)</f>
        <v>2.1342777777777777</v>
      </c>
      <c r="AO52" s="14">
        <f>VLOOKUP(A52,Dividende_je_Aktie!A$3:AM$103,20,FALSE)</f>
        <v>1.0707142857142855</v>
      </c>
      <c r="AP52" s="12">
        <f ca="1">VLOOKUP(A52,Dividende_je_Aktie!A$3:AM$103,25,FALSE)</f>
        <v>0.99332147357497624</v>
      </c>
      <c r="AQ52" s="40">
        <f>VLOOKUP(A52,Dividende_je_Aktie!A$3:AM$103,39,FALSE)</f>
        <v>-0.20353982300884943</v>
      </c>
      <c r="AR52" s="16">
        <f t="shared" ca="1" si="18"/>
        <v>1.6998672566371684</v>
      </c>
      <c r="AS52" s="12">
        <f t="shared" ca="1" si="19"/>
        <v>0.58760117364378672</v>
      </c>
      <c r="AT52" s="32">
        <f ca="1">IF(AP52&lt;Bewertung_Stammdaten!B$51,Bewertung_Stammdaten!A$51,IF(AP52&lt;Bewertung_Stammdaten!B$52,Bewertung_Stammdaten!A$52,IF(AP52&lt;Bewertung_Stammdaten!B$53,Bewertung_Stammdaten!A$53,IF(AP52&lt;Bewertung_Stammdaten!B$54,Bewertung_Stammdaten!A$54,IF(AP52&lt;Bewertung_Stammdaten!B$55,Bewertung_Stammdaten!A$55,IF(AP52&lt;Bewertung_Stammdaten!B$56,Bewertung_Stammdaten!A$56,IF(AP52&lt;Bewertung_Stammdaten!B$57,Bewertung_Stammdaten!A$57,IF(AP52&lt;Bewertung_Stammdaten!B$58,Bewertung_Stammdaten!A$58,IF(AP52&lt;Bewertung_Stammdaten!B$59,Bewertung_Stammdaten!A$59,Bewertung_Stammdaten!A$60)))))))))</f>
        <v>20</v>
      </c>
      <c r="AU52" s="32">
        <f>IF(AQ52&lt;Bewertung_Stammdaten!F$51,Bewertung_Stammdaten!E$51,IF(AQ52&lt;Bewertung_Stammdaten!F$52,Bewertung_Stammdaten!E$52,IF(AQ52&lt;Bewertung_Stammdaten!F$53,Bewertung_Stammdaten!E$53,IF(AQ52&lt;Bewertung_Stammdaten!F$54,Bewertung_Stammdaten!E$54,IF(AQ52&lt;Bewertung_Stammdaten!F$55,Bewertung_Stammdaten!E$55,IF(AQ52&lt;Bewertung_Stammdaten!F$56,Bewertung_Stammdaten!E$56,IF(AQ52&lt;Bewertung_Stammdaten!F$57,Bewertung_Stammdaten!E$57,IF(AQ52&lt;Bewertung_Stammdaten!F$58,Bewertung_Stammdaten!E$58,IF(AQ52&lt;Bewertung_Stammdaten!F$59,Bewertung_Stammdaten!E$59,Bewertung_Stammdaten!E$60)))))))))</f>
        <v>7.5</v>
      </c>
      <c r="AV52" s="32">
        <f ca="1">IF(AS52&lt;Bewertung_Stammdaten!J$51,Bewertung_Stammdaten!I$51,IF(AS52&lt;Bewertung_Stammdaten!J$52,Bewertung_Stammdaten!I$52,IF(AS52&lt;Bewertung_Stammdaten!J$53,Bewertung_Stammdaten!I$53,IF(AS52&lt;Bewertung_Stammdaten!J$54,Bewertung_Stammdaten!I$54,IF(AS52&lt;Bewertung_Stammdaten!J$55,Bewertung_Stammdaten!I$55,IF(AS52&lt;Bewertung_Stammdaten!J$56,Bewertung_Stammdaten!I$56,IF(AS52&lt;Bewertung_Stammdaten!J$57,Bewertung_Stammdaten!I$57,IF(AS52&lt;Bewertung_Stammdaten!J$58,Bewertung_Stammdaten!I$58,IF(AS52&lt;Bewertung_Stammdaten!J$59,Bewertung_Stammdaten!I$59,Bewertung_Stammdaten!I$60)))))))))</f>
        <v>10</v>
      </c>
      <c r="AW52" s="43"/>
      <c r="AX52" s="12">
        <f ca="1">VLOOKUP(A52,Dividendenrendite!A$3:R$103,17,FALSE)</f>
        <v>2.2789938897787267E-2</v>
      </c>
      <c r="AY52" s="12">
        <f>VLOOKUP(A52,Dividendenrendite!A$3:R$103,16,FALSE)</f>
        <v>1.5678521511331797E-2</v>
      </c>
      <c r="AZ52" s="12">
        <f ca="1">VLOOKUP(A52,Dividendenrendite!A$3:R$103,18,FALSE)</f>
        <v>0.45357704049553571</v>
      </c>
      <c r="BA52" s="32">
        <f ca="1">IF(AX52&lt;Bewertung_Stammdaten!B$64,Bewertung_Stammdaten!A$64,IF(AX52&lt;Bewertung_Stammdaten!B$65,Bewertung_Stammdaten!A$65,IF(AX52&lt;Bewertung_Stammdaten!B$66,Bewertung_Stammdaten!A$66,IF(AX52&lt;Bewertung_Stammdaten!B$67,Bewertung_Stammdaten!A$67,IF(AX52&lt;Bewertung_Stammdaten!B$68,Bewertung_Stammdaten!A$68,IF(AX52&lt;Bewertung_Stammdaten!B$69,Bewertung_Stammdaten!A$69,IF(AX52&lt;Bewertung_Stammdaten!B$70,Bewertung_Stammdaten!A$70,IF(AX52&lt;Bewertung_Stammdaten!B$71,Bewertung_Stammdaten!A$71,IF(AX52&lt;Bewertung_Stammdaten!B$72,Bewertung_Stammdaten!A$72,Bewertung_Stammdaten!A$73)))))))))</f>
        <v>7.5</v>
      </c>
      <c r="BB52" s="32">
        <f>IF(AY52&lt;Bewertung_Stammdaten!F$64,Bewertung_Stammdaten!E$64,IF(AY52&lt;Bewertung_Stammdaten!F$65,Bewertung_Stammdaten!E$65,IF(AY52&lt;Bewertung_Stammdaten!F$66,Bewertung_Stammdaten!E$66,IF(AY52&lt;Bewertung_Stammdaten!F$67,Bewertung_Stammdaten!E$67,IF(AY52&lt;Bewertung_Stammdaten!F$68,Bewertung_Stammdaten!E$68,IF(AY52&lt;Bewertung_Stammdaten!F$69,Bewertung_Stammdaten!E$69,IF(AY52&lt;Bewertung_Stammdaten!F$70,Bewertung_Stammdaten!E$70,IF(AY52&lt;Bewertung_Stammdaten!F$71,Bewertung_Stammdaten!E$71,IF(AY52&lt;Bewertung_Stammdaten!F$72,Bewertung_Stammdaten!E$72,Bewertung_Stammdaten!E$73)))))))))</f>
        <v>4</v>
      </c>
      <c r="BC52" s="32">
        <f ca="1">IF(AZ52&lt;Bewertung_Stammdaten!J$64,Bewertung_Stammdaten!I$64,IF(AZ52&lt;Bewertung_Stammdaten!J$65,Bewertung_Stammdaten!I$65,IF(AZ52&lt;Bewertung_Stammdaten!J$66,Bewertung_Stammdaten!I$66,IF(AZ52&lt;Bewertung_Stammdaten!J$67,Bewertung_Stammdaten!I$67,IF(AZ52&lt;Bewertung_Stammdaten!J$68,Bewertung_Stammdaten!I$68,IF(AZ52&lt;Bewertung_Stammdaten!J$69,Bewertung_Stammdaten!I$69,IF(AZ52&lt;Bewertung_Stammdaten!J$70,Bewertung_Stammdaten!I$70,IF(AZ52&lt;Bewertung_Stammdaten!J$71,Bewertung_Stammdaten!I$71,IF(AZ52&lt;Bewertung_Stammdaten!J$72,Bewertung_Stammdaten!I$72,Bewertung_Stammdaten!I$73)))))))))</f>
        <v>5</v>
      </c>
      <c r="BD52" s="43"/>
      <c r="BE52" s="12">
        <f>VLOOKUP(A52,Aktien_im_Umlauf_splitbereinigt!A$3:Z$103,26,FALSE)</f>
        <v>-1.470676511195157E-2</v>
      </c>
      <c r="BF52" s="12">
        <f>VLOOKUP(A52,Aktien_im_Umlauf_splitbereinigt!A$3:Y$103,24,FALSE)</f>
        <v>-1.4612542092622777E-2</v>
      </c>
      <c r="BG52" s="12">
        <f>VLOOKUP(A52,Aktien_im_Umlauf_splitbereinigt!A$3:Y$103,25,FALSE)</f>
        <v>6.4480922437419874E-3</v>
      </c>
      <c r="BH52" s="41">
        <f>IF(BE52&lt;Bewertung_Stammdaten!B$77,Bewertung_Stammdaten!A$77,IF(BE52&lt;Bewertung_Stammdaten!B$78,Bewertung_Stammdaten!A$78,IF(BE52&lt;Bewertung_Stammdaten!B$79,Bewertung_Stammdaten!A$79,IF(BE52&lt;Bewertung_Stammdaten!B$80,Bewertung_Stammdaten!A$80,IF(BE52&lt;Bewertung_Stammdaten!B$81,Bewertung_Stammdaten!A$81,IF(BE52&lt;Bewertung_Stammdaten!B$82,Bewertung_Stammdaten!A$82,IF(BE52&lt;Bewertung_Stammdaten!B$83,Bewertung_Stammdaten!A$83,IF(BE52&lt;Bewertung_Stammdaten!B$84,Bewertung_Stammdaten!A$84,IF(BE52&lt;Bewertung_Stammdaten!B$85,Bewertung_Stammdaten!A$85,Bewertung_Stammdaten!A$86)))))))))</f>
        <v>5</v>
      </c>
      <c r="BI52" s="41">
        <f>IF(BF52&lt;Bewertung_Stammdaten!F$77,Bewertung_Stammdaten!E$77,IF(BF52&lt;Bewertung_Stammdaten!F$78,Bewertung_Stammdaten!E$78,IF(BF52&lt;Bewertung_Stammdaten!F$79,Bewertung_Stammdaten!E$79,IF(BF52&lt;Bewertung_Stammdaten!F$80,Bewertung_Stammdaten!E$80,IF(BF52&lt;Bewertung_Stammdaten!F$81,Bewertung_Stammdaten!E$81,IF(BF52&lt;Bewertung_Stammdaten!F$82,Bewertung_Stammdaten!E$82,IF(BF52&lt;Bewertung_Stammdaten!F$83,Bewertung_Stammdaten!E$83,IF(BF52&lt;Bewertung_Stammdaten!F$84,Bewertung_Stammdaten!E$84,IF(BF52&lt;Bewertung_Stammdaten!F$85,Bewertung_Stammdaten!E$85,Bewertung_Stammdaten!E$86)))))))))</f>
        <v>5</v>
      </c>
      <c r="BJ52" s="41">
        <f>IF(BG52&lt;Bewertung_Stammdaten!J$77,Bewertung_Stammdaten!I$77,IF(BG52&lt;Bewertung_Stammdaten!J$78,Bewertung_Stammdaten!I$78,IF(BG52&lt;Bewertung_Stammdaten!J$79,Bewertung_Stammdaten!I$79,IF(BG52&lt;Bewertung_Stammdaten!J$80,Bewertung_Stammdaten!I$80,IF(BG52&lt;Bewertung_Stammdaten!J$81,Bewertung_Stammdaten!I$81,IF(BG52&lt;Bewertung_Stammdaten!J$82,Bewertung_Stammdaten!I$82,IF(BG52&lt;Bewertung_Stammdaten!J$83,Bewertung_Stammdaten!I$83,IF(BG52&lt;Bewertung_Stammdaten!J$84,Bewertung_Stammdaten!I$84,IF(BG52&lt;Bewertung_Stammdaten!J$85,Bewertung_Stammdaten!I$85,Bewertung_Stammdaten!I$86)))))))))</f>
        <v>3</v>
      </c>
      <c r="BK52" s="43"/>
      <c r="BL52" s="12">
        <f ca="1">VLOOKUP(A52,Ausschüttungsquote!A$3:X$103,23,FALSE)</f>
        <v>0.42558139534883721</v>
      </c>
      <c r="BM52" s="12">
        <f>VLOOKUP(A52,Ausschüttungsquote!A$3:X$103,19,FALSE)</f>
        <v>0.29464304791396373</v>
      </c>
      <c r="BN52" s="12">
        <f ca="1">VLOOKUP(A52,Ausschüttungsquote!A$3:X$103,24,FALSE)</f>
        <v>0.44439652780508743</v>
      </c>
      <c r="BO52" s="32">
        <f ca="1">IF(BL52&lt;Bewertung_Stammdaten!B$90,Bewertung_Stammdaten!A$90,IF(BL52&lt;Bewertung_Stammdaten!B$91,Bewertung_Stammdaten!A$91,IF(BL52&lt;Bewertung_Stammdaten!B$92,Bewertung_Stammdaten!A$92,IF(BL52&lt;Bewertung_Stammdaten!B$93,Bewertung_Stammdaten!A$93,IF(BL52&lt;Bewertung_Stammdaten!B$94,Bewertung_Stammdaten!A$94,IF(BL52&lt;Bewertung_Stammdaten!B$95,Bewertung_Stammdaten!A$95,IF(BL52&lt;Bewertung_Stammdaten!B$96,Bewertung_Stammdaten!A$96,IF(BL52&lt;Bewertung_Stammdaten!B$97,Bewertung_Stammdaten!A$97,IF(BL52&lt;Bewertung_Stammdaten!B$98,Bewertung_Stammdaten!A$98,Bewertung_Stammdaten!A$99)))))))))</f>
        <v>9</v>
      </c>
      <c r="BP52" s="41">
        <f>IF(BM52&lt;Bewertung_Stammdaten!F$90,Bewertung_Stammdaten!E$90,IF(BM52&lt;Bewertung_Stammdaten!F$91,Bewertung_Stammdaten!E$91,IF(BM52&lt;Bewertung_Stammdaten!F$92,Bewertung_Stammdaten!E$92,IF(BM52&lt;Bewertung_Stammdaten!F$93,Bewertung_Stammdaten!E$93,IF(BM52&lt;Bewertung_Stammdaten!F$94,Bewertung_Stammdaten!E$94,IF(BM52&lt;Bewertung_Stammdaten!F$95,Bewertung_Stammdaten!E$95,IF(BM52&lt;Bewertung_Stammdaten!F$96,Bewertung_Stammdaten!E$96,IF(BM52&lt;Bewertung_Stammdaten!F$97,Bewertung_Stammdaten!E$97,IF(BM52&lt;Bewertung_Stammdaten!F$98,Bewertung_Stammdaten!E$98,Bewertung_Stammdaten!E$99)))))))))</f>
        <v>10</v>
      </c>
      <c r="BQ52" s="32">
        <f ca="1">IF(BN52&lt;Bewertung_Stammdaten!J$90,Bewertung_Stammdaten!I$90,IF(BN52&lt;Bewertung_Stammdaten!J$91,Bewertung_Stammdaten!I$91,IF(BN52&lt;Bewertung_Stammdaten!J$92,Bewertung_Stammdaten!I$92,IF(BN52&lt;Bewertung_Stammdaten!J$93,Bewertung_Stammdaten!I$93,IF(BN52&lt;Bewertung_Stammdaten!J$94,Bewertung_Stammdaten!I$94,IF(BN52&lt;Bewertung_Stammdaten!J$95,Bewertung_Stammdaten!I$95,IF(BN52&lt;Bewertung_Stammdaten!J$96,Bewertung_Stammdaten!I$96,IF(BN52&lt;Bewertung_Stammdaten!J$97,Bewertung_Stammdaten!I$97,IF(BN52&lt;Bewertung_Stammdaten!J$98,Bewertung_Stammdaten!I$98,Bewertung_Stammdaten!I$99)))))))))</f>
        <v>1</v>
      </c>
    </row>
    <row r="53" spans="1:69" x14ac:dyDescent="0.25">
      <c r="A53" s="38" t="s">
        <v>257</v>
      </c>
      <c r="B53" s="38" t="s">
        <v>258</v>
      </c>
      <c r="C53" s="38" t="s">
        <v>295</v>
      </c>
      <c r="D53" s="32">
        <f t="shared" ca="1" si="11"/>
        <v>173.5</v>
      </c>
      <c r="E53" s="43"/>
      <c r="F53" s="66">
        <v>1</v>
      </c>
      <c r="G53" s="11">
        <f ca="1">VLOOKUP(A53,KGV!A$3:R$103,17,FALSE)</f>
        <v>22.177511903308506</v>
      </c>
      <c r="H53" s="11">
        <f>VLOOKUP(A53,KGV!A$3:R$103,16,FALSE)</f>
        <v>19.330143540669859</v>
      </c>
      <c r="I53" s="12">
        <f ca="1">VLOOKUP(A53,KGV!A$3:R$103,18,FALSE)</f>
        <v>0.14730197717610816</v>
      </c>
      <c r="J53" s="16">
        <f t="shared" ca="1" si="12"/>
        <v>24.405389811403428</v>
      </c>
      <c r="K53" s="12">
        <f t="shared" ca="1" si="13"/>
        <v>0.26255605707507823</v>
      </c>
      <c r="L53" s="11">
        <f ca="1">VLOOKUP(A53,KBV!A$3:R$103,17,FALSE)</f>
        <v>3.3621321488062188</v>
      </c>
      <c r="M53" s="11">
        <f>VLOOKUP(A53,KBV!A$3:R$103,16,FALSE)</f>
        <v>3.1537500000000001</v>
      </c>
      <c r="N53" s="12">
        <f ca="1">VLOOKUP(A53,KBV!A$3:R$103,18,FALSE)</f>
        <v>6.6074403109383617E-2</v>
      </c>
      <c r="O53" s="16">
        <f t="shared" ca="1" si="9"/>
        <v>3.5733005473149846</v>
      </c>
      <c r="P53" s="12">
        <f t="shared" ca="1" si="10"/>
        <v>0.13303227818152497</v>
      </c>
      <c r="Q53" s="32">
        <f ca="1">IF(F53=1,IF(I53&lt;Bewertung_Stammdaten!B$12,Bewertung_Stammdaten!A$12,IF(I53&lt;Bewertung_Stammdaten!B$13,Bewertung_Stammdaten!A$13,IF(I53&lt;Bewertung_Stammdaten!B$14,Bewertung_Stammdaten!A$14,IF(I53&lt;Bewertung_Stammdaten!B$15,Bewertung_Stammdaten!A$15,IF(I53&lt;Bewertung_Stammdaten!B$16,Bewertung_Stammdaten!A$16,IF(I53&lt;Bewertung_Stammdaten!B$17,Bewertung_Stammdaten!A$17,IF(I53&lt;Bewertung_Stammdaten!B$18,Bewertung_Stammdaten!A$18,IF(I53&lt;Bewertung_Stammdaten!B$19,Bewertung_Stammdaten!A$19,IF(I53&lt;Bewertung_Stammdaten!B$20,Bewertung_Stammdaten!A$20,Bewertung_Stammdaten!A$21))))))))),IF(N53&lt;Bewertung_Stammdaten!C$12,Bewertung_Stammdaten!A$12,IF(N53&lt;Bewertung_Stammdaten!C$13,Bewertung_Stammdaten!A$13,IF(N53&lt;Bewertung_Stammdaten!C$14,Bewertung_Stammdaten!A$14,IF(N53&lt;Bewertung_Stammdaten!C$15,Bewertung_Stammdaten!A$15,IF(N53&lt;Bewertung_Stammdaten!C$16,Bewertung_Stammdaten!A$16,IF(N53&lt;Bewertung_Stammdaten!C$17,Bewertung_Stammdaten!A$17,IF(N53&lt;Bewertung_Stammdaten!C$18,Bewertung_Stammdaten!A$18,IF(N53&lt;Bewertung_Stammdaten!C$19,Bewertung_Stammdaten!A$19,IF(N53&lt;Bewertung_Stammdaten!C$20,Bewertung_Stammdaten!A$20,Bewertung_Stammdaten!A$21))))))))))</f>
        <v>24</v>
      </c>
      <c r="R53" s="32">
        <f ca="1">IF(F53=1,IF(K53&lt;Bewertung_Stammdaten!F$12,Bewertung_Stammdaten!E$12,IF(K53&lt;Bewertung_Stammdaten!F$13,Bewertung_Stammdaten!E$13,IF(K53&lt;Bewertung_Stammdaten!F$14,Bewertung_Stammdaten!E$14,IF(K53&lt;Bewertung_Stammdaten!F$15,Bewertung_Stammdaten!E$15,IF(K53&lt;Bewertung_Stammdaten!F$16,Bewertung_Stammdaten!E$16,IF(K53&lt;Bewertung_Stammdaten!F$17,Bewertung_Stammdaten!E$17,IF(K53&lt;Bewertung_Stammdaten!F$18,Bewertung_Stammdaten!E$18,IF(K53&lt;Bewertung_Stammdaten!F$19,Bewertung_Stammdaten!E$19,IF(K53&lt;Bewertung_Stammdaten!F$20,Bewertung_Stammdaten!E$20,Bewertung_Stammdaten!E$21))))))))),IF(P53&lt;Bewertung_Stammdaten!G$12,Bewertung_Stammdaten!E$12,IF(P53&lt;Bewertung_Stammdaten!G$13,Bewertung_Stammdaten!E$13,IF(P53&lt;Bewertung_Stammdaten!G$14,Bewertung_Stammdaten!E$14,IF(P53&lt;Bewertung_Stammdaten!G$15,Bewertung_Stammdaten!E$15,IF(P53&lt;Bewertung_Stammdaten!G$16,Bewertung_Stammdaten!E$16,IF(P53&lt;Bewertung_Stammdaten!G$17,Bewertung_Stammdaten!E$17,IF(P53&lt;Bewertung_Stammdaten!G$18,Bewertung_Stammdaten!E$18,IF(P53&lt;Bewertung_Stammdaten!G$19,Bewertung_Stammdaten!E$19,IF(P53&lt;Bewertung_Stammdaten!G$20,Bewertung_Stammdaten!E$20,Bewertung_Stammdaten!E$21))))))))))</f>
        <v>10</v>
      </c>
      <c r="S53" s="43"/>
      <c r="T53" s="11">
        <f ca="1">VLOOKUP(A53,Buchwert_je_Aktie!A$3:AK$103,23,FALSE)</f>
        <v>22.512499999999999</v>
      </c>
      <c r="U53" s="11">
        <f>VLOOKUP(A53,Buchwert_je_Aktie!A$3:AK$103,19,FALSE)</f>
        <v>15.267692307692307</v>
      </c>
      <c r="V53" s="12">
        <f ca="1">VLOOKUP(A53,Buchwert_je_Aktie!A$3:AK$103,24,FALSE)</f>
        <v>0.47451884320838378</v>
      </c>
      <c r="W53" s="12">
        <f>VLOOKUP(A53,Buchwert_je_Aktie!A$3:AK$103,37,FALSE)</f>
        <v>-5.909617612978002E-2</v>
      </c>
      <c r="X53" s="16">
        <f t="shared" ca="1" si="14"/>
        <v>21.182097334878328</v>
      </c>
      <c r="Y53" s="12">
        <f t="shared" ca="1" si="15"/>
        <v>0.38738041794346167</v>
      </c>
      <c r="Z53" s="51">
        <f ca="1">IF(V53&lt;Bewertung_Stammdaten!B$25,Bewertung_Stammdaten!A$25,IF(V53&lt;Bewertung_Stammdaten!B$26,Bewertung_Stammdaten!A$26,IF(V53&lt;Bewertung_Stammdaten!B$27,Bewertung_Stammdaten!A$27,IF(V53&lt;Bewertung_Stammdaten!B$28,Bewertung_Stammdaten!A$28,IF(V53&lt;Bewertung_Stammdaten!B$29,Bewertung_Stammdaten!A$29,IF(V53&lt;Bewertung_Stammdaten!B$30,Bewertung_Stammdaten!A$30,IF(V53&lt;Bewertung_Stammdaten!B$31,Bewertung_Stammdaten!A$31,IF(V53&lt;Bewertung_Stammdaten!B$32,Bewertung_Stammdaten!A$32,IF(V53&lt;Bewertung_Stammdaten!B$33,Bewertung_Stammdaten!A$33,Bewertung_Stammdaten!A$34)))))))))</f>
        <v>10.5</v>
      </c>
      <c r="AA53" s="51">
        <f>IF(W53&lt;Bewertung_Stammdaten!F$25,Bewertung_Stammdaten!E$25,IF(W53&lt;Bewertung_Stammdaten!F$26,Bewertung_Stammdaten!E$26,IF(W53&lt;Bewertung_Stammdaten!F$27,Bewertung_Stammdaten!E$27,IF(W53&lt;Bewertung_Stammdaten!F$28,Bewertung_Stammdaten!E$28,IF(W53&lt;Bewertung_Stammdaten!F$29,Bewertung_Stammdaten!E$29,IF(W53&lt;Bewertung_Stammdaten!F$30,Bewertung_Stammdaten!E$30,IF(W53&lt;Bewertung_Stammdaten!F$31,Bewertung_Stammdaten!E$31,IF(W53&lt;Bewertung_Stammdaten!F$32,Bewertung_Stammdaten!E$32,IF(W53&lt;Bewertung_Stammdaten!F$33,Bewertung_Stammdaten!E$33,Bewertung_Stammdaten!E$34)))))))))</f>
        <v>9</v>
      </c>
      <c r="AB53" s="51">
        <f ca="1">IF(Y53&lt;Bewertung_Stammdaten!J$25,Bewertung_Stammdaten!I$25,IF(Y53&lt;Bewertung_Stammdaten!J$26,Bewertung_Stammdaten!I$26,IF(Y53&lt;Bewertung_Stammdaten!J$27,Bewertung_Stammdaten!I$27,IF(Y53&lt;Bewertung_Stammdaten!J$28,Bewertung_Stammdaten!I$28,IF(Y53&lt;Bewertung_Stammdaten!J$29,Bewertung_Stammdaten!I$29,IF(Y53&lt;Bewertung_Stammdaten!J$30,Bewertung_Stammdaten!I$30,IF(Y53&lt;Bewertung_Stammdaten!J$31,Bewertung_Stammdaten!I$31,IF(Y53&lt;Bewertung_Stammdaten!J$32,Bewertung_Stammdaten!I$32,IF(Y53&lt;Bewertung_Stammdaten!J$33,Bewertung_Stammdaten!I$33,Bewertung_Stammdaten!I$34)))))))))</f>
        <v>6</v>
      </c>
      <c r="AC53" s="43"/>
      <c r="AD53" s="14">
        <f ca="1">VLOOKUP(A53,Ergebnis_je_Aktie_verwässert!A$3:AK$103,23,FALSE)</f>
        <v>3.4129166666666668</v>
      </c>
      <c r="AE53" s="14">
        <f>VLOOKUP(A53,Ergebnis_je_Aktie_verwässert!A$3:AK$103,19,FALSE)</f>
        <v>2.9346153846153844</v>
      </c>
      <c r="AF53" s="12">
        <f ca="1">VLOOKUP(A53,Ergebnis_je_Aktie_verwässert!A$3:AK$103,24,FALSE)</f>
        <v>0.16298602009611196</v>
      </c>
      <c r="AG53" s="40">
        <f>VLOOKUP(A53,Ergebnis_je_Aktie_verwässert!A$3:AK$103,37,FALSE)</f>
        <v>-9.1286307053942028E-2</v>
      </c>
      <c r="AH53" s="16">
        <f t="shared" ca="1" si="16"/>
        <v>3.1013641078838172</v>
      </c>
      <c r="AI53" s="12">
        <f t="shared" ca="1" si="17"/>
        <v>5.6821321166176331E-2</v>
      </c>
      <c r="AJ53" s="32">
        <f ca="1">IF(AF53&lt;Bewertung_Stammdaten!B$38,Bewertung_Stammdaten!A$38,IF(AF53&lt;Bewertung_Stammdaten!B$39,Bewertung_Stammdaten!A$39,IF(AF53&lt;Bewertung_Stammdaten!B$40,Bewertung_Stammdaten!A$40,IF(AF53&lt;Bewertung_Stammdaten!B$41,Bewertung_Stammdaten!A$41,IF(AF53&lt;Bewertung_Stammdaten!B$42,Bewertung_Stammdaten!A$42,IF(AF53&lt;Bewertung_Stammdaten!B$43,Bewertung_Stammdaten!A$43,IF(AF53&lt;Bewertung_Stammdaten!B$44,Bewertung_Stammdaten!A$44,IF(AF53&lt;Bewertung_Stammdaten!B$45,Bewertung_Stammdaten!A$45,IF(AF53&lt;Bewertung_Stammdaten!B$46,Bewertung_Stammdaten!A$46,Bewertung_Stammdaten!A$47)))))))))</f>
        <v>10</v>
      </c>
      <c r="AK53" s="32">
        <f>IF(AG53&lt;Bewertung_Stammdaten!F$38,Bewertung_Stammdaten!E$38,IF(AG53&lt;Bewertung_Stammdaten!F$39,Bewertung_Stammdaten!E$39,IF(AG53&lt;Bewertung_Stammdaten!F$40,Bewertung_Stammdaten!E$40,IF(AG53&lt;Bewertung_Stammdaten!F$41,Bewertung_Stammdaten!E$41,IF(AG53&lt;Bewertung_Stammdaten!F$42,Bewertung_Stammdaten!E$42,IF(AG53&lt;Bewertung_Stammdaten!F$43,Bewertung_Stammdaten!E$43,IF(AG53&lt;Bewertung_Stammdaten!F$44,Bewertung_Stammdaten!E$44,IF(AG53&lt;Bewertung_Stammdaten!F$45,Bewertung_Stammdaten!E$45,IF(AG53&lt;Bewertung_Stammdaten!F$46,Bewertung_Stammdaten!E$46,Bewertung_Stammdaten!E$47)))))))))</f>
        <v>10.5</v>
      </c>
      <c r="AL53" s="32">
        <f ca="1">IF(AI53&lt;Bewertung_Stammdaten!J$38,Bewertung_Stammdaten!I$38,IF(AI53&lt;Bewertung_Stammdaten!J$39,Bewertung_Stammdaten!I$39,IF(AI53&lt;Bewertung_Stammdaten!J$40,Bewertung_Stammdaten!I$40,IF(AI53&lt;Bewertung_Stammdaten!J$41,Bewertung_Stammdaten!I$41,IF(AI53&lt;Bewertung_Stammdaten!J$42,Bewertung_Stammdaten!I$42,IF(AI53&lt;Bewertung_Stammdaten!J$43,Bewertung_Stammdaten!I$43,IF(AI53&lt;Bewertung_Stammdaten!J$44,Bewertung_Stammdaten!I$44,IF(AI53&lt;Bewertung_Stammdaten!J$45,Bewertung_Stammdaten!I$45,IF(AI53&lt;Bewertung_Stammdaten!J$46,Bewertung_Stammdaten!I$46,Bewertung_Stammdaten!I$47)))))))))</f>
        <v>5</v>
      </c>
      <c r="AM53" s="43"/>
      <c r="AN53" s="14">
        <f ca="1">VLOOKUP(A53,Dividende_je_Aktie!A$3:AM$103,24,FALSE)</f>
        <v>1.4709166666666667</v>
      </c>
      <c r="AO53" s="14">
        <f>VLOOKUP(A53,Dividende_je_Aktie!A$3:AM$103,20,FALSE)</f>
        <v>0.82357142857142851</v>
      </c>
      <c r="AP53" s="12">
        <f ca="1">VLOOKUP(A53,Dividende_je_Aktie!A$3:AM$103,25,FALSE)</f>
        <v>0.78602197166811227</v>
      </c>
      <c r="AQ53" s="40">
        <f>VLOOKUP(A53,Dividende_je_Aktie!A$3:AM$103,39,FALSE)</f>
        <v>-0.1785714285714286</v>
      </c>
      <c r="AR53" s="16">
        <f t="shared" ca="1" si="18"/>
        <v>1.2082529761904761</v>
      </c>
      <c r="AS53" s="12">
        <f t="shared" ca="1" si="19"/>
        <v>0.46708947672737788</v>
      </c>
      <c r="AT53" s="32">
        <f ca="1">IF(AP53&lt;Bewertung_Stammdaten!B$51,Bewertung_Stammdaten!A$51,IF(AP53&lt;Bewertung_Stammdaten!B$52,Bewertung_Stammdaten!A$52,IF(AP53&lt;Bewertung_Stammdaten!B$53,Bewertung_Stammdaten!A$53,IF(AP53&lt;Bewertung_Stammdaten!B$54,Bewertung_Stammdaten!A$54,IF(AP53&lt;Bewertung_Stammdaten!B$55,Bewertung_Stammdaten!A$55,IF(AP53&lt;Bewertung_Stammdaten!B$56,Bewertung_Stammdaten!A$56,IF(AP53&lt;Bewertung_Stammdaten!B$57,Bewertung_Stammdaten!A$57,IF(AP53&lt;Bewertung_Stammdaten!B$58,Bewertung_Stammdaten!A$58,IF(AP53&lt;Bewertung_Stammdaten!B$59,Bewertung_Stammdaten!A$59,Bewertung_Stammdaten!A$60)))))))))</f>
        <v>20</v>
      </c>
      <c r="AU53" s="32">
        <f>IF(AQ53&lt;Bewertung_Stammdaten!F$51,Bewertung_Stammdaten!E$51,IF(AQ53&lt;Bewertung_Stammdaten!F$52,Bewertung_Stammdaten!E$52,IF(AQ53&lt;Bewertung_Stammdaten!F$53,Bewertung_Stammdaten!E$53,IF(AQ53&lt;Bewertung_Stammdaten!F$54,Bewertung_Stammdaten!E$54,IF(AQ53&lt;Bewertung_Stammdaten!F$55,Bewertung_Stammdaten!E$55,IF(AQ53&lt;Bewertung_Stammdaten!F$56,Bewertung_Stammdaten!E$56,IF(AQ53&lt;Bewertung_Stammdaten!F$57,Bewertung_Stammdaten!E$57,IF(AQ53&lt;Bewertung_Stammdaten!F$58,Bewertung_Stammdaten!E$58,IF(AQ53&lt;Bewertung_Stammdaten!F$59,Bewertung_Stammdaten!E$59,Bewertung_Stammdaten!E$60)))))))))</f>
        <v>9</v>
      </c>
      <c r="AV53" s="32">
        <f ca="1">IF(AS53&lt;Bewertung_Stammdaten!J$51,Bewertung_Stammdaten!I$51,IF(AS53&lt;Bewertung_Stammdaten!J$52,Bewertung_Stammdaten!I$52,IF(AS53&lt;Bewertung_Stammdaten!J$53,Bewertung_Stammdaten!I$53,IF(AS53&lt;Bewertung_Stammdaten!J$54,Bewertung_Stammdaten!I$54,IF(AS53&lt;Bewertung_Stammdaten!J$55,Bewertung_Stammdaten!I$55,IF(AS53&lt;Bewertung_Stammdaten!J$56,Bewertung_Stammdaten!I$56,IF(AS53&lt;Bewertung_Stammdaten!J$57,Bewertung_Stammdaten!I$57,IF(AS53&lt;Bewertung_Stammdaten!J$58,Bewertung_Stammdaten!I$58,IF(AS53&lt;Bewertung_Stammdaten!J$59,Bewertung_Stammdaten!I$59,Bewertung_Stammdaten!I$60)))))))))</f>
        <v>9</v>
      </c>
      <c r="AW53" s="43"/>
      <c r="AX53" s="12">
        <f ca="1">VLOOKUP(A53,Dividendenrendite!A$3:R$103,17,FALSE)</f>
        <v>1.9433434623684326E-2</v>
      </c>
      <c r="AY53" s="12">
        <f>VLOOKUP(A53,Dividendenrendite!A$3:R$103,16,FALSE)</f>
        <v>1.5682763018894867E-2</v>
      </c>
      <c r="AZ53" s="12">
        <f ca="1">VLOOKUP(A53,Dividendenrendite!A$3:R$103,18,FALSE)</f>
        <v>0.23915885231898137</v>
      </c>
      <c r="BA53" s="32">
        <f ca="1">IF(AX53&lt;Bewertung_Stammdaten!B$64,Bewertung_Stammdaten!A$64,IF(AX53&lt;Bewertung_Stammdaten!B$65,Bewertung_Stammdaten!A$65,IF(AX53&lt;Bewertung_Stammdaten!B$66,Bewertung_Stammdaten!A$66,IF(AX53&lt;Bewertung_Stammdaten!B$67,Bewertung_Stammdaten!A$67,IF(AX53&lt;Bewertung_Stammdaten!B$68,Bewertung_Stammdaten!A$68,IF(AX53&lt;Bewertung_Stammdaten!B$69,Bewertung_Stammdaten!A$69,IF(AX53&lt;Bewertung_Stammdaten!B$70,Bewertung_Stammdaten!A$70,IF(AX53&lt;Bewertung_Stammdaten!B$71,Bewertung_Stammdaten!A$71,IF(AX53&lt;Bewertung_Stammdaten!B$72,Bewertung_Stammdaten!A$72,Bewertung_Stammdaten!A$73)))))))))</f>
        <v>6</v>
      </c>
      <c r="BB53" s="32">
        <f>IF(AY53&lt;Bewertung_Stammdaten!F$64,Bewertung_Stammdaten!E$64,IF(AY53&lt;Bewertung_Stammdaten!F$65,Bewertung_Stammdaten!E$65,IF(AY53&lt;Bewertung_Stammdaten!F$66,Bewertung_Stammdaten!E$66,IF(AY53&lt;Bewertung_Stammdaten!F$67,Bewertung_Stammdaten!E$67,IF(AY53&lt;Bewertung_Stammdaten!F$68,Bewertung_Stammdaten!E$68,IF(AY53&lt;Bewertung_Stammdaten!F$69,Bewertung_Stammdaten!E$69,IF(AY53&lt;Bewertung_Stammdaten!F$70,Bewertung_Stammdaten!E$70,IF(AY53&lt;Bewertung_Stammdaten!F$71,Bewertung_Stammdaten!E$71,IF(AY53&lt;Bewertung_Stammdaten!F$72,Bewertung_Stammdaten!E$72,Bewertung_Stammdaten!E$73)))))))))</f>
        <v>4</v>
      </c>
      <c r="BC53" s="32">
        <f ca="1">IF(AZ53&lt;Bewertung_Stammdaten!J$64,Bewertung_Stammdaten!I$64,IF(AZ53&lt;Bewertung_Stammdaten!J$65,Bewertung_Stammdaten!I$65,IF(AZ53&lt;Bewertung_Stammdaten!J$66,Bewertung_Stammdaten!I$66,IF(AZ53&lt;Bewertung_Stammdaten!J$67,Bewertung_Stammdaten!I$67,IF(AZ53&lt;Bewertung_Stammdaten!J$68,Bewertung_Stammdaten!I$68,IF(AZ53&lt;Bewertung_Stammdaten!J$69,Bewertung_Stammdaten!I$69,IF(AZ53&lt;Bewertung_Stammdaten!J$70,Bewertung_Stammdaten!I$70,IF(AZ53&lt;Bewertung_Stammdaten!J$71,Bewertung_Stammdaten!I$71,IF(AZ53&lt;Bewertung_Stammdaten!J$72,Bewertung_Stammdaten!I$72,Bewertung_Stammdaten!I$73)))))))))</f>
        <v>5</v>
      </c>
      <c r="BD53" s="43"/>
      <c r="BE53" s="12">
        <f>VLOOKUP(A53,Aktien_im_Umlauf_splitbereinigt!A$3:Z$103,26,FALSE)</f>
        <v>-1.6732283464566899E-2</v>
      </c>
      <c r="BF53" s="12">
        <f>VLOOKUP(A53,Aktien_im_Umlauf_splitbereinigt!A$3:Y$103,24,FALSE)</f>
        <v>-2.1002515524208273E-2</v>
      </c>
      <c r="BG53" s="12">
        <f>VLOOKUP(A53,Aktien_im_Umlauf_splitbereinigt!A$3:Y$103,25,FALSE)</f>
        <v>-0.20332002872319499</v>
      </c>
      <c r="BH53" s="41">
        <f>IF(BE53&lt;Bewertung_Stammdaten!B$77,Bewertung_Stammdaten!A$77,IF(BE53&lt;Bewertung_Stammdaten!B$78,Bewertung_Stammdaten!A$78,IF(BE53&lt;Bewertung_Stammdaten!B$79,Bewertung_Stammdaten!A$79,IF(BE53&lt;Bewertung_Stammdaten!B$80,Bewertung_Stammdaten!A$80,IF(BE53&lt;Bewertung_Stammdaten!B$81,Bewertung_Stammdaten!A$81,IF(BE53&lt;Bewertung_Stammdaten!B$82,Bewertung_Stammdaten!A$82,IF(BE53&lt;Bewertung_Stammdaten!B$83,Bewertung_Stammdaten!A$83,IF(BE53&lt;Bewertung_Stammdaten!B$84,Bewertung_Stammdaten!A$84,IF(BE53&lt;Bewertung_Stammdaten!B$85,Bewertung_Stammdaten!A$85,Bewertung_Stammdaten!A$86)))))))))</f>
        <v>6</v>
      </c>
      <c r="BI53" s="41">
        <f>IF(BF53&lt;Bewertung_Stammdaten!F$77,Bewertung_Stammdaten!E$77,IF(BF53&lt;Bewertung_Stammdaten!F$78,Bewertung_Stammdaten!E$78,IF(BF53&lt;Bewertung_Stammdaten!F$79,Bewertung_Stammdaten!E$79,IF(BF53&lt;Bewertung_Stammdaten!F$80,Bewertung_Stammdaten!E$80,IF(BF53&lt;Bewertung_Stammdaten!F$81,Bewertung_Stammdaten!E$81,IF(BF53&lt;Bewertung_Stammdaten!F$82,Bewertung_Stammdaten!E$82,IF(BF53&lt;Bewertung_Stammdaten!F$83,Bewertung_Stammdaten!E$83,IF(BF53&lt;Bewertung_Stammdaten!F$84,Bewertung_Stammdaten!E$84,IF(BF53&lt;Bewertung_Stammdaten!F$85,Bewertung_Stammdaten!E$85,Bewertung_Stammdaten!E$86)))))))))</f>
        <v>7</v>
      </c>
      <c r="BJ53" s="41">
        <f>IF(BG53&lt;Bewertung_Stammdaten!J$77,Bewertung_Stammdaten!I$77,IF(BG53&lt;Bewertung_Stammdaten!J$78,Bewertung_Stammdaten!I$78,IF(BG53&lt;Bewertung_Stammdaten!J$79,Bewertung_Stammdaten!I$79,IF(BG53&lt;Bewertung_Stammdaten!J$80,Bewertung_Stammdaten!I$80,IF(BG53&lt;Bewertung_Stammdaten!J$81,Bewertung_Stammdaten!I$81,IF(BG53&lt;Bewertung_Stammdaten!J$82,Bewertung_Stammdaten!I$82,IF(BG53&lt;Bewertung_Stammdaten!J$83,Bewertung_Stammdaten!I$83,IF(BG53&lt;Bewertung_Stammdaten!J$84,Bewertung_Stammdaten!I$84,IF(BG53&lt;Bewertung_Stammdaten!J$85,Bewertung_Stammdaten!I$85,Bewertung_Stammdaten!I$86)))))))))</f>
        <v>2.5</v>
      </c>
      <c r="BK53" s="43"/>
      <c r="BL53" s="12">
        <f ca="1">VLOOKUP(A53,Ausschüttungsquote!A$3:X$103,23,FALSE)</f>
        <v>0.43099444167134621</v>
      </c>
      <c r="BM53" s="12">
        <f>VLOOKUP(A53,Ausschüttungsquote!A$3:X$103,19,FALSE)</f>
        <v>0.28286958209190788</v>
      </c>
      <c r="BN53" s="12">
        <f ca="1">VLOOKUP(A53,Ausschüttungsquote!A$3:X$103,24,FALSE)</f>
        <v>0.52365071735182434</v>
      </c>
      <c r="BO53" s="32">
        <f ca="1">IF(BL53&lt;Bewertung_Stammdaten!B$90,Bewertung_Stammdaten!A$90,IF(BL53&lt;Bewertung_Stammdaten!B$91,Bewertung_Stammdaten!A$91,IF(BL53&lt;Bewertung_Stammdaten!B$92,Bewertung_Stammdaten!A$92,IF(BL53&lt;Bewertung_Stammdaten!B$93,Bewertung_Stammdaten!A$93,IF(BL53&lt;Bewertung_Stammdaten!B$94,Bewertung_Stammdaten!A$94,IF(BL53&lt;Bewertung_Stammdaten!B$95,Bewertung_Stammdaten!A$95,IF(BL53&lt;Bewertung_Stammdaten!B$96,Bewertung_Stammdaten!A$96,IF(BL53&lt;Bewertung_Stammdaten!B$97,Bewertung_Stammdaten!A$97,IF(BL53&lt;Bewertung_Stammdaten!B$98,Bewertung_Stammdaten!A$98,Bewertung_Stammdaten!A$99)))))))))</f>
        <v>9</v>
      </c>
      <c r="BP53" s="41">
        <f>IF(BM53&lt;Bewertung_Stammdaten!F$90,Bewertung_Stammdaten!E$90,IF(BM53&lt;Bewertung_Stammdaten!F$91,Bewertung_Stammdaten!E$91,IF(BM53&lt;Bewertung_Stammdaten!F$92,Bewertung_Stammdaten!E$92,IF(BM53&lt;Bewertung_Stammdaten!F$93,Bewertung_Stammdaten!E$93,IF(BM53&lt;Bewertung_Stammdaten!F$94,Bewertung_Stammdaten!E$94,IF(BM53&lt;Bewertung_Stammdaten!F$95,Bewertung_Stammdaten!E$95,IF(BM53&lt;Bewertung_Stammdaten!F$96,Bewertung_Stammdaten!E$96,IF(BM53&lt;Bewertung_Stammdaten!F$97,Bewertung_Stammdaten!E$97,IF(BM53&lt;Bewertung_Stammdaten!F$98,Bewertung_Stammdaten!E$98,Bewertung_Stammdaten!E$99)))))))))</f>
        <v>10</v>
      </c>
      <c r="BQ53" s="32">
        <f ca="1">IF(BN53&lt;Bewertung_Stammdaten!J$90,Bewertung_Stammdaten!I$90,IF(BN53&lt;Bewertung_Stammdaten!J$91,Bewertung_Stammdaten!I$91,IF(BN53&lt;Bewertung_Stammdaten!J$92,Bewertung_Stammdaten!I$92,IF(BN53&lt;Bewertung_Stammdaten!J$93,Bewertung_Stammdaten!I$93,IF(BN53&lt;Bewertung_Stammdaten!J$94,Bewertung_Stammdaten!I$94,IF(BN53&lt;Bewertung_Stammdaten!J$95,Bewertung_Stammdaten!I$95,IF(BN53&lt;Bewertung_Stammdaten!J$96,Bewertung_Stammdaten!I$96,IF(BN53&lt;Bewertung_Stammdaten!J$97,Bewertung_Stammdaten!I$97,IF(BN53&lt;Bewertung_Stammdaten!J$98,Bewertung_Stammdaten!I$98,Bewertung_Stammdaten!I$99)))))))))</f>
        <v>1</v>
      </c>
    </row>
    <row r="54" spans="1:69" x14ac:dyDescent="0.25">
      <c r="A54" s="38" t="s">
        <v>93</v>
      </c>
      <c r="B54" s="38" t="s">
        <v>94</v>
      </c>
      <c r="C54" s="38" t="s">
        <v>295</v>
      </c>
      <c r="D54" s="32">
        <f t="shared" ca="1" si="11"/>
        <v>138.5</v>
      </c>
      <c r="E54" s="43"/>
      <c r="F54" s="66">
        <v>1</v>
      </c>
      <c r="G54" s="11">
        <f ca="1">VLOOKUP(A54,KGV!A$3:R$103,17,FALSE)</f>
        <v>17.584898316629367</v>
      </c>
      <c r="H54" s="11">
        <f>VLOOKUP(A54,KGV!A$3:R$103,16,FALSE)</f>
        <v>14.99609375</v>
      </c>
      <c r="I54" s="12">
        <f ca="1">VLOOKUP(A54,KGV!A$3:R$103,18,FALSE)</f>
        <v>0.17263192733970256</v>
      </c>
      <c r="J54" s="16">
        <f t="shared" ca="1" si="12"/>
        <v>20.051073080546903</v>
      </c>
      <c r="K54" s="12">
        <f t="shared" ca="1" si="13"/>
        <v>0.33708640495441711</v>
      </c>
      <c r="L54" s="11">
        <f ca="1">VLOOKUP(A54,KBV!A$3:R$103,17,FALSE)</f>
        <v>32.835495475853051</v>
      </c>
      <c r="M54" s="11">
        <f>VLOOKUP(A54,KBV!A$3:R$103,16,FALSE)</f>
        <v>18.765822784810126</v>
      </c>
      <c r="N54" s="12">
        <f ca="1">VLOOKUP(A54,KBV!A$3:R$103,18,FALSE)</f>
        <v>0.74974984323264149</v>
      </c>
      <c r="O54" s="16">
        <f t="shared" ca="1" si="9"/>
        <v>50.155317265313997</v>
      </c>
      <c r="P54" s="12">
        <f t="shared" ca="1" si="10"/>
        <v>1.6726948154872217</v>
      </c>
      <c r="Q54" s="32">
        <f ca="1">IF(F54=1,IF(I54&lt;Bewertung_Stammdaten!B$12,Bewertung_Stammdaten!A$12,IF(I54&lt;Bewertung_Stammdaten!B$13,Bewertung_Stammdaten!A$13,IF(I54&lt;Bewertung_Stammdaten!B$14,Bewertung_Stammdaten!A$14,IF(I54&lt;Bewertung_Stammdaten!B$15,Bewertung_Stammdaten!A$15,IF(I54&lt;Bewertung_Stammdaten!B$16,Bewertung_Stammdaten!A$16,IF(I54&lt;Bewertung_Stammdaten!B$17,Bewertung_Stammdaten!A$17,IF(I54&lt;Bewertung_Stammdaten!B$18,Bewertung_Stammdaten!A$18,IF(I54&lt;Bewertung_Stammdaten!B$19,Bewertung_Stammdaten!A$19,IF(I54&lt;Bewertung_Stammdaten!B$20,Bewertung_Stammdaten!A$20,Bewertung_Stammdaten!A$21))))))))),IF(N54&lt;Bewertung_Stammdaten!C$12,Bewertung_Stammdaten!A$12,IF(N54&lt;Bewertung_Stammdaten!C$13,Bewertung_Stammdaten!A$13,IF(N54&lt;Bewertung_Stammdaten!C$14,Bewertung_Stammdaten!A$14,IF(N54&lt;Bewertung_Stammdaten!C$15,Bewertung_Stammdaten!A$15,IF(N54&lt;Bewertung_Stammdaten!C$16,Bewertung_Stammdaten!A$16,IF(N54&lt;Bewertung_Stammdaten!C$17,Bewertung_Stammdaten!A$17,IF(N54&lt;Bewertung_Stammdaten!C$18,Bewertung_Stammdaten!A$18,IF(N54&lt;Bewertung_Stammdaten!C$19,Bewertung_Stammdaten!A$19,IF(N54&lt;Bewertung_Stammdaten!C$20,Bewertung_Stammdaten!A$20,Bewertung_Stammdaten!A$21))))))))))</f>
        <v>18</v>
      </c>
      <c r="R54" s="32">
        <f ca="1">IF(F54=1,IF(K54&lt;Bewertung_Stammdaten!F$12,Bewertung_Stammdaten!E$12,IF(K54&lt;Bewertung_Stammdaten!F$13,Bewertung_Stammdaten!E$13,IF(K54&lt;Bewertung_Stammdaten!F$14,Bewertung_Stammdaten!E$14,IF(K54&lt;Bewertung_Stammdaten!F$15,Bewertung_Stammdaten!E$15,IF(K54&lt;Bewertung_Stammdaten!F$16,Bewertung_Stammdaten!E$16,IF(K54&lt;Bewertung_Stammdaten!F$17,Bewertung_Stammdaten!E$17,IF(K54&lt;Bewertung_Stammdaten!F$18,Bewertung_Stammdaten!E$18,IF(K54&lt;Bewertung_Stammdaten!F$19,Bewertung_Stammdaten!E$19,IF(K54&lt;Bewertung_Stammdaten!F$20,Bewertung_Stammdaten!E$20,Bewertung_Stammdaten!E$21))))))))),IF(P54&lt;Bewertung_Stammdaten!G$12,Bewertung_Stammdaten!E$12,IF(P54&lt;Bewertung_Stammdaten!G$13,Bewertung_Stammdaten!E$13,IF(P54&lt;Bewertung_Stammdaten!G$14,Bewertung_Stammdaten!E$14,IF(P54&lt;Bewertung_Stammdaten!G$15,Bewertung_Stammdaten!E$15,IF(P54&lt;Bewertung_Stammdaten!G$16,Bewertung_Stammdaten!E$16,IF(P54&lt;Bewertung_Stammdaten!G$17,Bewertung_Stammdaten!E$17,IF(P54&lt;Bewertung_Stammdaten!G$18,Bewertung_Stammdaten!E$18,IF(P54&lt;Bewertung_Stammdaten!G$19,Bewertung_Stammdaten!E$19,IF(P54&lt;Bewertung_Stammdaten!G$20,Bewertung_Stammdaten!E$20,Bewertung_Stammdaten!E$21))))))))))</f>
        <v>7.5</v>
      </c>
      <c r="S54" s="43"/>
      <c r="T54" s="11">
        <f ca="1">VLOOKUP(A54,Buchwert_je_Aktie!A$3:AK$103,23,FALSE)</f>
        <v>1.5288333333333333</v>
      </c>
      <c r="U54" s="11">
        <f>VLOOKUP(A54,Buchwert_je_Aktie!A$3:AK$103,19,FALSE)</f>
        <v>1.7033333333333336</v>
      </c>
      <c r="V54" s="12">
        <f ca="1">VLOOKUP(A54,Buchwert_je_Aktie!A$3:AK$103,24,FALSE)</f>
        <v>-0.1024461839530334</v>
      </c>
      <c r="W54" s="12">
        <f>VLOOKUP(A54,Buchwert_je_Aktie!A$3:AK$103,37,FALSE)</f>
        <v>-0.34532374100719421</v>
      </c>
      <c r="X54" s="16">
        <f t="shared" ca="1" si="14"/>
        <v>1.0008908872901678</v>
      </c>
      <c r="Y54" s="12">
        <f t="shared" ca="1" si="15"/>
        <v>-0.41239282546565492</v>
      </c>
      <c r="Z54" s="51">
        <f ca="1">IF(V54&lt;Bewertung_Stammdaten!B$25,Bewertung_Stammdaten!A$25,IF(V54&lt;Bewertung_Stammdaten!B$26,Bewertung_Stammdaten!A$26,IF(V54&lt;Bewertung_Stammdaten!B$27,Bewertung_Stammdaten!A$27,IF(V54&lt;Bewertung_Stammdaten!B$28,Bewertung_Stammdaten!A$28,IF(V54&lt;Bewertung_Stammdaten!B$29,Bewertung_Stammdaten!A$29,IF(V54&lt;Bewertung_Stammdaten!B$30,Bewertung_Stammdaten!A$30,IF(V54&lt;Bewertung_Stammdaten!B$31,Bewertung_Stammdaten!A$31,IF(V54&lt;Bewertung_Stammdaten!B$32,Bewertung_Stammdaten!A$32,IF(V54&lt;Bewertung_Stammdaten!B$33,Bewertung_Stammdaten!A$33,Bewertung_Stammdaten!A$34)))))))))</f>
        <v>1.5</v>
      </c>
      <c r="AA54" s="51">
        <f>IF(W54&lt;Bewertung_Stammdaten!F$25,Bewertung_Stammdaten!E$25,IF(W54&lt;Bewertung_Stammdaten!F$26,Bewertung_Stammdaten!E$26,IF(W54&lt;Bewertung_Stammdaten!F$27,Bewertung_Stammdaten!E$27,IF(W54&lt;Bewertung_Stammdaten!F$28,Bewertung_Stammdaten!E$28,IF(W54&lt;Bewertung_Stammdaten!F$29,Bewertung_Stammdaten!E$29,IF(W54&lt;Bewertung_Stammdaten!F$30,Bewertung_Stammdaten!E$30,IF(W54&lt;Bewertung_Stammdaten!F$31,Bewertung_Stammdaten!E$31,IF(W54&lt;Bewertung_Stammdaten!F$32,Bewertung_Stammdaten!E$32,IF(W54&lt;Bewertung_Stammdaten!F$33,Bewertung_Stammdaten!E$33,Bewertung_Stammdaten!E$34)))))))))</f>
        <v>1.5</v>
      </c>
      <c r="AB54" s="51">
        <f ca="1">IF(Y54&lt;Bewertung_Stammdaten!J$25,Bewertung_Stammdaten!I$25,IF(Y54&lt;Bewertung_Stammdaten!J$26,Bewertung_Stammdaten!I$26,IF(Y54&lt;Bewertung_Stammdaten!J$27,Bewertung_Stammdaten!I$27,IF(Y54&lt;Bewertung_Stammdaten!J$28,Bewertung_Stammdaten!I$28,IF(Y54&lt;Bewertung_Stammdaten!J$29,Bewertung_Stammdaten!I$29,IF(Y54&lt;Bewertung_Stammdaten!J$30,Bewertung_Stammdaten!I$30,IF(Y54&lt;Bewertung_Stammdaten!J$31,Bewertung_Stammdaten!I$31,IF(Y54&lt;Bewertung_Stammdaten!J$32,Bewertung_Stammdaten!I$32,IF(Y54&lt;Bewertung_Stammdaten!J$33,Bewertung_Stammdaten!I$33,Bewertung_Stammdaten!I$34)))))))))</f>
        <v>1</v>
      </c>
      <c r="AC54" s="43"/>
      <c r="AD54" s="14">
        <f ca="1">VLOOKUP(A54,Ergebnis_je_Aktie_verwässert!A$3:AK$103,23,FALSE)</f>
        <v>2.8547222222222222</v>
      </c>
      <c r="AE54" s="14">
        <f>VLOOKUP(A54,Ergebnis_je_Aktie_verwässert!A$3:AK$103,19,FALSE)</f>
        <v>2.0476923076923077</v>
      </c>
      <c r="AF54" s="12">
        <f ca="1">VLOOKUP(A54,Ergebnis_je_Aktie_verwässert!A$3:AK$103,24,FALSE)</f>
        <v>0.39411678771182901</v>
      </c>
      <c r="AG54" s="40">
        <f>VLOOKUP(A54,Ergebnis_je_Aktie_verwässert!A$3:AK$103,37,FALSE)</f>
        <v>-0.12299465240641716</v>
      </c>
      <c r="AH54" s="16">
        <f t="shared" ca="1" si="16"/>
        <v>2.5036066547831251</v>
      </c>
      <c r="AI54" s="12">
        <f t="shared" ca="1" si="17"/>
        <v>0.22264787799326169</v>
      </c>
      <c r="AJ54" s="32">
        <f ca="1">IF(AF54&lt;Bewertung_Stammdaten!B$38,Bewertung_Stammdaten!A$38,IF(AF54&lt;Bewertung_Stammdaten!B$39,Bewertung_Stammdaten!A$39,IF(AF54&lt;Bewertung_Stammdaten!B$40,Bewertung_Stammdaten!A$40,IF(AF54&lt;Bewertung_Stammdaten!B$41,Bewertung_Stammdaten!A$41,IF(AF54&lt;Bewertung_Stammdaten!B$42,Bewertung_Stammdaten!A$42,IF(AF54&lt;Bewertung_Stammdaten!B$43,Bewertung_Stammdaten!A$43,IF(AF54&lt;Bewertung_Stammdaten!B$44,Bewertung_Stammdaten!A$44,IF(AF54&lt;Bewertung_Stammdaten!B$45,Bewertung_Stammdaten!A$45,IF(AF54&lt;Bewertung_Stammdaten!B$46,Bewertung_Stammdaten!A$46,Bewertung_Stammdaten!A$47)))))))))</f>
        <v>14</v>
      </c>
      <c r="AK54" s="32">
        <f>IF(AG54&lt;Bewertung_Stammdaten!F$38,Bewertung_Stammdaten!E$38,IF(AG54&lt;Bewertung_Stammdaten!F$39,Bewertung_Stammdaten!E$39,IF(AG54&lt;Bewertung_Stammdaten!F$40,Bewertung_Stammdaten!E$40,IF(AG54&lt;Bewertung_Stammdaten!F$41,Bewertung_Stammdaten!E$41,IF(AG54&lt;Bewertung_Stammdaten!F$42,Bewertung_Stammdaten!E$42,IF(AG54&lt;Bewertung_Stammdaten!F$43,Bewertung_Stammdaten!E$43,IF(AG54&lt;Bewertung_Stammdaten!F$44,Bewertung_Stammdaten!E$44,IF(AG54&lt;Bewertung_Stammdaten!F$45,Bewertung_Stammdaten!E$45,IF(AG54&lt;Bewertung_Stammdaten!F$46,Bewertung_Stammdaten!E$46,Bewertung_Stammdaten!E$47)))))))))</f>
        <v>9</v>
      </c>
      <c r="AL54" s="32">
        <f ca="1">IF(AI54&lt;Bewertung_Stammdaten!J$38,Bewertung_Stammdaten!I$38,IF(AI54&lt;Bewertung_Stammdaten!J$39,Bewertung_Stammdaten!I$39,IF(AI54&lt;Bewertung_Stammdaten!J$40,Bewertung_Stammdaten!I$40,IF(AI54&lt;Bewertung_Stammdaten!J$41,Bewertung_Stammdaten!I$41,IF(AI54&lt;Bewertung_Stammdaten!J$42,Bewertung_Stammdaten!I$42,IF(AI54&lt;Bewertung_Stammdaten!J$43,Bewertung_Stammdaten!I$43,IF(AI54&lt;Bewertung_Stammdaten!J$44,Bewertung_Stammdaten!I$44,IF(AI54&lt;Bewertung_Stammdaten!J$45,Bewertung_Stammdaten!I$45,IF(AI54&lt;Bewertung_Stammdaten!J$46,Bewertung_Stammdaten!I$46,Bewertung_Stammdaten!I$47)))))))))</f>
        <v>6</v>
      </c>
      <c r="AM54" s="43"/>
      <c r="AN54" s="14">
        <f ca="1">VLOOKUP(A54,Dividende_je_Aktie!A$3:AM$103,24,FALSE)</f>
        <v>2.2309999999999999</v>
      </c>
      <c r="AO54" s="14">
        <f>VLOOKUP(A54,Dividende_je_Aktie!A$3:AM$103,20,FALSE)</f>
        <v>1.4956428571428571</v>
      </c>
      <c r="AP54" s="12">
        <f ca="1">VLOOKUP(A54,Dividende_je_Aktie!A$3:AM$103,25,FALSE)</f>
        <v>0.49166626868522845</v>
      </c>
      <c r="AQ54" s="40">
        <f>VLOOKUP(A54,Dividende_je_Aktie!A$3:AM$103,39,FALSE)</f>
        <v>-8.2794307891332575E-2</v>
      </c>
      <c r="AR54" s="16">
        <f t="shared" ca="1" si="18"/>
        <v>2.0462858990944368</v>
      </c>
      <c r="AS54" s="12">
        <f t="shared" ca="1" si="19"/>
        <v>0.36816479236458832</v>
      </c>
      <c r="AT54" s="32">
        <f ca="1">IF(AP54&lt;Bewertung_Stammdaten!B$51,Bewertung_Stammdaten!A$51,IF(AP54&lt;Bewertung_Stammdaten!B$52,Bewertung_Stammdaten!A$52,IF(AP54&lt;Bewertung_Stammdaten!B$53,Bewertung_Stammdaten!A$53,IF(AP54&lt;Bewertung_Stammdaten!B$54,Bewertung_Stammdaten!A$54,IF(AP54&lt;Bewertung_Stammdaten!B$55,Bewertung_Stammdaten!A$55,IF(AP54&lt;Bewertung_Stammdaten!B$56,Bewertung_Stammdaten!A$56,IF(AP54&lt;Bewertung_Stammdaten!B$57,Bewertung_Stammdaten!A$57,IF(AP54&lt;Bewertung_Stammdaten!B$58,Bewertung_Stammdaten!A$58,IF(AP54&lt;Bewertung_Stammdaten!B$59,Bewertung_Stammdaten!A$59,Bewertung_Stammdaten!A$60)))))))))</f>
        <v>14</v>
      </c>
      <c r="AU54" s="32">
        <f>IF(AQ54&lt;Bewertung_Stammdaten!F$51,Bewertung_Stammdaten!E$51,IF(AQ54&lt;Bewertung_Stammdaten!F$52,Bewertung_Stammdaten!E$52,IF(AQ54&lt;Bewertung_Stammdaten!F$53,Bewertung_Stammdaten!E$53,IF(AQ54&lt;Bewertung_Stammdaten!F$54,Bewertung_Stammdaten!E$54,IF(AQ54&lt;Bewertung_Stammdaten!F$55,Bewertung_Stammdaten!E$55,IF(AQ54&lt;Bewertung_Stammdaten!F$56,Bewertung_Stammdaten!E$56,IF(AQ54&lt;Bewertung_Stammdaten!F$57,Bewertung_Stammdaten!E$57,IF(AQ54&lt;Bewertung_Stammdaten!F$58,Bewertung_Stammdaten!E$58,IF(AQ54&lt;Bewertung_Stammdaten!F$59,Bewertung_Stammdaten!E$59,Bewertung_Stammdaten!E$60)))))))))</f>
        <v>10.5</v>
      </c>
      <c r="AV54" s="32">
        <f ca="1">IF(AS54&lt;Bewertung_Stammdaten!J$51,Bewertung_Stammdaten!I$51,IF(AS54&lt;Bewertung_Stammdaten!J$52,Bewertung_Stammdaten!I$52,IF(AS54&lt;Bewertung_Stammdaten!J$53,Bewertung_Stammdaten!I$53,IF(AS54&lt;Bewertung_Stammdaten!J$54,Bewertung_Stammdaten!I$54,IF(AS54&lt;Bewertung_Stammdaten!J$55,Bewertung_Stammdaten!I$55,IF(AS54&lt;Bewertung_Stammdaten!J$56,Bewertung_Stammdaten!I$56,IF(AS54&lt;Bewertung_Stammdaten!J$57,Bewertung_Stammdaten!I$57,IF(AS54&lt;Bewertung_Stammdaten!J$58,Bewertung_Stammdaten!I$58,IF(AS54&lt;Bewertung_Stammdaten!J$59,Bewertung_Stammdaten!I$59,Bewertung_Stammdaten!I$60)))))))))</f>
        <v>8</v>
      </c>
      <c r="AW54" s="43"/>
      <c r="AX54" s="12">
        <f ca="1">VLOOKUP(A54,Dividendenrendite!A$3:R$103,17,FALSE)</f>
        <v>4.4442231075697204E-2</v>
      </c>
      <c r="AY54" s="12">
        <f>VLOOKUP(A54,Dividendenrendite!A$3:R$103,16,FALSE)</f>
        <v>5.2314067518272944E-2</v>
      </c>
      <c r="AZ54" s="12">
        <f ca="1">VLOOKUP(A54,Dividendenrendite!A$3:R$103,18,FALSE)</f>
        <v>-0.15047265135379051</v>
      </c>
      <c r="BA54" s="32">
        <f ca="1">IF(AX54&lt;Bewertung_Stammdaten!B$64,Bewertung_Stammdaten!A$64,IF(AX54&lt;Bewertung_Stammdaten!B$65,Bewertung_Stammdaten!A$65,IF(AX54&lt;Bewertung_Stammdaten!B$66,Bewertung_Stammdaten!A$66,IF(AX54&lt;Bewertung_Stammdaten!B$67,Bewertung_Stammdaten!A$67,IF(AX54&lt;Bewertung_Stammdaten!B$68,Bewertung_Stammdaten!A$68,IF(AX54&lt;Bewertung_Stammdaten!B$69,Bewertung_Stammdaten!A$69,IF(AX54&lt;Bewertung_Stammdaten!B$70,Bewertung_Stammdaten!A$70,IF(AX54&lt;Bewertung_Stammdaten!B$71,Bewertung_Stammdaten!A$71,IF(AX54&lt;Bewertung_Stammdaten!B$72,Bewertung_Stammdaten!A$72,Bewertung_Stammdaten!A$73)))))))))</f>
        <v>13.5</v>
      </c>
      <c r="BB54" s="32">
        <f>IF(AY54&lt;Bewertung_Stammdaten!F$64,Bewertung_Stammdaten!E$64,IF(AY54&lt;Bewertung_Stammdaten!F$65,Bewertung_Stammdaten!E$65,IF(AY54&lt;Bewertung_Stammdaten!F$66,Bewertung_Stammdaten!E$66,IF(AY54&lt;Bewertung_Stammdaten!F$67,Bewertung_Stammdaten!E$67,IF(AY54&lt;Bewertung_Stammdaten!F$68,Bewertung_Stammdaten!E$68,IF(AY54&lt;Bewertung_Stammdaten!F$69,Bewertung_Stammdaten!E$69,IF(AY54&lt;Bewertung_Stammdaten!F$70,Bewertung_Stammdaten!E$70,IF(AY54&lt;Bewertung_Stammdaten!F$71,Bewertung_Stammdaten!E$71,IF(AY54&lt;Bewertung_Stammdaten!F$72,Bewertung_Stammdaten!E$72,Bewertung_Stammdaten!E$73)))))))))</f>
        <v>10</v>
      </c>
      <c r="BC54" s="32">
        <f ca="1">IF(AZ54&lt;Bewertung_Stammdaten!J$64,Bewertung_Stammdaten!I$64,IF(AZ54&lt;Bewertung_Stammdaten!J$65,Bewertung_Stammdaten!I$65,IF(AZ54&lt;Bewertung_Stammdaten!J$66,Bewertung_Stammdaten!I$66,IF(AZ54&lt;Bewertung_Stammdaten!J$67,Bewertung_Stammdaten!I$67,IF(AZ54&lt;Bewertung_Stammdaten!J$68,Bewertung_Stammdaten!I$68,IF(AZ54&lt;Bewertung_Stammdaten!J$69,Bewertung_Stammdaten!I$69,IF(AZ54&lt;Bewertung_Stammdaten!J$70,Bewertung_Stammdaten!I$70,IF(AZ54&lt;Bewertung_Stammdaten!J$71,Bewertung_Stammdaten!I$71,IF(AZ54&lt;Bewertung_Stammdaten!J$72,Bewertung_Stammdaten!I$72,Bewertung_Stammdaten!I$73)))))))))</f>
        <v>1</v>
      </c>
      <c r="BD54" s="43"/>
      <c r="BE54" s="12">
        <f>VLOOKUP(A54,Aktien_im_Umlauf_splitbereinigt!A$3:Z$103,26,FALSE)</f>
        <v>-1.0536879076768702E-2</v>
      </c>
      <c r="BF54" s="12">
        <f>VLOOKUP(A54,Aktien_im_Umlauf_splitbereinigt!A$3:Y$103,24,FALSE)</f>
        <v>-6.0486666152821016E-3</v>
      </c>
      <c r="BG54" s="12">
        <f>VLOOKUP(A54,Aktien_im_Umlauf_splitbereinigt!A$3:Y$103,25,FALSE)</f>
        <v>0.74201683560258114</v>
      </c>
      <c r="BH54" s="41">
        <f>IF(BE54&lt;Bewertung_Stammdaten!B$77,Bewertung_Stammdaten!A$77,IF(BE54&lt;Bewertung_Stammdaten!B$78,Bewertung_Stammdaten!A$78,IF(BE54&lt;Bewertung_Stammdaten!B$79,Bewertung_Stammdaten!A$79,IF(BE54&lt;Bewertung_Stammdaten!B$80,Bewertung_Stammdaten!A$80,IF(BE54&lt;Bewertung_Stammdaten!B$81,Bewertung_Stammdaten!A$81,IF(BE54&lt;Bewertung_Stammdaten!B$82,Bewertung_Stammdaten!A$82,IF(BE54&lt;Bewertung_Stammdaten!B$83,Bewertung_Stammdaten!A$83,IF(BE54&lt;Bewertung_Stammdaten!B$84,Bewertung_Stammdaten!A$84,IF(BE54&lt;Bewertung_Stammdaten!B$85,Bewertung_Stammdaten!A$85,Bewertung_Stammdaten!A$86)))))))))</f>
        <v>5</v>
      </c>
      <c r="BI54" s="41">
        <f>IF(BF54&lt;Bewertung_Stammdaten!F$77,Bewertung_Stammdaten!E$77,IF(BF54&lt;Bewertung_Stammdaten!F$78,Bewertung_Stammdaten!E$78,IF(BF54&lt;Bewertung_Stammdaten!F$79,Bewertung_Stammdaten!E$79,IF(BF54&lt;Bewertung_Stammdaten!F$80,Bewertung_Stammdaten!E$80,IF(BF54&lt;Bewertung_Stammdaten!F$81,Bewertung_Stammdaten!E$81,IF(BF54&lt;Bewertung_Stammdaten!F$82,Bewertung_Stammdaten!E$82,IF(BF54&lt;Bewertung_Stammdaten!F$83,Bewertung_Stammdaten!E$83,IF(BF54&lt;Bewertung_Stammdaten!F$84,Bewertung_Stammdaten!E$84,IF(BF54&lt;Bewertung_Stammdaten!F$85,Bewertung_Stammdaten!E$85,Bewertung_Stammdaten!E$86)))))))))</f>
        <v>4</v>
      </c>
      <c r="BJ54" s="41">
        <f>IF(BG54&lt;Bewertung_Stammdaten!J$77,Bewertung_Stammdaten!I$77,IF(BG54&lt;Bewertung_Stammdaten!J$78,Bewertung_Stammdaten!I$78,IF(BG54&lt;Bewertung_Stammdaten!J$79,Bewertung_Stammdaten!I$79,IF(BG54&lt;Bewertung_Stammdaten!J$80,Bewertung_Stammdaten!I$80,IF(BG54&lt;Bewertung_Stammdaten!J$81,Bewertung_Stammdaten!I$81,IF(BG54&lt;Bewertung_Stammdaten!J$82,Bewertung_Stammdaten!I$82,IF(BG54&lt;Bewertung_Stammdaten!J$83,Bewertung_Stammdaten!I$83,IF(BG54&lt;Bewertung_Stammdaten!J$84,Bewertung_Stammdaten!I$84,IF(BG54&lt;Bewertung_Stammdaten!J$85,Bewertung_Stammdaten!I$85,Bewertung_Stammdaten!I$86)))))))))</f>
        <v>4</v>
      </c>
      <c r="BK54" s="43"/>
      <c r="BL54" s="12">
        <f ca="1">VLOOKUP(A54,Ausschüttungsquote!A$3:X$103,23,FALSE)</f>
        <v>0.78161507851122214</v>
      </c>
      <c r="BM54" s="12">
        <f>VLOOKUP(A54,Ausschüttungsquote!A$3:X$103,19,FALSE)</f>
        <v>0.74805180412593741</v>
      </c>
      <c r="BN54" s="12">
        <f ca="1">VLOOKUP(A54,Ausschüttungsquote!A$3:X$103,24,FALSE)</f>
        <v>4.48675802934555E-2</v>
      </c>
      <c r="BO54" s="32">
        <f ca="1">IF(BL54&lt;Bewertung_Stammdaten!B$90,Bewertung_Stammdaten!A$90,IF(BL54&lt;Bewertung_Stammdaten!B$91,Bewertung_Stammdaten!A$91,IF(BL54&lt;Bewertung_Stammdaten!B$92,Bewertung_Stammdaten!A$92,IF(BL54&lt;Bewertung_Stammdaten!B$93,Bewertung_Stammdaten!A$93,IF(BL54&lt;Bewertung_Stammdaten!B$94,Bewertung_Stammdaten!A$94,IF(BL54&lt;Bewertung_Stammdaten!B$95,Bewertung_Stammdaten!A$95,IF(BL54&lt;Bewertung_Stammdaten!B$96,Bewertung_Stammdaten!A$96,IF(BL54&lt;Bewertung_Stammdaten!B$97,Bewertung_Stammdaten!A$97,IF(BL54&lt;Bewertung_Stammdaten!B$98,Bewertung_Stammdaten!A$98,Bewertung_Stammdaten!A$99)))))))))</f>
        <v>2</v>
      </c>
      <c r="BP54" s="41">
        <f>IF(BM54&lt;Bewertung_Stammdaten!F$90,Bewertung_Stammdaten!E$90,IF(BM54&lt;Bewertung_Stammdaten!F$91,Bewertung_Stammdaten!E$91,IF(BM54&lt;Bewertung_Stammdaten!F$92,Bewertung_Stammdaten!E$92,IF(BM54&lt;Bewertung_Stammdaten!F$93,Bewertung_Stammdaten!E$93,IF(BM54&lt;Bewertung_Stammdaten!F$94,Bewertung_Stammdaten!E$94,IF(BM54&lt;Bewertung_Stammdaten!F$95,Bewertung_Stammdaten!E$95,IF(BM54&lt;Bewertung_Stammdaten!F$96,Bewertung_Stammdaten!E$96,IF(BM54&lt;Bewertung_Stammdaten!F$97,Bewertung_Stammdaten!E$97,IF(BM54&lt;Bewertung_Stammdaten!F$98,Bewertung_Stammdaten!E$98,Bewertung_Stammdaten!E$99)))))))))</f>
        <v>3</v>
      </c>
      <c r="BQ54" s="32">
        <f ca="1">IF(BN54&lt;Bewertung_Stammdaten!J$90,Bewertung_Stammdaten!I$90,IF(BN54&lt;Bewertung_Stammdaten!J$91,Bewertung_Stammdaten!I$91,IF(BN54&lt;Bewertung_Stammdaten!J$92,Bewertung_Stammdaten!I$92,IF(BN54&lt;Bewertung_Stammdaten!J$93,Bewertung_Stammdaten!I$93,IF(BN54&lt;Bewertung_Stammdaten!J$94,Bewertung_Stammdaten!I$94,IF(BN54&lt;Bewertung_Stammdaten!J$95,Bewertung_Stammdaten!I$95,IF(BN54&lt;Bewertung_Stammdaten!J$96,Bewertung_Stammdaten!I$96,IF(BN54&lt;Bewertung_Stammdaten!J$97,Bewertung_Stammdaten!I$97,IF(BN54&lt;Bewertung_Stammdaten!J$98,Bewertung_Stammdaten!I$98,Bewertung_Stammdaten!I$99)))))))))</f>
        <v>5</v>
      </c>
    </row>
    <row r="55" spans="1:69" x14ac:dyDescent="0.25">
      <c r="A55" s="55" t="s">
        <v>274</v>
      </c>
      <c r="B55" s="55" t="s">
        <v>279</v>
      </c>
      <c r="C55" s="38" t="s">
        <v>295</v>
      </c>
      <c r="D55" s="32">
        <f t="shared" ca="1" si="11"/>
        <v>168.5</v>
      </c>
      <c r="E55" s="43"/>
      <c r="F55" s="66">
        <v>1</v>
      </c>
      <c r="G55" s="11">
        <f ca="1">VLOOKUP(A55,KGV!A$3:R$103,17,FALSE)</f>
        <v>19.569739186781145</v>
      </c>
      <c r="H55" s="11">
        <f>VLOOKUP(A55,KGV!A$3:R$103,16,FALSE)</f>
        <v>15.565517241379311</v>
      </c>
      <c r="I55" s="12">
        <f ca="1">VLOOKUP(A55,KGV!A$3:R$103,18,FALSE)</f>
        <v>0.25724952684238644</v>
      </c>
      <c r="J55" s="16">
        <f t="shared" ca="1" si="12"/>
        <v>20.041299167185507</v>
      </c>
      <c r="K55" s="12">
        <f t="shared" ca="1" si="13"/>
        <v>0.28754469616388945</v>
      </c>
      <c r="L55" s="11">
        <f ca="1">VLOOKUP(A55,KBV!A$3:R$103,17,FALSE)</f>
        <v>3.0625676041103298</v>
      </c>
      <c r="M55" s="11">
        <f>VLOOKUP(A55,KBV!A$3:R$103,16,FALSE)</f>
        <v>1.5038880248833593</v>
      </c>
      <c r="N55" s="12">
        <f ca="1">VLOOKUP(A55,KBV!A$3:R$103,18,FALSE)</f>
        <v>1.0364332672626082</v>
      </c>
      <c r="O55" s="16">
        <f t="shared" ca="1" si="9"/>
        <v>3.1283282581863179</v>
      </c>
      <c r="P55" s="12">
        <f t="shared" ca="1" si="10"/>
        <v>1.0801603619584306</v>
      </c>
      <c r="Q55" s="32">
        <f ca="1">IF(F55=1,IF(I55&lt;Bewertung_Stammdaten!B$12,Bewertung_Stammdaten!A$12,IF(I55&lt;Bewertung_Stammdaten!B$13,Bewertung_Stammdaten!A$13,IF(I55&lt;Bewertung_Stammdaten!B$14,Bewertung_Stammdaten!A$14,IF(I55&lt;Bewertung_Stammdaten!B$15,Bewertung_Stammdaten!A$15,IF(I55&lt;Bewertung_Stammdaten!B$16,Bewertung_Stammdaten!A$16,IF(I55&lt;Bewertung_Stammdaten!B$17,Bewertung_Stammdaten!A$17,IF(I55&lt;Bewertung_Stammdaten!B$18,Bewertung_Stammdaten!A$18,IF(I55&lt;Bewertung_Stammdaten!B$19,Bewertung_Stammdaten!A$19,IF(I55&lt;Bewertung_Stammdaten!B$20,Bewertung_Stammdaten!A$20,Bewertung_Stammdaten!A$21))))))))),IF(N55&lt;Bewertung_Stammdaten!C$12,Bewertung_Stammdaten!A$12,IF(N55&lt;Bewertung_Stammdaten!C$13,Bewertung_Stammdaten!A$13,IF(N55&lt;Bewertung_Stammdaten!C$14,Bewertung_Stammdaten!A$14,IF(N55&lt;Bewertung_Stammdaten!C$15,Bewertung_Stammdaten!A$15,IF(N55&lt;Bewertung_Stammdaten!C$16,Bewertung_Stammdaten!A$16,IF(N55&lt;Bewertung_Stammdaten!C$17,Bewertung_Stammdaten!A$17,IF(N55&lt;Bewertung_Stammdaten!C$18,Bewertung_Stammdaten!A$18,IF(N55&lt;Bewertung_Stammdaten!C$19,Bewertung_Stammdaten!A$19,IF(N55&lt;Bewertung_Stammdaten!C$20,Bewertung_Stammdaten!A$20,Bewertung_Stammdaten!A$21))))))))))</f>
        <v>6</v>
      </c>
      <c r="R55" s="32">
        <f ca="1">IF(F55=1,IF(K55&lt;Bewertung_Stammdaten!F$12,Bewertung_Stammdaten!E$12,IF(K55&lt;Bewertung_Stammdaten!F$13,Bewertung_Stammdaten!E$13,IF(K55&lt;Bewertung_Stammdaten!F$14,Bewertung_Stammdaten!E$14,IF(K55&lt;Bewertung_Stammdaten!F$15,Bewertung_Stammdaten!E$15,IF(K55&lt;Bewertung_Stammdaten!F$16,Bewertung_Stammdaten!E$16,IF(K55&lt;Bewertung_Stammdaten!F$17,Bewertung_Stammdaten!E$17,IF(K55&lt;Bewertung_Stammdaten!F$18,Bewertung_Stammdaten!E$18,IF(K55&lt;Bewertung_Stammdaten!F$19,Bewertung_Stammdaten!E$19,IF(K55&lt;Bewertung_Stammdaten!F$20,Bewertung_Stammdaten!E$20,Bewertung_Stammdaten!E$21))))))))),IF(P55&lt;Bewertung_Stammdaten!G$12,Bewertung_Stammdaten!E$12,IF(P55&lt;Bewertung_Stammdaten!G$13,Bewertung_Stammdaten!E$13,IF(P55&lt;Bewertung_Stammdaten!G$14,Bewertung_Stammdaten!E$14,IF(P55&lt;Bewertung_Stammdaten!G$15,Bewertung_Stammdaten!E$15,IF(P55&lt;Bewertung_Stammdaten!G$16,Bewertung_Stammdaten!E$16,IF(P55&lt;Bewertung_Stammdaten!G$17,Bewertung_Stammdaten!E$17,IF(P55&lt;Bewertung_Stammdaten!G$18,Bewertung_Stammdaten!E$18,IF(P55&lt;Bewertung_Stammdaten!G$19,Bewertung_Stammdaten!E$19,IF(P55&lt;Bewertung_Stammdaten!G$20,Bewertung_Stammdaten!E$20,Bewertung_Stammdaten!E$21))))))))))</f>
        <v>10</v>
      </c>
      <c r="S55" s="43"/>
      <c r="T55" s="11">
        <f ca="1">VLOOKUP(A55,Buchwert_je_Aktie!A$3:AK$103,23,FALSE)</f>
        <v>32.871111111111112</v>
      </c>
      <c r="U55" s="11">
        <f>VLOOKUP(A55,Buchwert_je_Aktie!A$3:AK$103,19,FALSE)</f>
        <v>29.563636363636363</v>
      </c>
      <c r="V55" s="12">
        <f ca="1">VLOOKUP(A55,Buchwert_je_Aktie!A$3:AK$103,24,FALSE)</f>
        <v>0.11187645209785435</v>
      </c>
      <c r="W55" s="12">
        <f>VLOOKUP(A55,Buchwert_je_Aktie!A$3:AK$103,37,FALSE)</f>
        <v>-2.102102102102088E-2</v>
      </c>
      <c r="X55" s="16">
        <f t="shared" ca="1" si="14"/>
        <v>32.180126793460133</v>
      </c>
      <c r="Y55" s="12">
        <f t="shared" ca="1" si="15"/>
        <v>8.8503673825527374E-2</v>
      </c>
      <c r="Z55" s="51">
        <f ca="1">IF(V55&lt;Bewertung_Stammdaten!B$25,Bewertung_Stammdaten!A$25,IF(V55&lt;Bewertung_Stammdaten!B$26,Bewertung_Stammdaten!A$26,IF(V55&lt;Bewertung_Stammdaten!B$27,Bewertung_Stammdaten!A$27,IF(V55&lt;Bewertung_Stammdaten!B$28,Bewertung_Stammdaten!A$28,IF(V55&lt;Bewertung_Stammdaten!B$29,Bewertung_Stammdaten!A$29,IF(V55&lt;Bewertung_Stammdaten!B$30,Bewertung_Stammdaten!A$30,IF(V55&lt;Bewertung_Stammdaten!B$31,Bewertung_Stammdaten!A$31,IF(V55&lt;Bewertung_Stammdaten!B$32,Bewertung_Stammdaten!A$32,IF(V55&lt;Bewertung_Stammdaten!B$33,Bewertung_Stammdaten!A$33,Bewertung_Stammdaten!A$34)))))))))</f>
        <v>6</v>
      </c>
      <c r="AA55" s="51">
        <f>IF(W55&lt;Bewertung_Stammdaten!F$25,Bewertung_Stammdaten!E$25,IF(W55&lt;Bewertung_Stammdaten!F$26,Bewertung_Stammdaten!E$26,IF(W55&lt;Bewertung_Stammdaten!F$27,Bewertung_Stammdaten!E$27,IF(W55&lt;Bewertung_Stammdaten!F$28,Bewertung_Stammdaten!E$28,IF(W55&lt;Bewertung_Stammdaten!F$29,Bewertung_Stammdaten!E$29,IF(W55&lt;Bewertung_Stammdaten!F$30,Bewertung_Stammdaten!E$30,IF(W55&lt;Bewertung_Stammdaten!F$31,Bewertung_Stammdaten!E$31,IF(W55&lt;Bewertung_Stammdaten!F$32,Bewertung_Stammdaten!E$32,IF(W55&lt;Bewertung_Stammdaten!F$33,Bewertung_Stammdaten!E$33,Bewertung_Stammdaten!E$34)))))))))</f>
        <v>10.5</v>
      </c>
      <c r="AB55" s="51">
        <f ca="1">IF(Y55&lt;Bewertung_Stammdaten!J$25,Bewertung_Stammdaten!I$25,IF(Y55&lt;Bewertung_Stammdaten!J$26,Bewertung_Stammdaten!I$26,IF(Y55&lt;Bewertung_Stammdaten!J$27,Bewertung_Stammdaten!I$27,IF(Y55&lt;Bewertung_Stammdaten!J$28,Bewertung_Stammdaten!I$28,IF(Y55&lt;Bewertung_Stammdaten!J$29,Bewertung_Stammdaten!I$29,IF(Y55&lt;Bewertung_Stammdaten!J$30,Bewertung_Stammdaten!I$30,IF(Y55&lt;Bewertung_Stammdaten!J$31,Bewertung_Stammdaten!I$31,IF(Y55&lt;Bewertung_Stammdaten!J$32,Bewertung_Stammdaten!I$32,IF(Y55&lt;Bewertung_Stammdaten!J$33,Bewertung_Stammdaten!I$33,Bewertung_Stammdaten!I$34)))))))))</f>
        <v>3</v>
      </c>
      <c r="AC55" s="43"/>
      <c r="AD55" s="14">
        <f ca="1">VLOOKUP(A55,Ergebnis_je_Aktie_verwässert!A$3:AK$103,23,FALSE)</f>
        <v>5.1441666666666661</v>
      </c>
      <c r="AE55" s="14">
        <f>VLOOKUP(A55,Ergebnis_je_Aktie_verwässert!A$3:AK$103,19,FALSE)</f>
        <v>3.2723076923076921</v>
      </c>
      <c r="AF55" s="12">
        <f ca="1">VLOOKUP(A55,Ergebnis_je_Aktie_verwässert!A$3:AK$103,24,FALSE)</f>
        <v>0.57203024604293984</v>
      </c>
      <c r="AG55" s="40">
        <f>VLOOKUP(A55,Ergebnis_je_Aktie_verwässert!A$3:AK$103,37,FALSE)</f>
        <v>-2.3529411764705688E-2</v>
      </c>
      <c r="AH55" s="16">
        <f t="shared" ca="1" si="16"/>
        <v>5.0231274509803923</v>
      </c>
      <c r="AI55" s="12">
        <f t="shared" ca="1" si="17"/>
        <v>0.53504129907722375</v>
      </c>
      <c r="AJ55" s="32">
        <f ca="1">IF(AF55&lt;Bewertung_Stammdaten!B$38,Bewertung_Stammdaten!A$38,IF(AF55&lt;Bewertung_Stammdaten!B$39,Bewertung_Stammdaten!A$39,IF(AF55&lt;Bewertung_Stammdaten!B$40,Bewertung_Stammdaten!A$40,IF(AF55&lt;Bewertung_Stammdaten!B$41,Bewertung_Stammdaten!A$41,IF(AF55&lt;Bewertung_Stammdaten!B$42,Bewertung_Stammdaten!A$42,IF(AF55&lt;Bewertung_Stammdaten!B$43,Bewertung_Stammdaten!A$43,IF(AF55&lt;Bewertung_Stammdaten!B$44,Bewertung_Stammdaten!A$44,IF(AF55&lt;Bewertung_Stammdaten!B$45,Bewertung_Stammdaten!A$45,IF(AF55&lt;Bewertung_Stammdaten!B$46,Bewertung_Stammdaten!A$46,Bewertung_Stammdaten!A$47)))))))))</f>
        <v>18</v>
      </c>
      <c r="AK55" s="32">
        <f>IF(AG55&lt;Bewertung_Stammdaten!F$38,Bewertung_Stammdaten!E$38,IF(AG55&lt;Bewertung_Stammdaten!F$39,Bewertung_Stammdaten!E$39,IF(AG55&lt;Bewertung_Stammdaten!F$40,Bewertung_Stammdaten!E$40,IF(AG55&lt;Bewertung_Stammdaten!F$41,Bewertung_Stammdaten!E$41,IF(AG55&lt;Bewertung_Stammdaten!F$42,Bewertung_Stammdaten!E$42,IF(AG55&lt;Bewertung_Stammdaten!F$43,Bewertung_Stammdaten!E$43,IF(AG55&lt;Bewertung_Stammdaten!F$44,Bewertung_Stammdaten!E$44,IF(AG55&lt;Bewertung_Stammdaten!F$45,Bewertung_Stammdaten!E$45,IF(AG55&lt;Bewertung_Stammdaten!F$46,Bewertung_Stammdaten!E$46,Bewertung_Stammdaten!E$47)))))))))</f>
        <v>10.5</v>
      </c>
      <c r="AL55" s="32">
        <f ca="1">IF(AI55&lt;Bewertung_Stammdaten!J$38,Bewertung_Stammdaten!I$38,IF(AI55&lt;Bewertung_Stammdaten!J$39,Bewertung_Stammdaten!I$39,IF(AI55&lt;Bewertung_Stammdaten!J$40,Bewertung_Stammdaten!I$40,IF(AI55&lt;Bewertung_Stammdaten!J$41,Bewertung_Stammdaten!I$41,IF(AI55&lt;Bewertung_Stammdaten!J$42,Bewertung_Stammdaten!I$42,IF(AI55&lt;Bewertung_Stammdaten!J$43,Bewertung_Stammdaten!I$43,IF(AI55&lt;Bewertung_Stammdaten!J$44,Bewertung_Stammdaten!I$44,IF(AI55&lt;Bewertung_Stammdaten!J$45,Bewertung_Stammdaten!I$45,IF(AI55&lt;Bewertung_Stammdaten!J$46,Bewertung_Stammdaten!I$46,Bewertung_Stammdaten!I$47)))))))))</f>
        <v>9</v>
      </c>
      <c r="AM55" s="43"/>
      <c r="AN55" s="14">
        <f ca="1">VLOOKUP(A55,Dividende_je_Aktie!A$3:AM$103,24,FALSE)</f>
        <v>1.4115000000000002</v>
      </c>
      <c r="AO55" s="14">
        <f>VLOOKUP(A55,Dividende_je_Aktie!A$3:AM$103,20,FALSE)</f>
        <v>0.68857142857142872</v>
      </c>
      <c r="AP55" s="12">
        <f ca="1">VLOOKUP(A55,Dividende_je_Aktie!A$3:AM$103,25,FALSE)</f>
        <v>1.0498962655601658</v>
      </c>
      <c r="AQ55" s="40">
        <f>VLOOKUP(A55,Dividende_je_Aktie!A$3:AM$103,39,FALSE)</f>
        <v>7.6923076923077094E-2</v>
      </c>
      <c r="AR55" s="16">
        <f t="shared" ca="1" si="18"/>
        <v>1.4115000000000002</v>
      </c>
      <c r="AS55" s="12">
        <f t="shared" ca="1" si="19"/>
        <v>1.0498962655601658</v>
      </c>
      <c r="AT55" s="32">
        <f ca="1">IF(AP55&lt;Bewertung_Stammdaten!B$51,Bewertung_Stammdaten!A$51,IF(AP55&lt;Bewertung_Stammdaten!B$52,Bewertung_Stammdaten!A$52,IF(AP55&lt;Bewertung_Stammdaten!B$53,Bewertung_Stammdaten!A$53,IF(AP55&lt;Bewertung_Stammdaten!B$54,Bewertung_Stammdaten!A$54,IF(AP55&lt;Bewertung_Stammdaten!B$55,Bewertung_Stammdaten!A$55,IF(AP55&lt;Bewertung_Stammdaten!B$56,Bewertung_Stammdaten!A$56,IF(AP55&lt;Bewertung_Stammdaten!B$57,Bewertung_Stammdaten!A$57,IF(AP55&lt;Bewertung_Stammdaten!B$58,Bewertung_Stammdaten!A$58,IF(AP55&lt;Bewertung_Stammdaten!B$59,Bewertung_Stammdaten!A$59,Bewertung_Stammdaten!A$60)))))))))</f>
        <v>20</v>
      </c>
      <c r="AU55" s="32">
        <f>IF(AQ55&lt;Bewertung_Stammdaten!F$51,Bewertung_Stammdaten!E$51,IF(AQ55&lt;Bewertung_Stammdaten!F$52,Bewertung_Stammdaten!E$52,IF(AQ55&lt;Bewertung_Stammdaten!F$53,Bewertung_Stammdaten!E$53,IF(AQ55&lt;Bewertung_Stammdaten!F$54,Bewertung_Stammdaten!E$54,IF(AQ55&lt;Bewertung_Stammdaten!F$55,Bewertung_Stammdaten!E$55,IF(AQ55&lt;Bewertung_Stammdaten!F$56,Bewertung_Stammdaten!E$56,IF(AQ55&lt;Bewertung_Stammdaten!F$57,Bewertung_Stammdaten!E$57,IF(AQ55&lt;Bewertung_Stammdaten!F$58,Bewertung_Stammdaten!E$58,IF(AQ55&lt;Bewertung_Stammdaten!F$59,Bewertung_Stammdaten!E$59,Bewertung_Stammdaten!E$60)))))))))</f>
        <v>12</v>
      </c>
      <c r="AV55" s="32">
        <f ca="1">IF(AS55&lt;Bewertung_Stammdaten!J$51,Bewertung_Stammdaten!I$51,IF(AS55&lt;Bewertung_Stammdaten!J$52,Bewertung_Stammdaten!I$52,IF(AS55&lt;Bewertung_Stammdaten!J$53,Bewertung_Stammdaten!I$53,IF(AS55&lt;Bewertung_Stammdaten!J$54,Bewertung_Stammdaten!I$54,IF(AS55&lt;Bewertung_Stammdaten!J$55,Bewertung_Stammdaten!I$55,IF(AS55&lt;Bewertung_Stammdaten!J$56,Bewertung_Stammdaten!I$56,IF(AS55&lt;Bewertung_Stammdaten!J$57,Bewertung_Stammdaten!I$57,IF(AS55&lt;Bewertung_Stammdaten!J$58,Bewertung_Stammdaten!I$58,IF(AS55&lt;Bewertung_Stammdaten!J$59,Bewertung_Stammdaten!I$59,Bewertung_Stammdaten!I$60)))))))))</f>
        <v>10</v>
      </c>
      <c r="AW55" s="43"/>
      <c r="AX55" s="12">
        <f ca="1">VLOOKUP(A55,Dividendenrendite!A$3:R$103,17,FALSE)</f>
        <v>1.4021058905334262E-2</v>
      </c>
      <c r="AY55" s="12">
        <f>VLOOKUP(A55,Dividendenrendite!A$3:R$103,16,FALSE)</f>
        <v>9.9519961827785903E-3</v>
      </c>
      <c r="AZ55" s="12">
        <f ca="1">VLOOKUP(A55,Dividendenrendite!A$3:R$103,18,FALSE)</f>
        <v>0.40886899952764977</v>
      </c>
      <c r="BA55" s="32">
        <f ca="1">IF(AX55&lt;Bewertung_Stammdaten!B$64,Bewertung_Stammdaten!A$64,IF(AX55&lt;Bewertung_Stammdaten!B$65,Bewertung_Stammdaten!A$65,IF(AX55&lt;Bewertung_Stammdaten!B$66,Bewertung_Stammdaten!A$66,IF(AX55&lt;Bewertung_Stammdaten!B$67,Bewertung_Stammdaten!A$67,IF(AX55&lt;Bewertung_Stammdaten!B$68,Bewertung_Stammdaten!A$68,IF(AX55&lt;Bewertung_Stammdaten!B$69,Bewertung_Stammdaten!A$69,IF(AX55&lt;Bewertung_Stammdaten!B$70,Bewertung_Stammdaten!A$70,IF(AX55&lt;Bewertung_Stammdaten!B$71,Bewertung_Stammdaten!A$71,IF(AX55&lt;Bewertung_Stammdaten!B$72,Bewertung_Stammdaten!A$72,Bewertung_Stammdaten!A$73)))))))))</f>
        <v>4.5</v>
      </c>
      <c r="BB55" s="32">
        <f>IF(AY55&lt;Bewertung_Stammdaten!F$64,Bewertung_Stammdaten!E$64,IF(AY55&lt;Bewertung_Stammdaten!F$65,Bewertung_Stammdaten!E$65,IF(AY55&lt;Bewertung_Stammdaten!F$66,Bewertung_Stammdaten!E$66,IF(AY55&lt;Bewertung_Stammdaten!F$67,Bewertung_Stammdaten!E$67,IF(AY55&lt;Bewertung_Stammdaten!F$68,Bewertung_Stammdaten!E$68,IF(AY55&lt;Bewertung_Stammdaten!F$69,Bewertung_Stammdaten!E$69,IF(AY55&lt;Bewertung_Stammdaten!F$70,Bewertung_Stammdaten!E$70,IF(AY55&lt;Bewertung_Stammdaten!F$71,Bewertung_Stammdaten!E$71,IF(AY55&lt;Bewertung_Stammdaten!F$72,Bewertung_Stammdaten!E$72,Bewertung_Stammdaten!E$73)))))))))</f>
        <v>2</v>
      </c>
      <c r="BC55" s="32">
        <f ca="1">IF(AZ55&lt;Bewertung_Stammdaten!J$64,Bewertung_Stammdaten!I$64,IF(AZ55&lt;Bewertung_Stammdaten!J$65,Bewertung_Stammdaten!I$65,IF(AZ55&lt;Bewertung_Stammdaten!J$66,Bewertung_Stammdaten!I$66,IF(AZ55&lt;Bewertung_Stammdaten!J$67,Bewertung_Stammdaten!I$67,IF(AZ55&lt;Bewertung_Stammdaten!J$68,Bewertung_Stammdaten!I$68,IF(AZ55&lt;Bewertung_Stammdaten!J$69,Bewertung_Stammdaten!I$69,IF(AZ55&lt;Bewertung_Stammdaten!J$70,Bewertung_Stammdaten!I$70,IF(AZ55&lt;Bewertung_Stammdaten!J$71,Bewertung_Stammdaten!I$71,IF(AZ55&lt;Bewertung_Stammdaten!J$72,Bewertung_Stammdaten!I$72,Bewertung_Stammdaten!I$73)))))))))</f>
        <v>5</v>
      </c>
      <c r="BD55" s="43"/>
      <c r="BE55" s="12">
        <f>VLOOKUP(A55,Aktien_im_Umlauf_splitbereinigt!A$3:Z$103,26,FALSE)</f>
        <v>-3.3898305084745783E-2</v>
      </c>
      <c r="BF55" s="12">
        <f>VLOOKUP(A55,Aktien_im_Umlauf_splitbereinigt!A$3:Y$103,24,FALSE)</f>
        <v>-3.2389849226436174E-2</v>
      </c>
      <c r="BG55" s="12">
        <f>VLOOKUP(A55,Aktien_im_Umlauf_splitbereinigt!A$3:Y$103,25,FALSE)</f>
        <v>4.6571870333944831E-2</v>
      </c>
      <c r="BH55" s="41">
        <f>IF(BE55&lt;Bewertung_Stammdaten!B$77,Bewertung_Stammdaten!A$77,IF(BE55&lt;Bewertung_Stammdaten!B$78,Bewertung_Stammdaten!A$78,IF(BE55&lt;Bewertung_Stammdaten!B$79,Bewertung_Stammdaten!A$79,IF(BE55&lt;Bewertung_Stammdaten!B$80,Bewertung_Stammdaten!A$80,IF(BE55&lt;Bewertung_Stammdaten!B$81,Bewertung_Stammdaten!A$81,IF(BE55&lt;Bewertung_Stammdaten!B$82,Bewertung_Stammdaten!A$82,IF(BE55&lt;Bewertung_Stammdaten!B$83,Bewertung_Stammdaten!A$83,IF(BE55&lt;Bewertung_Stammdaten!B$84,Bewertung_Stammdaten!A$84,IF(BE55&lt;Bewertung_Stammdaten!B$85,Bewertung_Stammdaten!A$85,Bewertung_Stammdaten!A$86)))))))))</f>
        <v>9</v>
      </c>
      <c r="BI55" s="41">
        <f>IF(BF55&lt;Bewertung_Stammdaten!F$77,Bewertung_Stammdaten!E$77,IF(BF55&lt;Bewertung_Stammdaten!F$78,Bewertung_Stammdaten!E$78,IF(BF55&lt;Bewertung_Stammdaten!F$79,Bewertung_Stammdaten!E$79,IF(BF55&lt;Bewertung_Stammdaten!F$80,Bewertung_Stammdaten!E$80,IF(BF55&lt;Bewertung_Stammdaten!F$81,Bewertung_Stammdaten!E$81,IF(BF55&lt;Bewertung_Stammdaten!F$82,Bewertung_Stammdaten!E$82,IF(BF55&lt;Bewertung_Stammdaten!F$83,Bewertung_Stammdaten!E$83,IF(BF55&lt;Bewertung_Stammdaten!F$84,Bewertung_Stammdaten!E$84,IF(BF55&lt;Bewertung_Stammdaten!F$85,Bewertung_Stammdaten!E$85,Bewertung_Stammdaten!E$86)))))))))</f>
        <v>9</v>
      </c>
      <c r="BJ55" s="41">
        <f>IF(BG55&lt;Bewertung_Stammdaten!J$77,Bewertung_Stammdaten!I$77,IF(BG55&lt;Bewertung_Stammdaten!J$78,Bewertung_Stammdaten!I$78,IF(BG55&lt;Bewertung_Stammdaten!J$79,Bewertung_Stammdaten!I$79,IF(BG55&lt;Bewertung_Stammdaten!J$80,Bewertung_Stammdaten!I$80,IF(BG55&lt;Bewertung_Stammdaten!J$81,Bewertung_Stammdaten!I$81,IF(BG55&lt;Bewertung_Stammdaten!J$82,Bewertung_Stammdaten!I$82,IF(BG55&lt;Bewertung_Stammdaten!J$83,Bewertung_Stammdaten!I$83,IF(BG55&lt;Bewertung_Stammdaten!J$84,Bewertung_Stammdaten!I$84,IF(BG55&lt;Bewertung_Stammdaten!J$85,Bewertung_Stammdaten!I$85,Bewertung_Stammdaten!I$86)))))))))</f>
        <v>3</v>
      </c>
      <c r="BK55" s="43"/>
      <c r="BL55" s="12">
        <f ca="1">VLOOKUP(A55,Ausschüttungsquote!A$3:X$103,23,FALSE)</f>
        <v>0.27399726609522984</v>
      </c>
      <c r="BM55" s="12">
        <f>VLOOKUP(A55,Ausschüttungsquote!A$3:X$103,19,FALSE)</f>
        <v>0.19108279893235999</v>
      </c>
      <c r="BN55" s="12">
        <f ca="1">VLOOKUP(A55,Ausschüttungsquote!A$3:X$103,24,FALSE)</f>
        <v>0.4339190530290491</v>
      </c>
      <c r="BO55" s="32">
        <f ca="1">IF(BL55&lt;Bewertung_Stammdaten!B$90,Bewertung_Stammdaten!A$90,IF(BL55&lt;Bewertung_Stammdaten!B$91,Bewertung_Stammdaten!A$91,IF(BL55&lt;Bewertung_Stammdaten!B$92,Bewertung_Stammdaten!A$92,IF(BL55&lt;Bewertung_Stammdaten!B$93,Bewertung_Stammdaten!A$93,IF(BL55&lt;Bewertung_Stammdaten!B$94,Bewertung_Stammdaten!A$94,IF(BL55&lt;Bewertung_Stammdaten!B$95,Bewertung_Stammdaten!A$95,IF(BL55&lt;Bewertung_Stammdaten!B$96,Bewertung_Stammdaten!A$96,IF(BL55&lt;Bewertung_Stammdaten!B$97,Bewertung_Stammdaten!A$97,IF(BL55&lt;Bewertung_Stammdaten!B$98,Bewertung_Stammdaten!A$98,Bewertung_Stammdaten!A$99)))))))))</f>
        <v>10</v>
      </c>
      <c r="BP55" s="41">
        <f>IF(BM55&lt;Bewertung_Stammdaten!F$90,Bewertung_Stammdaten!E$90,IF(BM55&lt;Bewertung_Stammdaten!F$91,Bewertung_Stammdaten!E$91,IF(BM55&lt;Bewertung_Stammdaten!F$92,Bewertung_Stammdaten!E$92,IF(BM55&lt;Bewertung_Stammdaten!F$93,Bewertung_Stammdaten!E$93,IF(BM55&lt;Bewertung_Stammdaten!F$94,Bewertung_Stammdaten!E$94,IF(BM55&lt;Bewertung_Stammdaten!F$95,Bewertung_Stammdaten!E$95,IF(BM55&lt;Bewertung_Stammdaten!F$96,Bewertung_Stammdaten!E$96,IF(BM55&lt;Bewertung_Stammdaten!F$97,Bewertung_Stammdaten!E$97,IF(BM55&lt;Bewertung_Stammdaten!F$98,Bewertung_Stammdaten!E$98,Bewertung_Stammdaten!E$99)))))))))</f>
        <v>10</v>
      </c>
      <c r="BQ55" s="32">
        <f ca="1">IF(BN55&lt;Bewertung_Stammdaten!J$90,Bewertung_Stammdaten!I$90,IF(BN55&lt;Bewertung_Stammdaten!J$91,Bewertung_Stammdaten!I$91,IF(BN55&lt;Bewertung_Stammdaten!J$92,Bewertung_Stammdaten!I$92,IF(BN55&lt;Bewertung_Stammdaten!J$93,Bewertung_Stammdaten!I$93,IF(BN55&lt;Bewertung_Stammdaten!J$94,Bewertung_Stammdaten!I$94,IF(BN55&lt;Bewertung_Stammdaten!J$95,Bewertung_Stammdaten!I$95,IF(BN55&lt;Bewertung_Stammdaten!J$96,Bewertung_Stammdaten!I$96,IF(BN55&lt;Bewertung_Stammdaten!J$97,Bewertung_Stammdaten!I$97,IF(BN55&lt;Bewertung_Stammdaten!J$98,Bewertung_Stammdaten!I$98,Bewertung_Stammdaten!I$99)))))))))</f>
        <v>1</v>
      </c>
    </row>
    <row r="56" spans="1:69" x14ac:dyDescent="0.25">
      <c r="A56" s="55" t="s">
        <v>291</v>
      </c>
      <c r="B56" s="55" t="s">
        <v>292</v>
      </c>
      <c r="C56" s="38" t="s">
        <v>295</v>
      </c>
      <c r="D56" s="32">
        <f t="shared" ca="1" si="11"/>
        <v>220</v>
      </c>
      <c r="E56" s="43"/>
      <c r="F56" s="66">
        <v>1</v>
      </c>
      <c r="G56" s="11">
        <f ca="1">VLOOKUP(A56,KGV!A$3:R$103,17,FALSE)</f>
        <v>15.464923695729327</v>
      </c>
      <c r="H56" s="11">
        <f>VLOOKUP(A56,KGV!A$3:R$103,16,FALSE)</f>
        <v>16.548872180451127</v>
      </c>
      <c r="I56" s="12">
        <f ca="1">VLOOKUP(A56,KGV!A$3:R$103,18,FALSE)</f>
        <v>-6.5499840285324629E-2</v>
      </c>
      <c r="J56" s="16">
        <f t="shared" ca="1" si="12"/>
        <v>19.30520676111178</v>
      </c>
      <c r="K56" s="12">
        <f t="shared" ca="1" si="13"/>
        <v>0.1665572463552325</v>
      </c>
      <c r="L56" s="11">
        <f ca="1">VLOOKUP(A56,KBV!A$3:R$103,17,FALSE)</f>
        <v>2.3990640484492571</v>
      </c>
      <c r="M56" s="11">
        <f>VLOOKUP(A56,KBV!A$3:R$103,16,FALSE)</f>
        <v>2.6547756041426931</v>
      </c>
      <c r="N56" s="12">
        <f ca="1">VLOOKUP(A56,KBV!A$3:R$103,18,FALSE)</f>
        <v>-9.632134455899255E-2</v>
      </c>
      <c r="O56" s="16">
        <f t="shared" ca="1" si="9"/>
        <v>2.4430835722740141</v>
      </c>
      <c r="P56" s="12">
        <f t="shared" ca="1" si="10"/>
        <v>-7.9740084826130042E-2</v>
      </c>
      <c r="Q56" s="32">
        <f ca="1">IF(F56=1,IF(I56&lt;Bewertung_Stammdaten!B$12,Bewertung_Stammdaten!A$12,IF(I56&lt;Bewertung_Stammdaten!B$13,Bewertung_Stammdaten!A$13,IF(I56&lt;Bewertung_Stammdaten!B$14,Bewertung_Stammdaten!A$14,IF(I56&lt;Bewertung_Stammdaten!B$15,Bewertung_Stammdaten!A$15,IF(I56&lt;Bewertung_Stammdaten!B$16,Bewertung_Stammdaten!A$16,IF(I56&lt;Bewertung_Stammdaten!B$17,Bewertung_Stammdaten!A$17,IF(I56&lt;Bewertung_Stammdaten!B$18,Bewertung_Stammdaten!A$18,IF(I56&lt;Bewertung_Stammdaten!B$19,Bewertung_Stammdaten!A$19,IF(I56&lt;Bewertung_Stammdaten!B$20,Bewertung_Stammdaten!A$20,Bewertung_Stammdaten!A$21))))))))),IF(N56&lt;Bewertung_Stammdaten!C$12,Bewertung_Stammdaten!A$12,IF(N56&lt;Bewertung_Stammdaten!C$13,Bewertung_Stammdaten!A$13,IF(N56&lt;Bewertung_Stammdaten!C$14,Bewertung_Stammdaten!A$14,IF(N56&lt;Bewertung_Stammdaten!C$15,Bewertung_Stammdaten!A$15,IF(N56&lt;Bewertung_Stammdaten!C$16,Bewertung_Stammdaten!A$16,IF(N56&lt;Bewertung_Stammdaten!C$17,Bewertung_Stammdaten!A$17,IF(N56&lt;Bewertung_Stammdaten!C$18,Bewertung_Stammdaten!A$18,IF(N56&lt;Bewertung_Stammdaten!C$19,Bewertung_Stammdaten!A$19,IF(N56&lt;Bewertung_Stammdaten!C$20,Bewertung_Stammdaten!A$20,Bewertung_Stammdaten!A$21))))))))))</f>
        <v>48</v>
      </c>
      <c r="R56" s="32">
        <f ca="1">IF(F56=1,IF(K56&lt;Bewertung_Stammdaten!F$12,Bewertung_Stammdaten!E$12,IF(K56&lt;Bewertung_Stammdaten!F$13,Bewertung_Stammdaten!E$13,IF(K56&lt;Bewertung_Stammdaten!F$14,Bewertung_Stammdaten!E$14,IF(K56&lt;Bewertung_Stammdaten!F$15,Bewertung_Stammdaten!E$15,IF(K56&lt;Bewertung_Stammdaten!F$16,Bewertung_Stammdaten!E$16,IF(K56&lt;Bewertung_Stammdaten!F$17,Bewertung_Stammdaten!E$17,IF(K56&lt;Bewertung_Stammdaten!F$18,Bewertung_Stammdaten!E$18,IF(K56&lt;Bewertung_Stammdaten!F$19,Bewertung_Stammdaten!E$19,IF(K56&lt;Bewertung_Stammdaten!F$20,Bewertung_Stammdaten!E$20,Bewertung_Stammdaten!E$21))))))))),IF(P56&lt;Bewertung_Stammdaten!G$12,Bewertung_Stammdaten!E$12,IF(P56&lt;Bewertung_Stammdaten!G$13,Bewertung_Stammdaten!E$13,IF(P56&lt;Bewertung_Stammdaten!G$14,Bewertung_Stammdaten!E$14,IF(P56&lt;Bewertung_Stammdaten!G$15,Bewertung_Stammdaten!E$15,IF(P56&lt;Bewertung_Stammdaten!G$16,Bewertung_Stammdaten!E$16,IF(P56&lt;Bewertung_Stammdaten!G$17,Bewertung_Stammdaten!E$17,IF(P56&lt;Bewertung_Stammdaten!G$18,Bewertung_Stammdaten!E$18,IF(P56&lt;Bewertung_Stammdaten!G$19,Bewertung_Stammdaten!E$19,IF(P56&lt;Bewertung_Stammdaten!G$20,Bewertung_Stammdaten!E$20,Bewertung_Stammdaten!E$21))))))))))</f>
        <v>15</v>
      </c>
      <c r="S56" s="43"/>
      <c r="T56" s="11">
        <f ca="1">VLOOKUP(A56,Buchwert_je_Aktie!A$3:AK$103,23,FALSE)</f>
        <v>12.108888888888888</v>
      </c>
      <c r="U56" s="11">
        <f>VLOOKUP(A56,Buchwert_je_Aktie!A$3:AK$103,19,FALSE)</f>
        <v>8.468461538461538</v>
      </c>
      <c r="V56" s="12">
        <f ca="1">VLOOKUP(A56,Buchwert_je_Aktie!A$3:AK$103,24,FALSE)</f>
        <v>0.42988060273917306</v>
      </c>
      <c r="W56" s="12">
        <f>VLOOKUP(A56,Buchwert_je_Aktie!A$3:AK$103,37,FALSE)</f>
        <v>-1.8018018018017945E-2</v>
      </c>
      <c r="X56" s="16">
        <f t="shared" ca="1" si="14"/>
        <v>11.89071071071071</v>
      </c>
      <c r="Y56" s="12">
        <f t="shared" ca="1" si="15"/>
        <v>0.4041169882754041</v>
      </c>
      <c r="Z56" s="51">
        <f ca="1">IF(V56&lt;Bewertung_Stammdaten!B$25,Bewertung_Stammdaten!A$25,IF(V56&lt;Bewertung_Stammdaten!B$26,Bewertung_Stammdaten!A$26,IF(V56&lt;Bewertung_Stammdaten!B$27,Bewertung_Stammdaten!A$27,IF(V56&lt;Bewertung_Stammdaten!B$28,Bewertung_Stammdaten!A$28,IF(V56&lt;Bewertung_Stammdaten!B$29,Bewertung_Stammdaten!A$29,IF(V56&lt;Bewertung_Stammdaten!B$30,Bewertung_Stammdaten!A$30,IF(V56&lt;Bewertung_Stammdaten!B$31,Bewertung_Stammdaten!A$31,IF(V56&lt;Bewertung_Stammdaten!B$32,Bewertung_Stammdaten!A$32,IF(V56&lt;Bewertung_Stammdaten!B$33,Bewertung_Stammdaten!A$33,Bewertung_Stammdaten!A$34)))))))))</f>
        <v>10.5</v>
      </c>
      <c r="AA56" s="51">
        <f>IF(W56&lt;Bewertung_Stammdaten!F$25,Bewertung_Stammdaten!E$25,IF(W56&lt;Bewertung_Stammdaten!F$26,Bewertung_Stammdaten!E$26,IF(W56&lt;Bewertung_Stammdaten!F$27,Bewertung_Stammdaten!E$27,IF(W56&lt;Bewertung_Stammdaten!F$28,Bewertung_Stammdaten!E$28,IF(W56&lt;Bewertung_Stammdaten!F$29,Bewertung_Stammdaten!E$29,IF(W56&lt;Bewertung_Stammdaten!F$30,Bewertung_Stammdaten!E$30,IF(W56&lt;Bewertung_Stammdaten!F$31,Bewertung_Stammdaten!E$31,IF(W56&lt;Bewertung_Stammdaten!F$32,Bewertung_Stammdaten!E$32,IF(W56&lt;Bewertung_Stammdaten!F$33,Bewertung_Stammdaten!E$33,Bewertung_Stammdaten!E$34)))))))))</f>
        <v>10.5</v>
      </c>
      <c r="AB56" s="51">
        <f ca="1">IF(Y56&lt;Bewertung_Stammdaten!J$25,Bewertung_Stammdaten!I$25,IF(Y56&lt;Bewertung_Stammdaten!J$26,Bewertung_Stammdaten!I$26,IF(Y56&lt;Bewertung_Stammdaten!J$27,Bewertung_Stammdaten!I$27,IF(Y56&lt;Bewertung_Stammdaten!J$28,Bewertung_Stammdaten!I$28,IF(Y56&lt;Bewertung_Stammdaten!J$29,Bewertung_Stammdaten!I$29,IF(Y56&lt;Bewertung_Stammdaten!J$30,Bewertung_Stammdaten!I$30,IF(Y56&lt;Bewertung_Stammdaten!J$31,Bewertung_Stammdaten!I$31,IF(Y56&lt;Bewertung_Stammdaten!J$32,Bewertung_Stammdaten!I$32,IF(Y56&lt;Bewertung_Stammdaten!J$33,Bewertung_Stammdaten!I$33,Bewertung_Stammdaten!I$34)))))))))</f>
        <v>7</v>
      </c>
      <c r="AC56" s="43"/>
      <c r="AD56" s="14">
        <f ca="1">VLOOKUP(A56,Ergebnis_je_Aktie_verwässert!A$3:AK$103,23,FALSE)</f>
        <v>1.8784444444444444</v>
      </c>
      <c r="AE56" s="14">
        <f>VLOOKUP(A56,Ergebnis_je_Aktie_verwässert!A$3:AK$103,19,FALSE)</f>
        <v>1.423846153846154</v>
      </c>
      <c r="AF56" s="12">
        <f ca="1">VLOOKUP(A56,Ergebnis_je_Aktie_verwässert!A$3:AK$103,24,FALSE)</f>
        <v>0.31927486643856162</v>
      </c>
      <c r="AG56" s="40">
        <f>VLOOKUP(A56,Ergebnis_je_Aktie_verwässert!A$3:AK$103,37,FALSE)</f>
        <v>-0.19892473118279574</v>
      </c>
      <c r="AH56" s="16">
        <f t="shared" ca="1" si="16"/>
        <v>1.5047753882915171</v>
      </c>
      <c r="AI56" s="12">
        <f t="shared" ca="1" si="17"/>
        <v>5.6838468276051879E-2</v>
      </c>
      <c r="AJ56" s="32">
        <f ca="1">IF(AF56&lt;Bewertung_Stammdaten!B$38,Bewertung_Stammdaten!A$38,IF(AF56&lt;Bewertung_Stammdaten!B$39,Bewertung_Stammdaten!A$39,IF(AF56&lt;Bewertung_Stammdaten!B$40,Bewertung_Stammdaten!A$40,IF(AF56&lt;Bewertung_Stammdaten!B$41,Bewertung_Stammdaten!A$41,IF(AF56&lt;Bewertung_Stammdaten!B$42,Bewertung_Stammdaten!A$42,IF(AF56&lt;Bewertung_Stammdaten!B$43,Bewertung_Stammdaten!A$43,IF(AF56&lt;Bewertung_Stammdaten!B$44,Bewertung_Stammdaten!A$44,IF(AF56&lt;Bewertung_Stammdaten!B$45,Bewertung_Stammdaten!A$45,IF(AF56&lt;Bewertung_Stammdaten!B$46,Bewertung_Stammdaten!A$46,Bewertung_Stammdaten!A$47)))))))))</f>
        <v>14</v>
      </c>
      <c r="AK56" s="32">
        <f>IF(AG56&lt;Bewertung_Stammdaten!F$38,Bewertung_Stammdaten!E$38,IF(AG56&lt;Bewertung_Stammdaten!F$39,Bewertung_Stammdaten!E$39,IF(AG56&lt;Bewertung_Stammdaten!F$40,Bewertung_Stammdaten!E$40,IF(AG56&lt;Bewertung_Stammdaten!F$41,Bewertung_Stammdaten!E$41,IF(AG56&lt;Bewertung_Stammdaten!F$42,Bewertung_Stammdaten!E$42,IF(AG56&lt;Bewertung_Stammdaten!F$43,Bewertung_Stammdaten!E$43,IF(AG56&lt;Bewertung_Stammdaten!F$44,Bewertung_Stammdaten!E$44,IF(AG56&lt;Bewertung_Stammdaten!F$45,Bewertung_Stammdaten!E$45,IF(AG56&lt;Bewertung_Stammdaten!F$46,Bewertung_Stammdaten!E$46,Bewertung_Stammdaten!E$47)))))))))</f>
        <v>9</v>
      </c>
      <c r="AL56" s="32">
        <f ca="1">IF(AI56&lt;Bewertung_Stammdaten!J$38,Bewertung_Stammdaten!I$38,IF(AI56&lt;Bewertung_Stammdaten!J$39,Bewertung_Stammdaten!I$39,IF(AI56&lt;Bewertung_Stammdaten!J$40,Bewertung_Stammdaten!I$40,IF(AI56&lt;Bewertung_Stammdaten!J$41,Bewertung_Stammdaten!I$41,IF(AI56&lt;Bewertung_Stammdaten!J$42,Bewertung_Stammdaten!I$42,IF(AI56&lt;Bewertung_Stammdaten!J$43,Bewertung_Stammdaten!I$43,IF(AI56&lt;Bewertung_Stammdaten!J$44,Bewertung_Stammdaten!I$44,IF(AI56&lt;Bewertung_Stammdaten!J$45,Bewertung_Stammdaten!I$45,IF(AI56&lt;Bewertung_Stammdaten!J$46,Bewertung_Stammdaten!I$46,Bewertung_Stammdaten!I$47)))))))))</f>
        <v>5</v>
      </c>
      <c r="AM56" s="43"/>
      <c r="AN56" s="14">
        <f ca="1">VLOOKUP(A56,Dividende_je_Aktie!A$3:AM$103,24,FALSE)</f>
        <v>0.82777777777777772</v>
      </c>
      <c r="AO56" s="14">
        <f>VLOOKUP(A56,Dividende_je_Aktie!A$3:AM$103,20,FALSE)</f>
        <v>0.30785714285714288</v>
      </c>
      <c r="AP56" s="12">
        <f ca="1">VLOOKUP(A56,Dividende_je_Aktie!A$3:AM$103,25,FALSE)</f>
        <v>1.6888373292085586</v>
      </c>
      <c r="AQ56" s="40">
        <f>VLOOKUP(A56,Dividende_je_Aktie!A$3:AM$103,39,FALSE)</f>
        <v>6.3291139240506222E-2</v>
      </c>
      <c r="AR56" s="16">
        <f t="shared" ca="1" si="18"/>
        <v>0.82777777777777772</v>
      </c>
      <c r="AS56" s="12">
        <f t="shared" ca="1" si="19"/>
        <v>1.6888373292085586</v>
      </c>
      <c r="AT56" s="32">
        <f ca="1">IF(AP56&lt;Bewertung_Stammdaten!B$51,Bewertung_Stammdaten!A$51,IF(AP56&lt;Bewertung_Stammdaten!B$52,Bewertung_Stammdaten!A$52,IF(AP56&lt;Bewertung_Stammdaten!B$53,Bewertung_Stammdaten!A$53,IF(AP56&lt;Bewertung_Stammdaten!B$54,Bewertung_Stammdaten!A$54,IF(AP56&lt;Bewertung_Stammdaten!B$55,Bewertung_Stammdaten!A$55,IF(AP56&lt;Bewertung_Stammdaten!B$56,Bewertung_Stammdaten!A$56,IF(AP56&lt;Bewertung_Stammdaten!B$57,Bewertung_Stammdaten!A$57,IF(AP56&lt;Bewertung_Stammdaten!B$58,Bewertung_Stammdaten!A$58,IF(AP56&lt;Bewertung_Stammdaten!B$59,Bewertung_Stammdaten!A$59,Bewertung_Stammdaten!A$60)))))))))</f>
        <v>20</v>
      </c>
      <c r="AU56" s="32">
        <f>IF(AQ56&lt;Bewertung_Stammdaten!F$51,Bewertung_Stammdaten!E$51,IF(AQ56&lt;Bewertung_Stammdaten!F$52,Bewertung_Stammdaten!E$52,IF(AQ56&lt;Bewertung_Stammdaten!F$53,Bewertung_Stammdaten!E$53,IF(AQ56&lt;Bewertung_Stammdaten!F$54,Bewertung_Stammdaten!E$54,IF(AQ56&lt;Bewertung_Stammdaten!F$55,Bewertung_Stammdaten!E$55,IF(AQ56&lt;Bewertung_Stammdaten!F$56,Bewertung_Stammdaten!E$56,IF(AQ56&lt;Bewertung_Stammdaten!F$57,Bewertung_Stammdaten!E$57,IF(AQ56&lt;Bewertung_Stammdaten!F$58,Bewertung_Stammdaten!E$58,IF(AQ56&lt;Bewertung_Stammdaten!F$59,Bewertung_Stammdaten!E$59,Bewertung_Stammdaten!E$60)))))))))</f>
        <v>12</v>
      </c>
      <c r="AV56" s="32">
        <f ca="1">IF(AS56&lt;Bewertung_Stammdaten!J$51,Bewertung_Stammdaten!I$51,IF(AS56&lt;Bewertung_Stammdaten!J$52,Bewertung_Stammdaten!I$52,IF(AS56&lt;Bewertung_Stammdaten!J$53,Bewertung_Stammdaten!I$53,IF(AS56&lt;Bewertung_Stammdaten!J$54,Bewertung_Stammdaten!I$54,IF(AS56&lt;Bewertung_Stammdaten!J$55,Bewertung_Stammdaten!I$55,IF(AS56&lt;Bewertung_Stammdaten!J$56,Bewertung_Stammdaten!I$56,IF(AS56&lt;Bewertung_Stammdaten!J$57,Bewertung_Stammdaten!I$57,IF(AS56&lt;Bewertung_Stammdaten!J$58,Bewertung_Stammdaten!I$58,IF(AS56&lt;Bewertung_Stammdaten!J$59,Bewertung_Stammdaten!I$59,Bewertung_Stammdaten!I$60)))))))))</f>
        <v>10</v>
      </c>
      <c r="AW56" s="43"/>
      <c r="AX56" s="12">
        <f ca="1">VLOOKUP(A56,Dividendenrendite!A$3:R$103,17,FALSE)</f>
        <v>2.8494932109389939E-2</v>
      </c>
      <c r="AY56" s="12">
        <f>VLOOKUP(A56,Dividendenrendite!A$3:R$103,16,FALSE)</f>
        <v>1.0303444024046192E-2</v>
      </c>
      <c r="AZ56" s="12">
        <f ca="1">VLOOKUP(A56,Dividendenrendite!A$3:R$103,18,FALSE)</f>
        <v>1.7655735347218293</v>
      </c>
      <c r="BA56" s="32">
        <f ca="1">IF(AX56&lt;Bewertung_Stammdaten!B$64,Bewertung_Stammdaten!A$64,IF(AX56&lt;Bewertung_Stammdaten!B$65,Bewertung_Stammdaten!A$65,IF(AX56&lt;Bewertung_Stammdaten!B$66,Bewertung_Stammdaten!A$66,IF(AX56&lt;Bewertung_Stammdaten!B$67,Bewertung_Stammdaten!A$67,IF(AX56&lt;Bewertung_Stammdaten!B$68,Bewertung_Stammdaten!A$68,IF(AX56&lt;Bewertung_Stammdaten!B$69,Bewertung_Stammdaten!A$69,IF(AX56&lt;Bewertung_Stammdaten!B$70,Bewertung_Stammdaten!A$70,IF(AX56&lt;Bewertung_Stammdaten!B$71,Bewertung_Stammdaten!A$71,IF(AX56&lt;Bewertung_Stammdaten!B$72,Bewertung_Stammdaten!A$72,Bewertung_Stammdaten!A$73)))))))))</f>
        <v>9</v>
      </c>
      <c r="BB56" s="32">
        <f>IF(AY56&lt;Bewertung_Stammdaten!F$64,Bewertung_Stammdaten!E$64,IF(AY56&lt;Bewertung_Stammdaten!F$65,Bewertung_Stammdaten!E$65,IF(AY56&lt;Bewertung_Stammdaten!F$66,Bewertung_Stammdaten!E$66,IF(AY56&lt;Bewertung_Stammdaten!F$67,Bewertung_Stammdaten!E$67,IF(AY56&lt;Bewertung_Stammdaten!F$68,Bewertung_Stammdaten!E$68,IF(AY56&lt;Bewertung_Stammdaten!F$69,Bewertung_Stammdaten!E$69,IF(AY56&lt;Bewertung_Stammdaten!F$70,Bewertung_Stammdaten!E$70,IF(AY56&lt;Bewertung_Stammdaten!F$71,Bewertung_Stammdaten!E$71,IF(AY56&lt;Bewertung_Stammdaten!F$72,Bewertung_Stammdaten!E$72,Bewertung_Stammdaten!E$73)))))))))</f>
        <v>3</v>
      </c>
      <c r="BC56" s="32">
        <f ca="1">IF(AZ56&lt;Bewertung_Stammdaten!J$64,Bewertung_Stammdaten!I$64,IF(AZ56&lt;Bewertung_Stammdaten!J$65,Bewertung_Stammdaten!I$65,IF(AZ56&lt;Bewertung_Stammdaten!J$66,Bewertung_Stammdaten!I$66,IF(AZ56&lt;Bewertung_Stammdaten!J$67,Bewertung_Stammdaten!I$67,IF(AZ56&lt;Bewertung_Stammdaten!J$68,Bewertung_Stammdaten!I$68,IF(AZ56&lt;Bewertung_Stammdaten!J$69,Bewertung_Stammdaten!I$69,IF(AZ56&lt;Bewertung_Stammdaten!J$70,Bewertung_Stammdaten!I$70,IF(AZ56&lt;Bewertung_Stammdaten!J$71,Bewertung_Stammdaten!I$71,IF(AZ56&lt;Bewertung_Stammdaten!J$72,Bewertung_Stammdaten!I$72,Bewertung_Stammdaten!I$73)))))))))</f>
        <v>5</v>
      </c>
      <c r="BD56" s="43"/>
      <c r="BE56" s="12">
        <f>VLOOKUP(A56,Aktien_im_Umlauf_splitbereinigt!A$3:Z$103,26,FALSE)</f>
        <v>-5.2328817962516205E-2</v>
      </c>
      <c r="BF56" s="12">
        <f>VLOOKUP(A56,Aktien_im_Umlauf_splitbereinigt!A$3:Y$103,24,FALSE)</f>
        <v>-2.3380259738532812E-2</v>
      </c>
      <c r="BG56" s="12">
        <f>VLOOKUP(A56,Aktien_im_Umlauf_splitbereinigt!A$3:Y$103,25,FALSE)</f>
        <v>1.2381623877459975</v>
      </c>
      <c r="BH56" s="41">
        <f>IF(BE56&lt;Bewertung_Stammdaten!B$77,Bewertung_Stammdaten!A$77,IF(BE56&lt;Bewertung_Stammdaten!B$78,Bewertung_Stammdaten!A$78,IF(BE56&lt;Bewertung_Stammdaten!B$79,Bewertung_Stammdaten!A$79,IF(BE56&lt;Bewertung_Stammdaten!B$80,Bewertung_Stammdaten!A$80,IF(BE56&lt;Bewertung_Stammdaten!B$81,Bewertung_Stammdaten!A$81,IF(BE56&lt;Bewertung_Stammdaten!B$82,Bewertung_Stammdaten!A$82,IF(BE56&lt;Bewertung_Stammdaten!B$83,Bewertung_Stammdaten!A$83,IF(BE56&lt;Bewertung_Stammdaten!B$84,Bewertung_Stammdaten!A$84,IF(BE56&lt;Bewertung_Stammdaten!B$85,Bewertung_Stammdaten!A$85,Bewertung_Stammdaten!A$86)))))))))</f>
        <v>10</v>
      </c>
      <c r="BI56" s="41">
        <f>IF(BF56&lt;Bewertung_Stammdaten!F$77,Bewertung_Stammdaten!E$77,IF(BF56&lt;Bewertung_Stammdaten!F$78,Bewertung_Stammdaten!E$78,IF(BF56&lt;Bewertung_Stammdaten!F$79,Bewertung_Stammdaten!E$79,IF(BF56&lt;Bewertung_Stammdaten!F$80,Bewertung_Stammdaten!E$80,IF(BF56&lt;Bewertung_Stammdaten!F$81,Bewertung_Stammdaten!E$81,IF(BF56&lt;Bewertung_Stammdaten!F$82,Bewertung_Stammdaten!E$82,IF(BF56&lt;Bewertung_Stammdaten!F$83,Bewertung_Stammdaten!E$83,IF(BF56&lt;Bewertung_Stammdaten!F$84,Bewertung_Stammdaten!E$84,IF(BF56&lt;Bewertung_Stammdaten!F$85,Bewertung_Stammdaten!E$85,Bewertung_Stammdaten!E$86)))))))))</f>
        <v>7</v>
      </c>
      <c r="BJ56" s="41">
        <f>IF(BG56&lt;Bewertung_Stammdaten!J$77,Bewertung_Stammdaten!I$77,IF(BG56&lt;Bewertung_Stammdaten!J$78,Bewertung_Stammdaten!I$78,IF(BG56&lt;Bewertung_Stammdaten!J$79,Bewertung_Stammdaten!I$79,IF(BG56&lt;Bewertung_Stammdaten!J$80,Bewertung_Stammdaten!I$80,IF(BG56&lt;Bewertung_Stammdaten!J$81,Bewertung_Stammdaten!I$81,IF(BG56&lt;Bewertung_Stammdaten!J$82,Bewertung_Stammdaten!I$82,IF(BG56&lt;Bewertung_Stammdaten!J$83,Bewertung_Stammdaten!I$83,IF(BG56&lt;Bewertung_Stammdaten!J$84,Bewertung_Stammdaten!I$84,IF(BG56&lt;Bewertung_Stammdaten!J$85,Bewertung_Stammdaten!I$85,Bewertung_Stammdaten!I$86)))))))))</f>
        <v>5</v>
      </c>
      <c r="BK56" s="43"/>
      <c r="BL56" s="12">
        <f ca="1">VLOOKUP(A56,Ausschüttungsquote!A$3:X$103,23,FALSE)</f>
        <v>0.44090476190476191</v>
      </c>
      <c r="BM56" s="12">
        <f>VLOOKUP(A56,Ausschüttungsquote!A$3:X$103,19,FALSE)</f>
        <v>0.18739898967103177</v>
      </c>
      <c r="BN56" s="12">
        <f ca="1">VLOOKUP(A56,Ausschüttungsquote!A$3:X$103,24,FALSE)</f>
        <v>1.3527595462427255</v>
      </c>
      <c r="BO56" s="32">
        <f ca="1">IF(BL56&lt;Bewertung_Stammdaten!B$90,Bewertung_Stammdaten!A$90,IF(BL56&lt;Bewertung_Stammdaten!B$91,Bewertung_Stammdaten!A$91,IF(BL56&lt;Bewertung_Stammdaten!B$92,Bewertung_Stammdaten!A$92,IF(BL56&lt;Bewertung_Stammdaten!B$93,Bewertung_Stammdaten!A$93,IF(BL56&lt;Bewertung_Stammdaten!B$94,Bewertung_Stammdaten!A$94,IF(BL56&lt;Bewertung_Stammdaten!B$95,Bewertung_Stammdaten!A$95,IF(BL56&lt;Bewertung_Stammdaten!B$96,Bewertung_Stammdaten!A$96,IF(BL56&lt;Bewertung_Stammdaten!B$97,Bewertung_Stammdaten!A$97,IF(BL56&lt;Bewertung_Stammdaten!B$98,Bewertung_Stammdaten!A$98,Bewertung_Stammdaten!A$99)))))))))</f>
        <v>9</v>
      </c>
      <c r="BP56" s="41">
        <f>IF(BM56&lt;Bewertung_Stammdaten!F$90,Bewertung_Stammdaten!E$90,IF(BM56&lt;Bewertung_Stammdaten!F$91,Bewertung_Stammdaten!E$91,IF(BM56&lt;Bewertung_Stammdaten!F$92,Bewertung_Stammdaten!E$92,IF(BM56&lt;Bewertung_Stammdaten!F$93,Bewertung_Stammdaten!E$93,IF(BM56&lt;Bewertung_Stammdaten!F$94,Bewertung_Stammdaten!E$94,IF(BM56&lt;Bewertung_Stammdaten!F$95,Bewertung_Stammdaten!E$95,IF(BM56&lt;Bewertung_Stammdaten!F$96,Bewertung_Stammdaten!E$96,IF(BM56&lt;Bewertung_Stammdaten!F$97,Bewertung_Stammdaten!E$97,IF(BM56&lt;Bewertung_Stammdaten!F$98,Bewertung_Stammdaten!E$98,Bewertung_Stammdaten!E$99)))))))))</f>
        <v>10</v>
      </c>
      <c r="BQ56" s="32">
        <f ca="1">IF(BN56&lt;Bewertung_Stammdaten!J$90,Bewertung_Stammdaten!I$90,IF(BN56&lt;Bewertung_Stammdaten!J$91,Bewertung_Stammdaten!I$91,IF(BN56&lt;Bewertung_Stammdaten!J$92,Bewertung_Stammdaten!I$92,IF(BN56&lt;Bewertung_Stammdaten!J$93,Bewertung_Stammdaten!I$93,IF(BN56&lt;Bewertung_Stammdaten!J$94,Bewertung_Stammdaten!I$94,IF(BN56&lt;Bewertung_Stammdaten!J$95,Bewertung_Stammdaten!I$95,IF(BN56&lt;Bewertung_Stammdaten!J$96,Bewertung_Stammdaten!I$96,IF(BN56&lt;Bewertung_Stammdaten!J$97,Bewertung_Stammdaten!I$97,IF(BN56&lt;Bewertung_Stammdaten!J$98,Bewertung_Stammdaten!I$98,Bewertung_Stammdaten!I$99)))))))))</f>
        <v>1</v>
      </c>
    </row>
    <row r="57" spans="1:69" x14ac:dyDescent="0.25">
      <c r="A57" s="55" t="s">
        <v>272</v>
      </c>
      <c r="B57" s="55" t="s">
        <v>277</v>
      </c>
      <c r="C57" s="38" t="s">
        <v>295</v>
      </c>
      <c r="D57" s="32">
        <f t="shared" ca="1" si="11"/>
        <v>133.5</v>
      </c>
      <c r="E57" s="43"/>
      <c r="F57" s="66">
        <v>1</v>
      </c>
      <c r="G57" s="11">
        <f ca="1">VLOOKUP(A57,KGV!A$3:R$103,17,FALSE)</f>
        <v>17.869914346895079</v>
      </c>
      <c r="H57" s="11">
        <f>VLOOKUP(A57,KGV!A$3:R$103,16,FALSE)</f>
        <v>15.155279503105588</v>
      </c>
      <c r="I57" s="12">
        <f ca="1">VLOOKUP(A57,KGV!A$3:R$103,18,FALSE)</f>
        <v>0.17912139747955247</v>
      </c>
      <c r="J57" s="16">
        <f t="shared" ca="1" si="12"/>
        <v>23.361190109743045</v>
      </c>
      <c r="K57" s="12">
        <f t="shared" ca="1" si="13"/>
        <v>0.54145557691337332</v>
      </c>
      <c r="L57" s="11">
        <f ca="1">VLOOKUP(A57,KBV!A$3:R$103,17,FALSE)</f>
        <v>4.9087901180103684</v>
      </c>
      <c r="M57" s="11">
        <f>VLOOKUP(A57,KBV!A$3:R$103,16,FALSE)</f>
        <v>4.4137228260869561</v>
      </c>
      <c r="N57" s="12">
        <f ca="1">VLOOKUP(A57,KBV!A$3:R$103,18,FALSE)</f>
        <v>0.11216546924907855</v>
      </c>
      <c r="O57" s="16">
        <f t="shared" ca="1" si="9"/>
        <v>7.6925090710086526</v>
      </c>
      <c r="P57" s="12">
        <f t="shared" ca="1" si="10"/>
        <v>0.74286183662070759</v>
      </c>
      <c r="Q57" s="32">
        <f ca="1">IF(F57=1,IF(I57&lt;Bewertung_Stammdaten!B$12,Bewertung_Stammdaten!A$12,IF(I57&lt;Bewertung_Stammdaten!B$13,Bewertung_Stammdaten!A$13,IF(I57&lt;Bewertung_Stammdaten!B$14,Bewertung_Stammdaten!A$14,IF(I57&lt;Bewertung_Stammdaten!B$15,Bewertung_Stammdaten!A$15,IF(I57&lt;Bewertung_Stammdaten!B$16,Bewertung_Stammdaten!A$16,IF(I57&lt;Bewertung_Stammdaten!B$17,Bewertung_Stammdaten!A$17,IF(I57&lt;Bewertung_Stammdaten!B$18,Bewertung_Stammdaten!A$18,IF(I57&lt;Bewertung_Stammdaten!B$19,Bewertung_Stammdaten!A$19,IF(I57&lt;Bewertung_Stammdaten!B$20,Bewertung_Stammdaten!A$20,Bewertung_Stammdaten!A$21))))))))),IF(N57&lt;Bewertung_Stammdaten!C$12,Bewertung_Stammdaten!A$12,IF(N57&lt;Bewertung_Stammdaten!C$13,Bewertung_Stammdaten!A$13,IF(N57&lt;Bewertung_Stammdaten!C$14,Bewertung_Stammdaten!A$14,IF(N57&lt;Bewertung_Stammdaten!C$15,Bewertung_Stammdaten!A$15,IF(N57&lt;Bewertung_Stammdaten!C$16,Bewertung_Stammdaten!A$16,IF(N57&lt;Bewertung_Stammdaten!C$17,Bewertung_Stammdaten!A$17,IF(N57&lt;Bewertung_Stammdaten!C$18,Bewertung_Stammdaten!A$18,IF(N57&lt;Bewertung_Stammdaten!C$19,Bewertung_Stammdaten!A$19,IF(N57&lt;Bewertung_Stammdaten!C$20,Bewertung_Stammdaten!A$20,Bewertung_Stammdaten!A$21))))))))))</f>
        <v>18</v>
      </c>
      <c r="R57" s="32">
        <f ca="1">IF(F57=1,IF(K57&lt;Bewertung_Stammdaten!F$12,Bewertung_Stammdaten!E$12,IF(K57&lt;Bewertung_Stammdaten!F$13,Bewertung_Stammdaten!E$13,IF(K57&lt;Bewertung_Stammdaten!F$14,Bewertung_Stammdaten!E$14,IF(K57&lt;Bewertung_Stammdaten!F$15,Bewertung_Stammdaten!E$15,IF(K57&lt;Bewertung_Stammdaten!F$16,Bewertung_Stammdaten!E$16,IF(K57&lt;Bewertung_Stammdaten!F$17,Bewertung_Stammdaten!E$17,IF(K57&lt;Bewertung_Stammdaten!F$18,Bewertung_Stammdaten!E$18,IF(K57&lt;Bewertung_Stammdaten!F$19,Bewertung_Stammdaten!E$19,IF(K57&lt;Bewertung_Stammdaten!F$20,Bewertung_Stammdaten!E$20,Bewertung_Stammdaten!E$21))))))))),IF(P57&lt;Bewertung_Stammdaten!G$12,Bewertung_Stammdaten!E$12,IF(P57&lt;Bewertung_Stammdaten!G$13,Bewertung_Stammdaten!E$13,IF(P57&lt;Bewertung_Stammdaten!G$14,Bewertung_Stammdaten!E$14,IF(P57&lt;Bewertung_Stammdaten!G$15,Bewertung_Stammdaten!E$15,IF(P57&lt;Bewertung_Stammdaten!G$16,Bewertung_Stammdaten!E$16,IF(P57&lt;Bewertung_Stammdaten!G$17,Bewertung_Stammdaten!E$17,IF(P57&lt;Bewertung_Stammdaten!G$18,Bewertung_Stammdaten!E$18,IF(P57&lt;Bewertung_Stammdaten!G$19,Bewertung_Stammdaten!E$19,IF(P57&lt;Bewertung_Stammdaten!G$20,Bewertung_Stammdaten!E$20,Bewertung_Stammdaten!E$21))))))))))</f>
        <v>2.5</v>
      </c>
      <c r="S57" s="43"/>
      <c r="T57" s="11">
        <f ca="1">VLOOKUP(A57,Buchwert_je_Aktie!A$3:AK$103,23,FALSE)</f>
        <v>15.111666666666665</v>
      </c>
      <c r="U57" s="11">
        <f>VLOOKUP(A57,Buchwert_je_Aktie!A$3:AK$103,19,FALSE)</f>
        <v>12.038461538461538</v>
      </c>
      <c r="V57" s="12">
        <f ca="1">VLOOKUP(A57,Buchwert_je_Aktie!A$3:AK$103,24,FALSE)</f>
        <v>0.25528221512247051</v>
      </c>
      <c r="W57" s="12">
        <f>VLOOKUP(A57,Buchwert_je_Aktie!A$3:AK$103,37,FALSE)</f>
        <v>-0.36187399030694667</v>
      </c>
      <c r="X57" s="16">
        <f t="shared" ca="1" si="14"/>
        <v>9.6431475498115233</v>
      </c>
      <c r="Y57" s="12">
        <f t="shared" ca="1" si="15"/>
        <v>-0.19897176902524083</v>
      </c>
      <c r="Z57" s="51">
        <f ca="1">IF(V57&lt;Bewertung_Stammdaten!B$25,Bewertung_Stammdaten!A$25,IF(V57&lt;Bewertung_Stammdaten!B$26,Bewertung_Stammdaten!A$26,IF(V57&lt;Bewertung_Stammdaten!B$27,Bewertung_Stammdaten!A$27,IF(V57&lt;Bewertung_Stammdaten!B$28,Bewertung_Stammdaten!A$28,IF(V57&lt;Bewertung_Stammdaten!B$29,Bewertung_Stammdaten!A$29,IF(V57&lt;Bewertung_Stammdaten!B$30,Bewertung_Stammdaten!A$30,IF(V57&lt;Bewertung_Stammdaten!B$31,Bewertung_Stammdaten!A$31,IF(V57&lt;Bewertung_Stammdaten!B$32,Bewertung_Stammdaten!A$32,IF(V57&lt;Bewertung_Stammdaten!B$33,Bewertung_Stammdaten!A$33,Bewertung_Stammdaten!A$34)))))))))</f>
        <v>7.5</v>
      </c>
      <c r="AA57" s="51">
        <f>IF(W57&lt;Bewertung_Stammdaten!F$25,Bewertung_Stammdaten!E$25,IF(W57&lt;Bewertung_Stammdaten!F$26,Bewertung_Stammdaten!E$26,IF(W57&lt;Bewertung_Stammdaten!F$27,Bewertung_Stammdaten!E$27,IF(W57&lt;Bewertung_Stammdaten!F$28,Bewertung_Stammdaten!E$28,IF(W57&lt;Bewertung_Stammdaten!F$29,Bewertung_Stammdaten!E$29,IF(W57&lt;Bewertung_Stammdaten!F$30,Bewertung_Stammdaten!E$30,IF(W57&lt;Bewertung_Stammdaten!F$31,Bewertung_Stammdaten!E$31,IF(W57&lt;Bewertung_Stammdaten!F$32,Bewertung_Stammdaten!E$32,IF(W57&lt;Bewertung_Stammdaten!F$33,Bewertung_Stammdaten!E$33,Bewertung_Stammdaten!E$34)))))))))</f>
        <v>1.5</v>
      </c>
      <c r="AB57" s="51">
        <f ca="1">IF(Y57&lt;Bewertung_Stammdaten!J$25,Bewertung_Stammdaten!I$25,IF(Y57&lt;Bewertung_Stammdaten!J$26,Bewertung_Stammdaten!I$26,IF(Y57&lt;Bewertung_Stammdaten!J$27,Bewertung_Stammdaten!I$27,IF(Y57&lt;Bewertung_Stammdaten!J$28,Bewertung_Stammdaten!I$28,IF(Y57&lt;Bewertung_Stammdaten!J$29,Bewertung_Stammdaten!I$29,IF(Y57&lt;Bewertung_Stammdaten!J$30,Bewertung_Stammdaten!I$30,IF(Y57&lt;Bewertung_Stammdaten!J$31,Bewertung_Stammdaten!I$31,IF(Y57&lt;Bewertung_Stammdaten!J$32,Bewertung_Stammdaten!I$32,IF(Y57&lt;Bewertung_Stammdaten!J$33,Bewertung_Stammdaten!I$33,Bewertung_Stammdaten!I$34)))))))))</f>
        <v>1</v>
      </c>
      <c r="AC57" s="43"/>
      <c r="AD57" s="14">
        <f ca="1">VLOOKUP(A57,Ergebnis_je_Aktie_verwässert!A$3:AK$103,23,FALSE)</f>
        <v>4.1511111111111108</v>
      </c>
      <c r="AE57" s="14">
        <f>VLOOKUP(A57,Ergebnis_je_Aktie_verwässert!A$3:AK$103,19,FALSE)</f>
        <v>3.3905384615384615</v>
      </c>
      <c r="AF57" s="12">
        <f ca="1">VLOOKUP(A57,Ergebnis_je_Aktie_verwässert!A$3:AK$103,24,FALSE)</f>
        <v>0.22432208281971189</v>
      </c>
      <c r="AG57" s="40">
        <f>VLOOKUP(A57,Ergebnis_je_Aktie_verwässert!A$3:AK$103,37,FALSE)</f>
        <v>-0.23505976095617531</v>
      </c>
      <c r="AH57" s="16">
        <f t="shared" ca="1" si="16"/>
        <v>3.1753519256308098</v>
      </c>
      <c r="AI57" s="12">
        <f t="shared" ca="1" si="17"/>
        <v>-6.3466773301256274E-2</v>
      </c>
      <c r="AJ57" s="32">
        <f ca="1">IF(AF57&lt;Bewertung_Stammdaten!B$38,Bewertung_Stammdaten!A$38,IF(AF57&lt;Bewertung_Stammdaten!B$39,Bewertung_Stammdaten!A$39,IF(AF57&lt;Bewertung_Stammdaten!B$40,Bewertung_Stammdaten!A$40,IF(AF57&lt;Bewertung_Stammdaten!B$41,Bewertung_Stammdaten!A$41,IF(AF57&lt;Bewertung_Stammdaten!B$42,Bewertung_Stammdaten!A$42,IF(AF57&lt;Bewertung_Stammdaten!B$43,Bewertung_Stammdaten!A$43,IF(AF57&lt;Bewertung_Stammdaten!B$44,Bewertung_Stammdaten!A$44,IF(AF57&lt;Bewertung_Stammdaten!B$45,Bewertung_Stammdaten!A$45,IF(AF57&lt;Bewertung_Stammdaten!B$46,Bewertung_Stammdaten!A$46,Bewertung_Stammdaten!A$47)))))))))</f>
        <v>12</v>
      </c>
      <c r="AK57" s="32">
        <f>IF(AG57&lt;Bewertung_Stammdaten!F$38,Bewertung_Stammdaten!E$38,IF(AG57&lt;Bewertung_Stammdaten!F$39,Bewertung_Stammdaten!E$39,IF(AG57&lt;Bewertung_Stammdaten!F$40,Bewertung_Stammdaten!E$40,IF(AG57&lt;Bewertung_Stammdaten!F$41,Bewertung_Stammdaten!E$41,IF(AG57&lt;Bewertung_Stammdaten!F$42,Bewertung_Stammdaten!E$42,IF(AG57&lt;Bewertung_Stammdaten!F$43,Bewertung_Stammdaten!E$43,IF(AG57&lt;Bewertung_Stammdaten!F$44,Bewertung_Stammdaten!E$44,IF(AG57&lt;Bewertung_Stammdaten!F$45,Bewertung_Stammdaten!E$45,IF(AG57&lt;Bewertung_Stammdaten!F$46,Bewertung_Stammdaten!E$46,Bewertung_Stammdaten!E$47)))))))))</f>
        <v>7.5</v>
      </c>
      <c r="AL57" s="32">
        <f ca="1">IF(AI57&lt;Bewertung_Stammdaten!J$38,Bewertung_Stammdaten!I$38,IF(AI57&lt;Bewertung_Stammdaten!J$39,Bewertung_Stammdaten!I$39,IF(AI57&lt;Bewertung_Stammdaten!J$40,Bewertung_Stammdaten!I$40,IF(AI57&lt;Bewertung_Stammdaten!J$41,Bewertung_Stammdaten!I$41,IF(AI57&lt;Bewertung_Stammdaten!J$42,Bewertung_Stammdaten!I$42,IF(AI57&lt;Bewertung_Stammdaten!J$43,Bewertung_Stammdaten!I$43,IF(AI57&lt;Bewertung_Stammdaten!J$44,Bewertung_Stammdaten!I$44,IF(AI57&lt;Bewertung_Stammdaten!J$45,Bewertung_Stammdaten!I$45,IF(AI57&lt;Bewertung_Stammdaten!J$46,Bewertung_Stammdaten!I$46,Bewertung_Stammdaten!I$47)))))))))</f>
        <v>3</v>
      </c>
      <c r="AM57" s="43"/>
      <c r="AN57" s="14">
        <f ca="1">VLOOKUP(A57,Dividende_je_Aktie!A$3:AM$103,24,FALSE)</f>
        <v>1.9638888888888886</v>
      </c>
      <c r="AO57" s="14">
        <f>VLOOKUP(A57,Dividende_je_Aktie!A$3:AM$103,20,FALSE)</f>
        <v>1.7028571428571428</v>
      </c>
      <c r="AP57" s="12">
        <f ca="1">VLOOKUP(A57,Dividende_je_Aktie!A$3:AM$103,25,FALSE)</f>
        <v>0.15329045488441451</v>
      </c>
      <c r="AQ57" s="40">
        <f>VLOOKUP(A57,Dividende_je_Aktie!A$3:AM$103,39,FALSE)</f>
        <v>0</v>
      </c>
      <c r="AR57" s="16">
        <f t="shared" ca="1" si="18"/>
        <v>1.9638888888888886</v>
      </c>
      <c r="AS57" s="12">
        <f t="shared" ca="1" si="19"/>
        <v>0.15329045488441451</v>
      </c>
      <c r="AT57" s="32">
        <f ca="1">IF(AP57&lt;Bewertung_Stammdaten!B$51,Bewertung_Stammdaten!A$51,IF(AP57&lt;Bewertung_Stammdaten!B$52,Bewertung_Stammdaten!A$52,IF(AP57&lt;Bewertung_Stammdaten!B$53,Bewertung_Stammdaten!A$53,IF(AP57&lt;Bewertung_Stammdaten!B$54,Bewertung_Stammdaten!A$54,IF(AP57&lt;Bewertung_Stammdaten!B$55,Bewertung_Stammdaten!A$55,IF(AP57&lt;Bewertung_Stammdaten!B$56,Bewertung_Stammdaten!A$56,IF(AP57&lt;Bewertung_Stammdaten!B$57,Bewertung_Stammdaten!A$57,IF(AP57&lt;Bewertung_Stammdaten!B$58,Bewertung_Stammdaten!A$58,IF(AP57&lt;Bewertung_Stammdaten!B$59,Bewertung_Stammdaten!A$59,Bewertung_Stammdaten!A$60)))))))))</f>
        <v>8</v>
      </c>
      <c r="AU57" s="32">
        <f>IF(AQ57&lt;Bewertung_Stammdaten!F$51,Bewertung_Stammdaten!E$51,IF(AQ57&lt;Bewertung_Stammdaten!F$52,Bewertung_Stammdaten!E$52,IF(AQ57&lt;Bewertung_Stammdaten!F$53,Bewertung_Stammdaten!E$53,IF(AQ57&lt;Bewertung_Stammdaten!F$54,Bewertung_Stammdaten!E$54,IF(AQ57&lt;Bewertung_Stammdaten!F$55,Bewertung_Stammdaten!E$55,IF(AQ57&lt;Bewertung_Stammdaten!F$56,Bewertung_Stammdaten!E$56,IF(AQ57&lt;Bewertung_Stammdaten!F$57,Bewertung_Stammdaten!E$57,IF(AQ57&lt;Bewertung_Stammdaten!F$58,Bewertung_Stammdaten!E$58,IF(AQ57&lt;Bewertung_Stammdaten!F$59,Bewertung_Stammdaten!E$59,Bewertung_Stammdaten!E$60)))))))))</f>
        <v>12</v>
      </c>
      <c r="AV57" s="32">
        <f ca="1">IF(AS57&lt;Bewertung_Stammdaten!J$51,Bewertung_Stammdaten!I$51,IF(AS57&lt;Bewertung_Stammdaten!J$52,Bewertung_Stammdaten!I$52,IF(AS57&lt;Bewertung_Stammdaten!J$53,Bewertung_Stammdaten!I$53,IF(AS57&lt;Bewertung_Stammdaten!J$54,Bewertung_Stammdaten!I$54,IF(AS57&lt;Bewertung_Stammdaten!J$55,Bewertung_Stammdaten!I$55,IF(AS57&lt;Bewertung_Stammdaten!J$56,Bewertung_Stammdaten!I$56,IF(AS57&lt;Bewertung_Stammdaten!J$57,Bewertung_Stammdaten!I$57,IF(AS57&lt;Bewertung_Stammdaten!J$58,Bewertung_Stammdaten!I$58,IF(AS57&lt;Bewertung_Stammdaten!J$59,Bewertung_Stammdaten!I$59,Bewertung_Stammdaten!I$60)))))))))</f>
        <v>6</v>
      </c>
      <c r="AW57" s="43"/>
      <c r="AX57" s="12">
        <f ca="1">VLOOKUP(A57,Dividendenrendite!A$3:R$103,17,FALSE)</f>
        <v>2.6474641262993912E-2</v>
      </c>
      <c r="AY57" s="12">
        <f>VLOOKUP(A57,Dividendenrendite!A$3:R$103,16,FALSE)</f>
        <v>3.4876342074755318E-2</v>
      </c>
      <c r="AZ57" s="12">
        <f ca="1">VLOOKUP(A57,Dividendenrendite!A$3:R$103,18,FALSE)</f>
        <v>-0.24089971344336714</v>
      </c>
      <c r="BA57" s="32">
        <f ca="1">IF(AX57&lt;Bewertung_Stammdaten!B$64,Bewertung_Stammdaten!A$64,IF(AX57&lt;Bewertung_Stammdaten!B$65,Bewertung_Stammdaten!A$65,IF(AX57&lt;Bewertung_Stammdaten!B$66,Bewertung_Stammdaten!A$66,IF(AX57&lt;Bewertung_Stammdaten!B$67,Bewertung_Stammdaten!A$67,IF(AX57&lt;Bewertung_Stammdaten!B$68,Bewertung_Stammdaten!A$68,IF(AX57&lt;Bewertung_Stammdaten!B$69,Bewertung_Stammdaten!A$69,IF(AX57&lt;Bewertung_Stammdaten!B$70,Bewertung_Stammdaten!A$70,IF(AX57&lt;Bewertung_Stammdaten!B$71,Bewertung_Stammdaten!A$71,IF(AX57&lt;Bewertung_Stammdaten!B$72,Bewertung_Stammdaten!A$72,Bewertung_Stammdaten!A$73)))))))))</f>
        <v>9</v>
      </c>
      <c r="BB57" s="32">
        <f>IF(AY57&lt;Bewertung_Stammdaten!F$64,Bewertung_Stammdaten!E$64,IF(AY57&lt;Bewertung_Stammdaten!F$65,Bewertung_Stammdaten!E$65,IF(AY57&lt;Bewertung_Stammdaten!F$66,Bewertung_Stammdaten!E$66,IF(AY57&lt;Bewertung_Stammdaten!F$67,Bewertung_Stammdaten!E$67,IF(AY57&lt;Bewertung_Stammdaten!F$68,Bewertung_Stammdaten!E$68,IF(AY57&lt;Bewertung_Stammdaten!F$69,Bewertung_Stammdaten!E$69,IF(AY57&lt;Bewertung_Stammdaten!F$70,Bewertung_Stammdaten!E$70,IF(AY57&lt;Bewertung_Stammdaten!F$71,Bewertung_Stammdaten!E$71,IF(AY57&lt;Bewertung_Stammdaten!F$72,Bewertung_Stammdaten!E$72,Bewertung_Stammdaten!E$73)))))))))</f>
        <v>7</v>
      </c>
      <c r="BC57" s="32">
        <f ca="1">IF(AZ57&lt;Bewertung_Stammdaten!J$64,Bewertung_Stammdaten!I$64,IF(AZ57&lt;Bewertung_Stammdaten!J$65,Bewertung_Stammdaten!I$65,IF(AZ57&lt;Bewertung_Stammdaten!J$66,Bewertung_Stammdaten!I$66,IF(AZ57&lt;Bewertung_Stammdaten!J$67,Bewertung_Stammdaten!I$67,IF(AZ57&lt;Bewertung_Stammdaten!J$68,Bewertung_Stammdaten!I$68,IF(AZ57&lt;Bewertung_Stammdaten!J$69,Bewertung_Stammdaten!I$69,IF(AZ57&lt;Bewertung_Stammdaten!J$70,Bewertung_Stammdaten!I$70,IF(AZ57&lt;Bewertung_Stammdaten!J$71,Bewertung_Stammdaten!I$71,IF(AZ57&lt;Bewertung_Stammdaten!J$72,Bewertung_Stammdaten!I$72,Bewertung_Stammdaten!I$73)))))))))</f>
        <v>0.5</v>
      </c>
      <c r="BD57" s="43"/>
      <c r="BE57" s="12">
        <f>VLOOKUP(A57,Aktien_im_Umlauf_splitbereinigt!A$3:Z$103,26,FALSE)</f>
        <v>-2.3743513953764284E-2</v>
      </c>
      <c r="BF57" s="12">
        <f>VLOOKUP(A57,Aktien_im_Umlauf_splitbereinigt!A$3:Y$103,24,FALSE)</f>
        <v>-1.6903496577716935E-3</v>
      </c>
      <c r="BG57" s="12">
        <f>VLOOKUP(A57,Aktien_im_Umlauf_splitbereinigt!A$3:Y$103,25,FALSE)</f>
        <v>13.046510344530855</v>
      </c>
      <c r="BH57" s="41">
        <f>IF(BE57&lt;Bewertung_Stammdaten!B$77,Bewertung_Stammdaten!A$77,IF(BE57&lt;Bewertung_Stammdaten!B$78,Bewertung_Stammdaten!A$78,IF(BE57&lt;Bewertung_Stammdaten!B$79,Bewertung_Stammdaten!A$79,IF(BE57&lt;Bewertung_Stammdaten!B$80,Bewertung_Stammdaten!A$80,IF(BE57&lt;Bewertung_Stammdaten!B$81,Bewertung_Stammdaten!A$81,IF(BE57&lt;Bewertung_Stammdaten!B$82,Bewertung_Stammdaten!A$82,IF(BE57&lt;Bewertung_Stammdaten!B$83,Bewertung_Stammdaten!A$83,IF(BE57&lt;Bewertung_Stammdaten!B$84,Bewertung_Stammdaten!A$84,IF(BE57&lt;Bewertung_Stammdaten!B$85,Bewertung_Stammdaten!A$85,Bewertung_Stammdaten!A$86)))))))))</f>
        <v>7</v>
      </c>
      <c r="BI57" s="41">
        <f>IF(BF57&lt;Bewertung_Stammdaten!F$77,Bewertung_Stammdaten!E$77,IF(BF57&lt;Bewertung_Stammdaten!F$78,Bewertung_Stammdaten!E$78,IF(BF57&lt;Bewertung_Stammdaten!F$79,Bewertung_Stammdaten!E$79,IF(BF57&lt;Bewertung_Stammdaten!F$80,Bewertung_Stammdaten!E$80,IF(BF57&lt;Bewertung_Stammdaten!F$81,Bewertung_Stammdaten!E$81,IF(BF57&lt;Bewertung_Stammdaten!F$82,Bewertung_Stammdaten!E$82,IF(BF57&lt;Bewertung_Stammdaten!F$83,Bewertung_Stammdaten!E$83,IF(BF57&lt;Bewertung_Stammdaten!F$84,Bewertung_Stammdaten!E$84,IF(BF57&lt;Bewertung_Stammdaten!F$85,Bewertung_Stammdaten!E$85,Bewertung_Stammdaten!E$86)))))))))</f>
        <v>3</v>
      </c>
      <c r="BJ57" s="41">
        <f>IF(BG57&lt;Bewertung_Stammdaten!J$77,Bewertung_Stammdaten!I$77,IF(BG57&lt;Bewertung_Stammdaten!J$78,Bewertung_Stammdaten!I$78,IF(BG57&lt;Bewertung_Stammdaten!J$79,Bewertung_Stammdaten!I$79,IF(BG57&lt;Bewertung_Stammdaten!J$80,Bewertung_Stammdaten!I$80,IF(BG57&lt;Bewertung_Stammdaten!J$81,Bewertung_Stammdaten!I$81,IF(BG57&lt;Bewertung_Stammdaten!J$82,Bewertung_Stammdaten!I$82,IF(BG57&lt;Bewertung_Stammdaten!J$83,Bewertung_Stammdaten!I$83,IF(BG57&lt;Bewertung_Stammdaten!J$84,Bewertung_Stammdaten!I$84,IF(BG57&lt;Bewertung_Stammdaten!J$85,Bewertung_Stammdaten!I$85,Bewertung_Stammdaten!I$86)))))))))</f>
        <v>5</v>
      </c>
      <c r="BK57" s="43"/>
      <c r="BL57" s="12">
        <f ca="1">VLOOKUP(A57,Ausschüttungsquote!A$3:X$103,23,FALSE)</f>
        <v>0.47584833710263263</v>
      </c>
      <c r="BM57" s="12">
        <f>VLOOKUP(A57,Ausschüttungsquote!A$3:X$103,19,FALSE)</f>
        <v>0.5391301518781334</v>
      </c>
      <c r="BN57" s="12">
        <f ca="1">VLOOKUP(A57,Ausschüttungsquote!A$3:X$103,24,FALSE)</f>
        <v>-0.11737762125722317</v>
      </c>
      <c r="BO57" s="32">
        <f ca="1">IF(BL57&lt;Bewertung_Stammdaten!B$90,Bewertung_Stammdaten!A$90,IF(BL57&lt;Bewertung_Stammdaten!B$91,Bewertung_Stammdaten!A$91,IF(BL57&lt;Bewertung_Stammdaten!B$92,Bewertung_Stammdaten!A$92,IF(BL57&lt;Bewertung_Stammdaten!B$93,Bewertung_Stammdaten!A$93,IF(BL57&lt;Bewertung_Stammdaten!B$94,Bewertung_Stammdaten!A$94,IF(BL57&lt;Bewertung_Stammdaten!B$95,Bewertung_Stammdaten!A$95,IF(BL57&lt;Bewertung_Stammdaten!B$96,Bewertung_Stammdaten!A$96,IF(BL57&lt;Bewertung_Stammdaten!B$97,Bewertung_Stammdaten!A$97,IF(BL57&lt;Bewertung_Stammdaten!B$98,Bewertung_Stammdaten!A$98,Bewertung_Stammdaten!A$99)))))))))</f>
        <v>8</v>
      </c>
      <c r="BP57" s="41">
        <f>IF(BM57&lt;Bewertung_Stammdaten!F$90,Bewertung_Stammdaten!E$90,IF(BM57&lt;Bewertung_Stammdaten!F$91,Bewertung_Stammdaten!E$91,IF(BM57&lt;Bewertung_Stammdaten!F$92,Bewertung_Stammdaten!E$92,IF(BM57&lt;Bewertung_Stammdaten!F$93,Bewertung_Stammdaten!E$93,IF(BM57&lt;Bewertung_Stammdaten!F$94,Bewertung_Stammdaten!E$94,IF(BM57&lt;Bewertung_Stammdaten!F$95,Bewertung_Stammdaten!E$95,IF(BM57&lt;Bewertung_Stammdaten!F$96,Bewertung_Stammdaten!E$96,IF(BM57&lt;Bewertung_Stammdaten!F$97,Bewertung_Stammdaten!E$97,IF(BM57&lt;Bewertung_Stammdaten!F$98,Bewertung_Stammdaten!E$98,Bewertung_Stammdaten!E$99)))))))))</f>
        <v>7</v>
      </c>
      <c r="BQ57" s="32">
        <f ca="1">IF(BN57&lt;Bewertung_Stammdaten!J$90,Bewertung_Stammdaten!I$90,IF(BN57&lt;Bewertung_Stammdaten!J$91,Bewertung_Stammdaten!I$91,IF(BN57&lt;Bewertung_Stammdaten!J$92,Bewertung_Stammdaten!I$92,IF(BN57&lt;Bewertung_Stammdaten!J$93,Bewertung_Stammdaten!I$93,IF(BN57&lt;Bewertung_Stammdaten!J$94,Bewertung_Stammdaten!I$94,IF(BN57&lt;Bewertung_Stammdaten!J$95,Bewertung_Stammdaten!I$95,IF(BN57&lt;Bewertung_Stammdaten!J$96,Bewertung_Stammdaten!I$96,IF(BN57&lt;Bewertung_Stammdaten!J$97,Bewertung_Stammdaten!I$97,IF(BN57&lt;Bewertung_Stammdaten!J$98,Bewertung_Stammdaten!I$98,Bewertung_Stammdaten!I$99)))))))))</f>
        <v>8</v>
      </c>
    </row>
    <row r="58" spans="1:69" x14ac:dyDescent="0.25">
      <c r="A58" s="38" t="s">
        <v>97</v>
      </c>
      <c r="B58" s="38" t="s">
        <v>98</v>
      </c>
      <c r="C58" s="38" t="s">
        <v>295</v>
      </c>
      <c r="D58" s="32">
        <f t="shared" ca="1" si="11"/>
        <v>164.5</v>
      </c>
      <c r="E58" s="43"/>
      <c r="F58" s="66">
        <v>1</v>
      </c>
      <c r="G58" s="11">
        <f ca="1">VLOOKUP(A58,KGV!A$3:R$103,17,FALSE)</f>
        <v>18.805414551607445</v>
      </c>
      <c r="H58" s="11">
        <f>VLOOKUP(A58,KGV!A$3:R$103,16,FALSE)</f>
        <v>16.631578947368421</v>
      </c>
      <c r="I58" s="12">
        <f ca="1">VLOOKUP(A58,KGV!A$3:R$103,18,FALSE)</f>
        <v>0.13070530531816904</v>
      </c>
      <c r="J58" s="16">
        <f t="shared" ca="1" si="12"/>
        <v>21.606220974187277</v>
      </c>
      <c r="K58" s="12">
        <f t="shared" ca="1" si="13"/>
        <v>0.29910822313151342</v>
      </c>
      <c r="L58" s="11">
        <f ca="1">VLOOKUP(A58,KBV!A$3:R$103,17,FALSE)</f>
        <v>5.501980198019802</v>
      </c>
      <c r="M58" s="11">
        <f>VLOOKUP(A58,KBV!A$3:R$103,16,FALSE)</f>
        <v>3.6815561959654182</v>
      </c>
      <c r="N58" s="12">
        <f ca="1">VLOOKUP(A58,KBV!A$3:R$103,18,FALSE)</f>
        <v>0.49447133363042761</v>
      </c>
      <c r="O58" s="16">
        <f t="shared" ca="1" si="9"/>
        <v>7.232162650227286</v>
      </c>
      <c r="P58" s="12">
        <f t="shared" ca="1" si="10"/>
        <v>0.96443087250792026</v>
      </c>
      <c r="Q58" s="32">
        <f ca="1">IF(F58=1,IF(I58&lt;Bewertung_Stammdaten!B$12,Bewertung_Stammdaten!A$12,IF(I58&lt;Bewertung_Stammdaten!B$13,Bewertung_Stammdaten!A$13,IF(I58&lt;Bewertung_Stammdaten!B$14,Bewertung_Stammdaten!A$14,IF(I58&lt;Bewertung_Stammdaten!B$15,Bewertung_Stammdaten!A$15,IF(I58&lt;Bewertung_Stammdaten!B$16,Bewertung_Stammdaten!A$16,IF(I58&lt;Bewertung_Stammdaten!B$17,Bewertung_Stammdaten!A$17,IF(I58&lt;Bewertung_Stammdaten!B$18,Bewertung_Stammdaten!A$18,IF(I58&lt;Bewertung_Stammdaten!B$19,Bewertung_Stammdaten!A$19,IF(I58&lt;Bewertung_Stammdaten!B$20,Bewertung_Stammdaten!A$20,Bewertung_Stammdaten!A$21))))))))),IF(N58&lt;Bewertung_Stammdaten!C$12,Bewertung_Stammdaten!A$12,IF(N58&lt;Bewertung_Stammdaten!C$13,Bewertung_Stammdaten!A$13,IF(N58&lt;Bewertung_Stammdaten!C$14,Bewertung_Stammdaten!A$14,IF(N58&lt;Bewertung_Stammdaten!C$15,Bewertung_Stammdaten!A$15,IF(N58&lt;Bewertung_Stammdaten!C$16,Bewertung_Stammdaten!A$16,IF(N58&lt;Bewertung_Stammdaten!C$17,Bewertung_Stammdaten!A$17,IF(N58&lt;Bewertung_Stammdaten!C$18,Bewertung_Stammdaten!A$18,IF(N58&lt;Bewertung_Stammdaten!C$19,Bewertung_Stammdaten!A$19,IF(N58&lt;Bewertung_Stammdaten!C$20,Bewertung_Stammdaten!A$20,Bewertung_Stammdaten!A$21))))))))))</f>
        <v>24</v>
      </c>
      <c r="R58" s="32">
        <f ca="1">IF(F58=1,IF(K58&lt;Bewertung_Stammdaten!F$12,Bewertung_Stammdaten!E$12,IF(K58&lt;Bewertung_Stammdaten!F$13,Bewertung_Stammdaten!E$13,IF(K58&lt;Bewertung_Stammdaten!F$14,Bewertung_Stammdaten!E$14,IF(K58&lt;Bewertung_Stammdaten!F$15,Bewertung_Stammdaten!E$15,IF(K58&lt;Bewertung_Stammdaten!F$16,Bewertung_Stammdaten!E$16,IF(K58&lt;Bewertung_Stammdaten!F$17,Bewertung_Stammdaten!E$17,IF(K58&lt;Bewertung_Stammdaten!F$18,Bewertung_Stammdaten!E$18,IF(K58&lt;Bewertung_Stammdaten!F$19,Bewertung_Stammdaten!E$19,IF(K58&lt;Bewertung_Stammdaten!F$20,Bewertung_Stammdaten!E$20,Bewertung_Stammdaten!E$21))))))))),IF(P58&lt;Bewertung_Stammdaten!G$12,Bewertung_Stammdaten!E$12,IF(P58&lt;Bewertung_Stammdaten!G$13,Bewertung_Stammdaten!E$13,IF(P58&lt;Bewertung_Stammdaten!G$14,Bewertung_Stammdaten!E$14,IF(P58&lt;Bewertung_Stammdaten!G$15,Bewertung_Stammdaten!E$15,IF(P58&lt;Bewertung_Stammdaten!G$16,Bewertung_Stammdaten!E$16,IF(P58&lt;Bewertung_Stammdaten!G$17,Bewertung_Stammdaten!E$17,IF(P58&lt;Bewertung_Stammdaten!G$18,Bewertung_Stammdaten!E$18,IF(P58&lt;Bewertung_Stammdaten!G$19,Bewertung_Stammdaten!E$19,IF(P58&lt;Bewertung_Stammdaten!G$20,Bewertung_Stammdaten!E$20,Bewertung_Stammdaten!E$21))))))))))</f>
        <v>10</v>
      </c>
      <c r="S58" s="43"/>
      <c r="T58" s="11">
        <f ca="1">VLOOKUP(A58,Buchwert_je_Aktie!A$3:AK$103,23,FALSE)</f>
        <v>10.1</v>
      </c>
      <c r="U58" s="11">
        <f>VLOOKUP(A58,Buchwert_je_Aktie!A$3:AK$103,19,FALSE)</f>
        <v>9.3669230769230758</v>
      </c>
      <c r="V58" s="12">
        <f ca="1">VLOOKUP(A58,Buchwert_je_Aktie!A$3:AK$103,24,FALSE)</f>
        <v>7.8262297774492895E-2</v>
      </c>
      <c r="W58" s="12">
        <f>VLOOKUP(A58,Buchwert_je_Aktie!A$3:AK$103,37,FALSE)</f>
        <v>-0.23923444976076547</v>
      </c>
      <c r="X58" s="16">
        <f t="shared" ca="1" si="14"/>
        <v>7.6837320574162682</v>
      </c>
      <c r="Y58" s="12">
        <f t="shared" ca="1" si="15"/>
        <v>-0.17969518973136656</v>
      </c>
      <c r="Z58" s="51">
        <f ca="1">IF(V58&lt;Bewertung_Stammdaten!B$25,Bewertung_Stammdaten!A$25,IF(V58&lt;Bewertung_Stammdaten!B$26,Bewertung_Stammdaten!A$26,IF(V58&lt;Bewertung_Stammdaten!B$27,Bewertung_Stammdaten!A$27,IF(V58&lt;Bewertung_Stammdaten!B$28,Bewertung_Stammdaten!A$28,IF(V58&lt;Bewertung_Stammdaten!B$29,Bewertung_Stammdaten!A$29,IF(V58&lt;Bewertung_Stammdaten!B$30,Bewertung_Stammdaten!A$30,IF(V58&lt;Bewertung_Stammdaten!B$31,Bewertung_Stammdaten!A$31,IF(V58&lt;Bewertung_Stammdaten!B$32,Bewertung_Stammdaten!A$32,IF(V58&lt;Bewertung_Stammdaten!B$33,Bewertung_Stammdaten!A$33,Bewertung_Stammdaten!A$34)))))))))</f>
        <v>4.5</v>
      </c>
      <c r="AA58" s="51">
        <f>IF(W58&lt;Bewertung_Stammdaten!F$25,Bewertung_Stammdaten!E$25,IF(W58&lt;Bewertung_Stammdaten!F$26,Bewertung_Stammdaten!E$26,IF(W58&lt;Bewertung_Stammdaten!F$27,Bewertung_Stammdaten!E$27,IF(W58&lt;Bewertung_Stammdaten!F$28,Bewertung_Stammdaten!E$28,IF(W58&lt;Bewertung_Stammdaten!F$29,Bewertung_Stammdaten!E$29,IF(W58&lt;Bewertung_Stammdaten!F$30,Bewertung_Stammdaten!E$30,IF(W58&lt;Bewertung_Stammdaten!F$31,Bewertung_Stammdaten!E$31,IF(W58&lt;Bewertung_Stammdaten!F$32,Bewertung_Stammdaten!E$32,IF(W58&lt;Bewertung_Stammdaten!F$33,Bewertung_Stammdaten!E$33,Bewertung_Stammdaten!E$34)))))))))</f>
        <v>4.5</v>
      </c>
      <c r="AB58" s="51">
        <f ca="1">IF(Y58&lt;Bewertung_Stammdaten!J$25,Bewertung_Stammdaten!I$25,IF(Y58&lt;Bewertung_Stammdaten!J$26,Bewertung_Stammdaten!I$26,IF(Y58&lt;Bewertung_Stammdaten!J$27,Bewertung_Stammdaten!I$27,IF(Y58&lt;Bewertung_Stammdaten!J$28,Bewertung_Stammdaten!I$28,IF(Y58&lt;Bewertung_Stammdaten!J$29,Bewertung_Stammdaten!I$29,IF(Y58&lt;Bewertung_Stammdaten!J$30,Bewertung_Stammdaten!I$30,IF(Y58&lt;Bewertung_Stammdaten!J$31,Bewertung_Stammdaten!I$31,IF(Y58&lt;Bewertung_Stammdaten!J$32,Bewertung_Stammdaten!I$32,IF(Y58&lt;Bewertung_Stammdaten!J$33,Bewertung_Stammdaten!I$33,Bewertung_Stammdaten!I$34)))))))))</f>
        <v>1</v>
      </c>
      <c r="AC58" s="43"/>
      <c r="AD58" s="14">
        <f ca="1">VLOOKUP(A58,Ergebnis_je_Aktie_verwässert!A$3:AK$103,23,FALSE)</f>
        <v>2.9550000000000001</v>
      </c>
      <c r="AE58" s="14">
        <f>VLOOKUP(A58,Ergebnis_je_Aktie_verwässert!A$3:AK$103,19,FALSE)</f>
        <v>2.3084615384615383</v>
      </c>
      <c r="AF58" s="12">
        <f ca="1">VLOOKUP(A58,Ergebnis_je_Aktie_verwässert!A$3:AK$103,24,FALSE)</f>
        <v>0.28007330889703441</v>
      </c>
      <c r="AG58" s="40">
        <f>VLOOKUP(A58,Ergebnis_je_Aktie_verwässert!A$3:AK$103,37,FALSE)</f>
        <v>-0.12962962962962965</v>
      </c>
      <c r="AH58" s="16">
        <f t="shared" ca="1" si="16"/>
        <v>2.5719444444444446</v>
      </c>
      <c r="AI58" s="12">
        <f t="shared" ca="1" si="17"/>
        <v>0.11413787996593738</v>
      </c>
      <c r="AJ58" s="32">
        <f ca="1">IF(AF58&lt;Bewertung_Stammdaten!B$38,Bewertung_Stammdaten!A$38,IF(AF58&lt;Bewertung_Stammdaten!B$39,Bewertung_Stammdaten!A$39,IF(AF58&lt;Bewertung_Stammdaten!B$40,Bewertung_Stammdaten!A$40,IF(AF58&lt;Bewertung_Stammdaten!B$41,Bewertung_Stammdaten!A$41,IF(AF58&lt;Bewertung_Stammdaten!B$42,Bewertung_Stammdaten!A$42,IF(AF58&lt;Bewertung_Stammdaten!B$43,Bewertung_Stammdaten!A$43,IF(AF58&lt;Bewertung_Stammdaten!B$44,Bewertung_Stammdaten!A$44,IF(AF58&lt;Bewertung_Stammdaten!B$45,Bewertung_Stammdaten!A$45,IF(AF58&lt;Bewertung_Stammdaten!B$46,Bewertung_Stammdaten!A$46,Bewertung_Stammdaten!A$47)))))))))</f>
        <v>12</v>
      </c>
      <c r="AK58" s="32">
        <f>IF(AG58&lt;Bewertung_Stammdaten!F$38,Bewertung_Stammdaten!E$38,IF(AG58&lt;Bewertung_Stammdaten!F$39,Bewertung_Stammdaten!E$39,IF(AG58&lt;Bewertung_Stammdaten!F$40,Bewertung_Stammdaten!E$40,IF(AG58&lt;Bewertung_Stammdaten!F$41,Bewertung_Stammdaten!E$41,IF(AG58&lt;Bewertung_Stammdaten!F$42,Bewertung_Stammdaten!E$42,IF(AG58&lt;Bewertung_Stammdaten!F$43,Bewertung_Stammdaten!E$43,IF(AG58&lt;Bewertung_Stammdaten!F$44,Bewertung_Stammdaten!E$44,IF(AG58&lt;Bewertung_Stammdaten!F$45,Bewertung_Stammdaten!E$45,IF(AG58&lt;Bewertung_Stammdaten!F$46,Bewertung_Stammdaten!E$46,Bewertung_Stammdaten!E$47)))))))))</f>
        <v>9</v>
      </c>
      <c r="AL58" s="32">
        <f ca="1">IF(AI58&lt;Bewertung_Stammdaten!J$38,Bewertung_Stammdaten!I$38,IF(AI58&lt;Bewertung_Stammdaten!J$39,Bewertung_Stammdaten!I$39,IF(AI58&lt;Bewertung_Stammdaten!J$40,Bewertung_Stammdaten!I$40,IF(AI58&lt;Bewertung_Stammdaten!J$41,Bewertung_Stammdaten!I$41,IF(AI58&lt;Bewertung_Stammdaten!J$42,Bewertung_Stammdaten!I$42,IF(AI58&lt;Bewertung_Stammdaten!J$43,Bewertung_Stammdaten!I$43,IF(AI58&lt;Bewertung_Stammdaten!J$44,Bewertung_Stammdaten!I$44,IF(AI58&lt;Bewertung_Stammdaten!J$45,Bewertung_Stammdaten!I$45,IF(AI58&lt;Bewertung_Stammdaten!J$46,Bewertung_Stammdaten!I$46,Bewertung_Stammdaten!I$47)))))))))</f>
        <v>5</v>
      </c>
      <c r="AM58" s="43"/>
      <c r="AN58" s="14">
        <f ca="1">VLOOKUP(A58,Dividende_je_Aktie!A$3:AM$103,24,FALSE)</f>
        <v>1.7506666666666666</v>
      </c>
      <c r="AO58" s="14">
        <f>VLOOKUP(A58,Dividende_je_Aktie!A$3:AM$103,20,FALSE)</f>
        <v>1.1185714285714285</v>
      </c>
      <c r="AP58" s="12">
        <f ca="1">VLOOKUP(A58,Dividende_je_Aktie!A$3:AM$103,25,FALSE)</f>
        <v>0.56509152830991916</v>
      </c>
      <c r="AQ58" s="40">
        <f>VLOOKUP(A58,Dividende_je_Aktie!A$3:AM$103,39,FALSE)</f>
        <v>5.8064516129032073E-2</v>
      </c>
      <c r="AR58" s="16">
        <f t="shared" ca="1" si="18"/>
        <v>1.7506666666666666</v>
      </c>
      <c r="AS58" s="12">
        <f t="shared" ca="1" si="19"/>
        <v>0.56509152830991916</v>
      </c>
      <c r="AT58" s="32">
        <f ca="1">IF(AP58&lt;Bewertung_Stammdaten!B$51,Bewertung_Stammdaten!A$51,IF(AP58&lt;Bewertung_Stammdaten!B$52,Bewertung_Stammdaten!A$52,IF(AP58&lt;Bewertung_Stammdaten!B$53,Bewertung_Stammdaten!A$53,IF(AP58&lt;Bewertung_Stammdaten!B$54,Bewertung_Stammdaten!A$54,IF(AP58&lt;Bewertung_Stammdaten!B$55,Bewertung_Stammdaten!A$55,IF(AP58&lt;Bewertung_Stammdaten!B$56,Bewertung_Stammdaten!A$56,IF(AP58&lt;Bewertung_Stammdaten!B$57,Bewertung_Stammdaten!A$57,IF(AP58&lt;Bewertung_Stammdaten!B$58,Bewertung_Stammdaten!A$58,IF(AP58&lt;Bewertung_Stammdaten!B$59,Bewertung_Stammdaten!A$59,Bewertung_Stammdaten!A$60)))))))))</f>
        <v>16</v>
      </c>
      <c r="AU58" s="32">
        <f>IF(AQ58&lt;Bewertung_Stammdaten!F$51,Bewertung_Stammdaten!E$51,IF(AQ58&lt;Bewertung_Stammdaten!F$52,Bewertung_Stammdaten!E$52,IF(AQ58&lt;Bewertung_Stammdaten!F$53,Bewertung_Stammdaten!E$53,IF(AQ58&lt;Bewertung_Stammdaten!F$54,Bewertung_Stammdaten!E$54,IF(AQ58&lt;Bewertung_Stammdaten!F$55,Bewertung_Stammdaten!E$55,IF(AQ58&lt;Bewertung_Stammdaten!F$56,Bewertung_Stammdaten!E$56,IF(AQ58&lt;Bewertung_Stammdaten!F$57,Bewertung_Stammdaten!E$57,IF(AQ58&lt;Bewertung_Stammdaten!F$58,Bewertung_Stammdaten!E$58,IF(AQ58&lt;Bewertung_Stammdaten!F$59,Bewertung_Stammdaten!E$59,Bewertung_Stammdaten!E$60)))))))))</f>
        <v>12</v>
      </c>
      <c r="AV58" s="32">
        <f ca="1">IF(AS58&lt;Bewertung_Stammdaten!J$51,Bewertung_Stammdaten!I$51,IF(AS58&lt;Bewertung_Stammdaten!J$52,Bewertung_Stammdaten!I$52,IF(AS58&lt;Bewertung_Stammdaten!J$53,Bewertung_Stammdaten!I$53,IF(AS58&lt;Bewertung_Stammdaten!J$54,Bewertung_Stammdaten!I$54,IF(AS58&lt;Bewertung_Stammdaten!J$55,Bewertung_Stammdaten!I$55,IF(AS58&lt;Bewertung_Stammdaten!J$56,Bewertung_Stammdaten!I$56,IF(AS58&lt;Bewertung_Stammdaten!J$57,Bewertung_Stammdaten!I$57,IF(AS58&lt;Bewertung_Stammdaten!J$58,Bewertung_Stammdaten!I$58,IF(AS58&lt;Bewertung_Stammdaten!J$59,Bewertung_Stammdaten!I$59,Bewertung_Stammdaten!I$60)))))))))</f>
        <v>10</v>
      </c>
      <c r="AW58" s="43"/>
      <c r="AX58" s="12">
        <f ca="1">VLOOKUP(A58,Dividendenrendite!A$3:R$103,17,FALSE)</f>
        <v>3.1503809009657491E-2</v>
      </c>
      <c r="AY58" s="12">
        <f>VLOOKUP(A58,Dividendenrendite!A$3:R$103,16,FALSE)</f>
        <v>2.7791293222684737E-2</v>
      </c>
      <c r="AZ58" s="12">
        <f ca="1">VLOOKUP(A58,Dividendenrendite!A$3:R$103,18,FALSE)</f>
        <v>0.13358557146748384</v>
      </c>
      <c r="BA58" s="32">
        <f ca="1">IF(AX58&lt;Bewertung_Stammdaten!B$64,Bewertung_Stammdaten!A$64,IF(AX58&lt;Bewertung_Stammdaten!B$65,Bewertung_Stammdaten!A$65,IF(AX58&lt;Bewertung_Stammdaten!B$66,Bewertung_Stammdaten!A$66,IF(AX58&lt;Bewertung_Stammdaten!B$67,Bewertung_Stammdaten!A$67,IF(AX58&lt;Bewertung_Stammdaten!B$68,Bewertung_Stammdaten!A$68,IF(AX58&lt;Bewertung_Stammdaten!B$69,Bewertung_Stammdaten!A$69,IF(AX58&lt;Bewertung_Stammdaten!B$70,Bewertung_Stammdaten!A$70,IF(AX58&lt;Bewertung_Stammdaten!B$71,Bewertung_Stammdaten!A$71,IF(AX58&lt;Bewertung_Stammdaten!B$72,Bewertung_Stammdaten!A$72,Bewertung_Stammdaten!A$73)))))))))</f>
        <v>10.5</v>
      </c>
      <c r="BB58" s="32">
        <f>IF(AY58&lt;Bewertung_Stammdaten!F$64,Bewertung_Stammdaten!E$64,IF(AY58&lt;Bewertung_Stammdaten!F$65,Bewertung_Stammdaten!E$65,IF(AY58&lt;Bewertung_Stammdaten!F$66,Bewertung_Stammdaten!E$66,IF(AY58&lt;Bewertung_Stammdaten!F$67,Bewertung_Stammdaten!E$67,IF(AY58&lt;Bewertung_Stammdaten!F$68,Bewertung_Stammdaten!E$68,IF(AY58&lt;Bewertung_Stammdaten!F$69,Bewertung_Stammdaten!E$69,IF(AY58&lt;Bewertung_Stammdaten!F$70,Bewertung_Stammdaten!E$70,IF(AY58&lt;Bewertung_Stammdaten!F$71,Bewertung_Stammdaten!E$71,IF(AY58&lt;Bewertung_Stammdaten!F$72,Bewertung_Stammdaten!E$72,Bewertung_Stammdaten!E$73)))))))))</f>
        <v>6</v>
      </c>
      <c r="BC58" s="32">
        <f ca="1">IF(AZ58&lt;Bewertung_Stammdaten!J$64,Bewertung_Stammdaten!I$64,IF(AZ58&lt;Bewertung_Stammdaten!J$65,Bewertung_Stammdaten!I$65,IF(AZ58&lt;Bewertung_Stammdaten!J$66,Bewertung_Stammdaten!I$66,IF(AZ58&lt;Bewertung_Stammdaten!J$67,Bewertung_Stammdaten!I$67,IF(AZ58&lt;Bewertung_Stammdaten!J$68,Bewertung_Stammdaten!I$68,IF(AZ58&lt;Bewertung_Stammdaten!J$69,Bewertung_Stammdaten!I$69,IF(AZ58&lt;Bewertung_Stammdaten!J$70,Bewertung_Stammdaten!I$70,IF(AZ58&lt;Bewertung_Stammdaten!J$71,Bewertung_Stammdaten!I$71,IF(AZ58&lt;Bewertung_Stammdaten!J$72,Bewertung_Stammdaten!I$72,Bewertung_Stammdaten!I$73)))))))))</f>
        <v>4</v>
      </c>
      <c r="BD58" s="43"/>
      <c r="BE58" s="12">
        <f>VLOOKUP(A58,Aktien_im_Umlauf_splitbereinigt!A$3:Z$103,26,FALSE)</f>
        <v>-4.4163545568039919E-2</v>
      </c>
      <c r="BF58" s="12">
        <f>VLOOKUP(A58,Aktien_im_Umlauf_splitbereinigt!A$3:Y$103,24,FALSE)</f>
        <v>-1.8989436458442619E-2</v>
      </c>
      <c r="BG58" s="12">
        <f>VLOOKUP(A58,Aktien_im_Umlauf_splitbereinigt!A$3:Y$103,25,FALSE)</f>
        <v>1.3256901627749467</v>
      </c>
      <c r="BH58" s="41">
        <f>IF(BE58&lt;Bewertung_Stammdaten!B$77,Bewertung_Stammdaten!A$77,IF(BE58&lt;Bewertung_Stammdaten!B$78,Bewertung_Stammdaten!A$78,IF(BE58&lt;Bewertung_Stammdaten!B$79,Bewertung_Stammdaten!A$79,IF(BE58&lt;Bewertung_Stammdaten!B$80,Bewertung_Stammdaten!A$80,IF(BE58&lt;Bewertung_Stammdaten!B$81,Bewertung_Stammdaten!A$81,IF(BE58&lt;Bewertung_Stammdaten!B$82,Bewertung_Stammdaten!A$82,IF(BE58&lt;Bewertung_Stammdaten!B$83,Bewertung_Stammdaten!A$83,IF(BE58&lt;Bewertung_Stammdaten!B$84,Bewertung_Stammdaten!A$84,IF(BE58&lt;Bewertung_Stammdaten!B$85,Bewertung_Stammdaten!A$85,Bewertung_Stammdaten!A$86)))))))))</f>
        <v>10</v>
      </c>
      <c r="BI58" s="41">
        <f>IF(BF58&lt;Bewertung_Stammdaten!F$77,Bewertung_Stammdaten!E$77,IF(BF58&lt;Bewertung_Stammdaten!F$78,Bewertung_Stammdaten!E$78,IF(BF58&lt;Bewertung_Stammdaten!F$79,Bewertung_Stammdaten!E$79,IF(BF58&lt;Bewertung_Stammdaten!F$80,Bewertung_Stammdaten!E$80,IF(BF58&lt;Bewertung_Stammdaten!F$81,Bewertung_Stammdaten!E$81,IF(BF58&lt;Bewertung_Stammdaten!F$82,Bewertung_Stammdaten!E$82,IF(BF58&lt;Bewertung_Stammdaten!F$83,Bewertung_Stammdaten!E$83,IF(BF58&lt;Bewertung_Stammdaten!F$84,Bewertung_Stammdaten!E$84,IF(BF58&lt;Bewertung_Stammdaten!F$85,Bewertung_Stammdaten!E$85,Bewertung_Stammdaten!E$86)))))))))</f>
        <v>6</v>
      </c>
      <c r="BJ58" s="41">
        <f>IF(BG58&lt;Bewertung_Stammdaten!J$77,Bewertung_Stammdaten!I$77,IF(BG58&lt;Bewertung_Stammdaten!J$78,Bewertung_Stammdaten!I$78,IF(BG58&lt;Bewertung_Stammdaten!J$79,Bewertung_Stammdaten!I$79,IF(BG58&lt;Bewertung_Stammdaten!J$80,Bewertung_Stammdaten!I$80,IF(BG58&lt;Bewertung_Stammdaten!J$81,Bewertung_Stammdaten!I$81,IF(BG58&lt;Bewertung_Stammdaten!J$82,Bewertung_Stammdaten!I$82,IF(BG58&lt;Bewertung_Stammdaten!J$83,Bewertung_Stammdaten!I$83,IF(BG58&lt;Bewertung_Stammdaten!J$84,Bewertung_Stammdaten!I$84,IF(BG58&lt;Bewertung_Stammdaten!J$85,Bewertung_Stammdaten!I$85,Bewertung_Stammdaten!I$86)))))))))</f>
        <v>5</v>
      </c>
      <c r="BK58" s="43"/>
      <c r="BL58" s="12">
        <f ca="1">VLOOKUP(A58,Ausschüttungsquote!A$3:X$103,23,FALSE)</f>
        <v>0.59306524811488859</v>
      </c>
      <c r="BM58" s="12">
        <f>VLOOKUP(A58,Ausschüttungsquote!A$3:X$103,19,FALSE)</f>
        <v>0.49188902733915069</v>
      </c>
      <c r="BN58" s="12">
        <f ca="1">VLOOKUP(A58,Ausschüttungsquote!A$3:X$103,24,FALSE)</f>
        <v>0.20568911919634725</v>
      </c>
      <c r="BO58" s="32">
        <f ca="1">IF(BL58&lt;Bewertung_Stammdaten!B$90,Bewertung_Stammdaten!A$90,IF(BL58&lt;Bewertung_Stammdaten!B$91,Bewertung_Stammdaten!A$91,IF(BL58&lt;Bewertung_Stammdaten!B$92,Bewertung_Stammdaten!A$92,IF(BL58&lt;Bewertung_Stammdaten!B$93,Bewertung_Stammdaten!A$93,IF(BL58&lt;Bewertung_Stammdaten!B$94,Bewertung_Stammdaten!A$94,IF(BL58&lt;Bewertung_Stammdaten!B$95,Bewertung_Stammdaten!A$95,IF(BL58&lt;Bewertung_Stammdaten!B$96,Bewertung_Stammdaten!A$96,IF(BL58&lt;Bewertung_Stammdaten!B$97,Bewertung_Stammdaten!A$97,IF(BL58&lt;Bewertung_Stammdaten!B$98,Bewertung_Stammdaten!A$98,Bewertung_Stammdaten!A$99)))))))))</f>
        <v>6</v>
      </c>
      <c r="BP58" s="41">
        <f>IF(BM58&lt;Bewertung_Stammdaten!F$90,Bewertung_Stammdaten!E$90,IF(BM58&lt;Bewertung_Stammdaten!F$91,Bewertung_Stammdaten!E$91,IF(BM58&lt;Bewertung_Stammdaten!F$92,Bewertung_Stammdaten!E$92,IF(BM58&lt;Bewertung_Stammdaten!F$93,Bewertung_Stammdaten!E$93,IF(BM58&lt;Bewertung_Stammdaten!F$94,Bewertung_Stammdaten!E$94,IF(BM58&lt;Bewertung_Stammdaten!F$95,Bewertung_Stammdaten!E$95,IF(BM58&lt;Bewertung_Stammdaten!F$96,Bewertung_Stammdaten!E$96,IF(BM58&lt;Bewertung_Stammdaten!F$97,Bewertung_Stammdaten!E$97,IF(BM58&lt;Bewertung_Stammdaten!F$98,Bewertung_Stammdaten!E$98,Bewertung_Stammdaten!E$99)))))))))</f>
        <v>8</v>
      </c>
      <c r="BQ58" s="32">
        <f ca="1">IF(BN58&lt;Bewertung_Stammdaten!J$90,Bewertung_Stammdaten!I$90,IF(BN58&lt;Bewertung_Stammdaten!J$91,Bewertung_Stammdaten!I$91,IF(BN58&lt;Bewertung_Stammdaten!J$92,Bewertung_Stammdaten!I$92,IF(BN58&lt;Bewertung_Stammdaten!J$93,Bewertung_Stammdaten!I$93,IF(BN58&lt;Bewertung_Stammdaten!J$94,Bewertung_Stammdaten!I$94,IF(BN58&lt;Bewertung_Stammdaten!J$95,Bewertung_Stammdaten!I$95,IF(BN58&lt;Bewertung_Stammdaten!J$96,Bewertung_Stammdaten!I$96,IF(BN58&lt;Bewertung_Stammdaten!J$97,Bewertung_Stammdaten!I$97,IF(BN58&lt;Bewertung_Stammdaten!J$98,Bewertung_Stammdaten!I$98,Bewertung_Stammdaten!I$99)))))))))</f>
        <v>1</v>
      </c>
    </row>
    <row r="59" spans="1:69" x14ac:dyDescent="0.25">
      <c r="A59" s="38" t="s">
        <v>259</v>
      </c>
      <c r="B59" s="38" t="s">
        <v>260</v>
      </c>
      <c r="C59" s="38" t="s">
        <v>295</v>
      </c>
      <c r="D59" s="32">
        <f t="shared" ca="1" si="11"/>
        <v>151</v>
      </c>
      <c r="E59" s="43"/>
      <c r="F59" s="66">
        <v>1</v>
      </c>
      <c r="G59" s="11">
        <f ca="1">VLOOKUP(A59,KGV!A$3:R$103,17,FALSE)</f>
        <v>17.782280690816137</v>
      </c>
      <c r="H59" s="11">
        <f>VLOOKUP(A59,KGV!A$3:R$103,16,FALSE)</f>
        <v>16.054061557988263</v>
      </c>
      <c r="I59" s="12">
        <f ca="1">VLOOKUP(A59,KGV!A$3:R$103,18,FALSE)</f>
        <v>0.10764996300689633</v>
      </c>
      <c r="J59" s="16">
        <f t="shared" ca="1" si="12"/>
        <v>19.352795509663146</v>
      </c>
      <c r="K59" s="12">
        <f t="shared" ca="1" si="13"/>
        <v>0.20547659791633732</v>
      </c>
      <c r="L59" s="11">
        <f ca="1">VLOOKUP(A59,KBV!A$3:R$103,17,FALSE)</f>
        <v>6.5406886745938015</v>
      </c>
      <c r="M59" s="11">
        <f>VLOOKUP(A59,KBV!A$3:R$103,16,FALSE)</f>
        <v>7.6427077575087523</v>
      </c>
      <c r="N59" s="12">
        <f ca="1">VLOOKUP(A59,KBV!A$3:R$103,18,FALSE)</f>
        <v>-0.14419223106264234</v>
      </c>
      <c r="O59" s="16">
        <f t="shared" ca="1" si="9"/>
        <v>11.183024435717108</v>
      </c>
      <c r="P59" s="12">
        <f t="shared" ca="1" si="10"/>
        <v>0.46322805876360906</v>
      </c>
      <c r="Q59" s="32">
        <f ca="1">IF(F59=1,IF(I59&lt;Bewertung_Stammdaten!B$12,Bewertung_Stammdaten!A$12,IF(I59&lt;Bewertung_Stammdaten!B$13,Bewertung_Stammdaten!A$13,IF(I59&lt;Bewertung_Stammdaten!B$14,Bewertung_Stammdaten!A$14,IF(I59&lt;Bewertung_Stammdaten!B$15,Bewertung_Stammdaten!A$15,IF(I59&lt;Bewertung_Stammdaten!B$16,Bewertung_Stammdaten!A$16,IF(I59&lt;Bewertung_Stammdaten!B$17,Bewertung_Stammdaten!A$17,IF(I59&lt;Bewertung_Stammdaten!B$18,Bewertung_Stammdaten!A$18,IF(I59&lt;Bewertung_Stammdaten!B$19,Bewertung_Stammdaten!A$19,IF(I59&lt;Bewertung_Stammdaten!B$20,Bewertung_Stammdaten!A$20,Bewertung_Stammdaten!A$21))))))))),IF(N59&lt;Bewertung_Stammdaten!C$12,Bewertung_Stammdaten!A$12,IF(N59&lt;Bewertung_Stammdaten!C$13,Bewertung_Stammdaten!A$13,IF(N59&lt;Bewertung_Stammdaten!C$14,Bewertung_Stammdaten!A$14,IF(N59&lt;Bewertung_Stammdaten!C$15,Bewertung_Stammdaten!A$15,IF(N59&lt;Bewertung_Stammdaten!C$16,Bewertung_Stammdaten!A$16,IF(N59&lt;Bewertung_Stammdaten!C$17,Bewertung_Stammdaten!A$17,IF(N59&lt;Bewertung_Stammdaten!C$18,Bewertung_Stammdaten!A$18,IF(N59&lt;Bewertung_Stammdaten!C$19,Bewertung_Stammdaten!A$19,IF(N59&lt;Bewertung_Stammdaten!C$20,Bewertung_Stammdaten!A$20,Bewertung_Stammdaten!A$21))))))))))</f>
        <v>24</v>
      </c>
      <c r="R59" s="32">
        <f ca="1">IF(F59=1,IF(K59&lt;Bewertung_Stammdaten!F$12,Bewertung_Stammdaten!E$12,IF(K59&lt;Bewertung_Stammdaten!F$13,Bewertung_Stammdaten!E$13,IF(K59&lt;Bewertung_Stammdaten!F$14,Bewertung_Stammdaten!E$14,IF(K59&lt;Bewertung_Stammdaten!F$15,Bewertung_Stammdaten!E$15,IF(K59&lt;Bewertung_Stammdaten!F$16,Bewertung_Stammdaten!E$16,IF(K59&lt;Bewertung_Stammdaten!F$17,Bewertung_Stammdaten!E$17,IF(K59&lt;Bewertung_Stammdaten!F$18,Bewertung_Stammdaten!E$18,IF(K59&lt;Bewertung_Stammdaten!F$19,Bewertung_Stammdaten!E$19,IF(K59&lt;Bewertung_Stammdaten!F$20,Bewertung_Stammdaten!E$20,Bewertung_Stammdaten!E$21))))))))),IF(P59&lt;Bewertung_Stammdaten!G$12,Bewertung_Stammdaten!E$12,IF(P59&lt;Bewertung_Stammdaten!G$13,Bewertung_Stammdaten!E$13,IF(P59&lt;Bewertung_Stammdaten!G$14,Bewertung_Stammdaten!E$14,IF(P59&lt;Bewertung_Stammdaten!G$15,Bewertung_Stammdaten!E$15,IF(P59&lt;Bewertung_Stammdaten!G$16,Bewertung_Stammdaten!E$16,IF(P59&lt;Bewertung_Stammdaten!G$17,Bewertung_Stammdaten!E$17,IF(P59&lt;Bewertung_Stammdaten!G$18,Bewertung_Stammdaten!E$18,IF(P59&lt;Bewertung_Stammdaten!G$19,Bewertung_Stammdaten!E$19,IF(P59&lt;Bewertung_Stammdaten!G$20,Bewertung_Stammdaten!E$20,Bewertung_Stammdaten!E$21))))))))))</f>
        <v>12.5</v>
      </c>
      <c r="S59" s="43"/>
      <c r="T59" s="11">
        <f ca="1">VLOOKUP(A59,Buchwert_je_Aktie!A$3:AK$103,23,FALSE)</f>
        <v>9.6901111111111113</v>
      </c>
      <c r="U59" s="11">
        <f>VLOOKUP(A59,Buchwert_je_Aktie!A$3:AK$103,19,FALSE)</f>
        <v>7.1376923076923093</v>
      </c>
      <c r="V59" s="12">
        <f ca="1">VLOOKUP(A59,Buchwert_je_Aktie!A$3:AK$103,24,FALSE)</f>
        <v>0.35759720276370754</v>
      </c>
      <c r="W59" s="12">
        <f>VLOOKUP(A59,Buchwert_je_Aktie!A$3:AK$103,37,FALSE)</f>
        <v>-0.41512345679012352</v>
      </c>
      <c r="X59" s="16">
        <f t="shared" ca="1" si="14"/>
        <v>5.6675186899862817</v>
      </c>
      <c r="Y59" s="12">
        <f t="shared" ca="1" si="15"/>
        <v>-0.2059732409761651</v>
      </c>
      <c r="Z59" s="51">
        <f ca="1">IF(V59&lt;Bewertung_Stammdaten!B$25,Bewertung_Stammdaten!A$25,IF(V59&lt;Bewertung_Stammdaten!B$26,Bewertung_Stammdaten!A$26,IF(V59&lt;Bewertung_Stammdaten!B$27,Bewertung_Stammdaten!A$27,IF(V59&lt;Bewertung_Stammdaten!B$28,Bewertung_Stammdaten!A$28,IF(V59&lt;Bewertung_Stammdaten!B$29,Bewertung_Stammdaten!A$29,IF(V59&lt;Bewertung_Stammdaten!B$30,Bewertung_Stammdaten!A$30,IF(V59&lt;Bewertung_Stammdaten!B$31,Bewertung_Stammdaten!A$31,IF(V59&lt;Bewertung_Stammdaten!B$32,Bewertung_Stammdaten!A$32,IF(V59&lt;Bewertung_Stammdaten!B$33,Bewertung_Stammdaten!A$33,Bewertung_Stammdaten!A$34)))))))))</f>
        <v>9</v>
      </c>
      <c r="AA59" s="51">
        <f>IF(W59&lt;Bewertung_Stammdaten!F$25,Bewertung_Stammdaten!E$25,IF(W59&lt;Bewertung_Stammdaten!F$26,Bewertung_Stammdaten!E$26,IF(W59&lt;Bewertung_Stammdaten!F$27,Bewertung_Stammdaten!E$27,IF(W59&lt;Bewertung_Stammdaten!F$28,Bewertung_Stammdaten!E$28,IF(W59&lt;Bewertung_Stammdaten!F$29,Bewertung_Stammdaten!E$29,IF(W59&lt;Bewertung_Stammdaten!F$30,Bewertung_Stammdaten!E$30,IF(W59&lt;Bewertung_Stammdaten!F$31,Bewertung_Stammdaten!E$31,IF(W59&lt;Bewertung_Stammdaten!F$32,Bewertung_Stammdaten!E$32,IF(W59&lt;Bewertung_Stammdaten!F$33,Bewertung_Stammdaten!E$33,Bewertung_Stammdaten!E$34)))))))))</f>
        <v>1.5</v>
      </c>
      <c r="AB59" s="51">
        <f ca="1">IF(Y59&lt;Bewertung_Stammdaten!J$25,Bewertung_Stammdaten!I$25,IF(Y59&lt;Bewertung_Stammdaten!J$26,Bewertung_Stammdaten!I$26,IF(Y59&lt;Bewertung_Stammdaten!J$27,Bewertung_Stammdaten!I$27,IF(Y59&lt;Bewertung_Stammdaten!J$28,Bewertung_Stammdaten!I$28,IF(Y59&lt;Bewertung_Stammdaten!J$29,Bewertung_Stammdaten!I$29,IF(Y59&lt;Bewertung_Stammdaten!J$30,Bewertung_Stammdaten!I$30,IF(Y59&lt;Bewertung_Stammdaten!J$31,Bewertung_Stammdaten!I$31,IF(Y59&lt;Bewertung_Stammdaten!J$32,Bewertung_Stammdaten!I$32,IF(Y59&lt;Bewertung_Stammdaten!J$33,Bewertung_Stammdaten!I$33,Bewertung_Stammdaten!I$34)))))))))</f>
        <v>1</v>
      </c>
      <c r="AC59" s="43"/>
      <c r="AD59" s="14">
        <f ca="1">VLOOKUP(A59,Ergebnis_je_Aktie_verwässert!A$3:AK$103,23,FALSE)</f>
        <v>3.564222222222222</v>
      </c>
      <c r="AE59" s="14">
        <f>VLOOKUP(A59,Ergebnis_je_Aktie_verwässert!A$3:AK$103,19,FALSE)</f>
        <v>3.319230769230769</v>
      </c>
      <c r="AF59" s="12">
        <f ca="1">VLOOKUP(A59,Ergebnis_je_Aktie_verwässert!A$3:AK$103,24,FALSE)</f>
        <v>7.3809707737865438E-2</v>
      </c>
      <c r="AG59" s="40">
        <f>VLOOKUP(A59,Ergebnis_je_Aktie_verwässert!A$3:AK$103,37,FALSE)</f>
        <v>-8.1151832460732987E-2</v>
      </c>
      <c r="AH59" s="16">
        <f t="shared" ca="1" si="16"/>
        <v>3.2749790575916227</v>
      </c>
      <c r="AI59" s="12">
        <f t="shared" ca="1" si="17"/>
        <v>-1.3331917759186629E-2</v>
      </c>
      <c r="AJ59" s="32">
        <f ca="1">IF(AF59&lt;Bewertung_Stammdaten!B$38,Bewertung_Stammdaten!A$38,IF(AF59&lt;Bewertung_Stammdaten!B$39,Bewertung_Stammdaten!A$39,IF(AF59&lt;Bewertung_Stammdaten!B$40,Bewertung_Stammdaten!A$40,IF(AF59&lt;Bewertung_Stammdaten!B$41,Bewertung_Stammdaten!A$41,IF(AF59&lt;Bewertung_Stammdaten!B$42,Bewertung_Stammdaten!A$42,IF(AF59&lt;Bewertung_Stammdaten!B$43,Bewertung_Stammdaten!A$43,IF(AF59&lt;Bewertung_Stammdaten!B$44,Bewertung_Stammdaten!A$44,IF(AF59&lt;Bewertung_Stammdaten!B$45,Bewertung_Stammdaten!A$45,IF(AF59&lt;Bewertung_Stammdaten!B$46,Bewertung_Stammdaten!A$46,Bewertung_Stammdaten!A$47)))))))))</f>
        <v>8</v>
      </c>
      <c r="AK59" s="32">
        <f>IF(AG59&lt;Bewertung_Stammdaten!F$38,Bewertung_Stammdaten!E$38,IF(AG59&lt;Bewertung_Stammdaten!F$39,Bewertung_Stammdaten!E$39,IF(AG59&lt;Bewertung_Stammdaten!F$40,Bewertung_Stammdaten!E$40,IF(AG59&lt;Bewertung_Stammdaten!F$41,Bewertung_Stammdaten!E$41,IF(AG59&lt;Bewertung_Stammdaten!F$42,Bewertung_Stammdaten!E$42,IF(AG59&lt;Bewertung_Stammdaten!F$43,Bewertung_Stammdaten!E$43,IF(AG59&lt;Bewertung_Stammdaten!F$44,Bewertung_Stammdaten!E$44,IF(AG59&lt;Bewertung_Stammdaten!F$45,Bewertung_Stammdaten!E$45,IF(AG59&lt;Bewertung_Stammdaten!F$46,Bewertung_Stammdaten!E$46,Bewertung_Stammdaten!E$47)))))))))</f>
        <v>10.5</v>
      </c>
      <c r="AL59" s="32">
        <f ca="1">IF(AI59&lt;Bewertung_Stammdaten!J$38,Bewertung_Stammdaten!I$38,IF(AI59&lt;Bewertung_Stammdaten!J$39,Bewertung_Stammdaten!I$39,IF(AI59&lt;Bewertung_Stammdaten!J$40,Bewertung_Stammdaten!I$40,IF(AI59&lt;Bewertung_Stammdaten!J$41,Bewertung_Stammdaten!I$41,IF(AI59&lt;Bewertung_Stammdaten!J$42,Bewertung_Stammdaten!I$42,IF(AI59&lt;Bewertung_Stammdaten!J$43,Bewertung_Stammdaten!I$43,IF(AI59&lt;Bewertung_Stammdaten!J$44,Bewertung_Stammdaten!I$44,IF(AI59&lt;Bewertung_Stammdaten!J$45,Bewertung_Stammdaten!I$45,IF(AI59&lt;Bewertung_Stammdaten!J$46,Bewertung_Stammdaten!I$46,Bewertung_Stammdaten!I$47)))))))))</f>
        <v>4</v>
      </c>
      <c r="AM59" s="43"/>
      <c r="AN59" s="14">
        <f ca="1">VLOOKUP(A59,Dividende_je_Aktie!A$3:AM$103,24,FALSE)</f>
        <v>1.967111111111111</v>
      </c>
      <c r="AO59" s="14">
        <f>VLOOKUP(A59,Dividende_je_Aktie!A$3:AM$103,20,FALSE)</f>
        <v>1.5685714285714289</v>
      </c>
      <c r="AP59" s="12">
        <f ca="1">VLOOKUP(A59,Dividende_je_Aktie!A$3:AM$103,25,FALSE)</f>
        <v>0.25407812183768441</v>
      </c>
      <c r="AQ59" s="40">
        <f>VLOOKUP(A59,Dividende_je_Aktie!A$3:AM$103,39,FALSE)</f>
        <v>2.1052631578947434E-2</v>
      </c>
      <c r="AR59" s="16">
        <f t="shared" ca="1" si="18"/>
        <v>1.967111111111111</v>
      </c>
      <c r="AS59" s="12">
        <f t="shared" ca="1" si="19"/>
        <v>0.25407812183768441</v>
      </c>
      <c r="AT59" s="32">
        <f ca="1">IF(AP59&lt;Bewertung_Stammdaten!B$51,Bewertung_Stammdaten!A$51,IF(AP59&lt;Bewertung_Stammdaten!B$52,Bewertung_Stammdaten!A$52,IF(AP59&lt;Bewertung_Stammdaten!B$53,Bewertung_Stammdaten!A$53,IF(AP59&lt;Bewertung_Stammdaten!B$54,Bewertung_Stammdaten!A$54,IF(AP59&lt;Bewertung_Stammdaten!B$55,Bewertung_Stammdaten!A$55,IF(AP59&lt;Bewertung_Stammdaten!B$56,Bewertung_Stammdaten!A$56,IF(AP59&lt;Bewertung_Stammdaten!B$57,Bewertung_Stammdaten!A$57,IF(AP59&lt;Bewertung_Stammdaten!B$58,Bewertung_Stammdaten!A$58,IF(AP59&lt;Bewertung_Stammdaten!B$59,Bewertung_Stammdaten!A$59,Bewertung_Stammdaten!A$60)))))))))</f>
        <v>10</v>
      </c>
      <c r="AU59" s="32">
        <f>IF(AQ59&lt;Bewertung_Stammdaten!F$51,Bewertung_Stammdaten!E$51,IF(AQ59&lt;Bewertung_Stammdaten!F$52,Bewertung_Stammdaten!E$52,IF(AQ59&lt;Bewertung_Stammdaten!F$53,Bewertung_Stammdaten!E$53,IF(AQ59&lt;Bewertung_Stammdaten!F$54,Bewertung_Stammdaten!E$54,IF(AQ59&lt;Bewertung_Stammdaten!F$55,Bewertung_Stammdaten!E$55,IF(AQ59&lt;Bewertung_Stammdaten!F$56,Bewertung_Stammdaten!E$56,IF(AQ59&lt;Bewertung_Stammdaten!F$57,Bewertung_Stammdaten!E$57,IF(AQ59&lt;Bewertung_Stammdaten!F$58,Bewertung_Stammdaten!E$58,IF(AQ59&lt;Bewertung_Stammdaten!F$59,Bewertung_Stammdaten!E$59,Bewertung_Stammdaten!E$60)))))))))</f>
        <v>12</v>
      </c>
      <c r="AV59" s="32">
        <f ca="1">IF(AS59&lt;Bewertung_Stammdaten!J$51,Bewertung_Stammdaten!I$51,IF(AS59&lt;Bewertung_Stammdaten!J$52,Bewertung_Stammdaten!I$52,IF(AS59&lt;Bewertung_Stammdaten!J$53,Bewertung_Stammdaten!I$53,IF(AS59&lt;Bewertung_Stammdaten!J$54,Bewertung_Stammdaten!I$54,IF(AS59&lt;Bewertung_Stammdaten!J$55,Bewertung_Stammdaten!I$55,IF(AS59&lt;Bewertung_Stammdaten!J$56,Bewertung_Stammdaten!I$56,IF(AS59&lt;Bewertung_Stammdaten!J$57,Bewertung_Stammdaten!I$57,IF(AS59&lt;Bewertung_Stammdaten!J$58,Bewertung_Stammdaten!I$58,IF(AS59&lt;Bewertung_Stammdaten!J$59,Bewertung_Stammdaten!I$59,Bewertung_Stammdaten!I$60)))))))))</f>
        <v>7</v>
      </c>
      <c r="AW59" s="43"/>
      <c r="AX59" s="12">
        <f ca="1">VLOOKUP(A59,Dividendenrendite!A$3:R$103,17,FALSE)</f>
        <v>3.1036779916552713E-2</v>
      </c>
      <c r="AY59" s="12">
        <f>VLOOKUP(A59,Dividendenrendite!A$3:R$103,16,FALSE)</f>
        <v>2.8506278417248843E-2</v>
      </c>
      <c r="AZ59" s="12">
        <f ca="1">VLOOKUP(A59,Dividendenrendite!A$3:R$103,18,FALSE)</f>
        <v>8.8769970680307786E-2</v>
      </c>
      <c r="BA59" s="32">
        <f ca="1">IF(AX59&lt;Bewertung_Stammdaten!B$64,Bewertung_Stammdaten!A$64,IF(AX59&lt;Bewertung_Stammdaten!B$65,Bewertung_Stammdaten!A$65,IF(AX59&lt;Bewertung_Stammdaten!B$66,Bewertung_Stammdaten!A$66,IF(AX59&lt;Bewertung_Stammdaten!B$67,Bewertung_Stammdaten!A$67,IF(AX59&lt;Bewertung_Stammdaten!B$68,Bewertung_Stammdaten!A$68,IF(AX59&lt;Bewertung_Stammdaten!B$69,Bewertung_Stammdaten!A$69,IF(AX59&lt;Bewertung_Stammdaten!B$70,Bewertung_Stammdaten!A$70,IF(AX59&lt;Bewertung_Stammdaten!B$71,Bewertung_Stammdaten!A$71,IF(AX59&lt;Bewertung_Stammdaten!B$72,Bewertung_Stammdaten!A$72,Bewertung_Stammdaten!A$73)))))))))</f>
        <v>10.5</v>
      </c>
      <c r="BB59" s="32">
        <f>IF(AY59&lt;Bewertung_Stammdaten!F$64,Bewertung_Stammdaten!E$64,IF(AY59&lt;Bewertung_Stammdaten!F$65,Bewertung_Stammdaten!E$65,IF(AY59&lt;Bewertung_Stammdaten!F$66,Bewertung_Stammdaten!E$66,IF(AY59&lt;Bewertung_Stammdaten!F$67,Bewertung_Stammdaten!E$67,IF(AY59&lt;Bewertung_Stammdaten!F$68,Bewertung_Stammdaten!E$68,IF(AY59&lt;Bewertung_Stammdaten!F$69,Bewertung_Stammdaten!E$69,IF(AY59&lt;Bewertung_Stammdaten!F$70,Bewertung_Stammdaten!E$70,IF(AY59&lt;Bewertung_Stammdaten!F$71,Bewertung_Stammdaten!E$71,IF(AY59&lt;Bewertung_Stammdaten!F$72,Bewertung_Stammdaten!E$72,Bewertung_Stammdaten!E$73)))))))))</f>
        <v>6</v>
      </c>
      <c r="BC59" s="32">
        <f ca="1">IF(AZ59&lt;Bewertung_Stammdaten!J$64,Bewertung_Stammdaten!I$64,IF(AZ59&lt;Bewertung_Stammdaten!J$65,Bewertung_Stammdaten!I$65,IF(AZ59&lt;Bewertung_Stammdaten!J$66,Bewertung_Stammdaten!I$66,IF(AZ59&lt;Bewertung_Stammdaten!J$67,Bewertung_Stammdaten!I$67,IF(AZ59&lt;Bewertung_Stammdaten!J$68,Bewertung_Stammdaten!I$68,IF(AZ59&lt;Bewertung_Stammdaten!J$69,Bewertung_Stammdaten!I$69,IF(AZ59&lt;Bewertung_Stammdaten!J$70,Bewertung_Stammdaten!I$70,IF(AZ59&lt;Bewertung_Stammdaten!J$71,Bewertung_Stammdaten!I$71,IF(AZ59&lt;Bewertung_Stammdaten!J$72,Bewertung_Stammdaten!I$72,Bewertung_Stammdaten!I$73)))))))))</f>
        <v>3.5</v>
      </c>
      <c r="BD59" s="43"/>
      <c r="BE59" s="12">
        <f>VLOOKUP(A59,Aktien_im_Umlauf_splitbereinigt!A$3:Z$103,26,FALSE)</f>
        <v>-1.8743109151047488E-2</v>
      </c>
      <c r="BF59" s="12">
        <f>VLOOKUP(A59,Aktien_im_Umlauf_splitbereinigt!A$3:Y$103,24,FALSE)</f>
        <v>-1.4196869623054146E-2</v>
      </c>
      <c r="BG59" s="12">
        <f>VLOOKUP(A59,Aktien_im_Umlauf_splitbereinigt!A$3:Y$103,25,FALSE)</f>
        <v>0.3202283072749188</v>
      </c>
      <c r="BH59" s="41">
        <f>IF(BE59&lt;Bewertung_Stammdaten!B$77,Bewertung_Stammdaten!A$77,IF(BE59&lt;Bewertung_Stammdaten!B$78,Bewertung_Stammdaten!A$78,IF(BE59&lt;Bewertung_Stammdaten!B$79,Bewertung_Stammdaten!A$79,IF(BE59&lt;Bewertung_Stammdaten!B$80,Bewertung_Stammdaten!A$80,IF(BE59&lt;Bewertung_Stammdaten!B$81,Bewertung_Stammdaten!A$81,IF(BE59&lt;Bewertung_Stammdaten!B$82,Bewertung_Stammdaten!A$82,IF(BE59&lt;Bewertung_Stammdaten!B$83,Bewertung_Stammdaten!A$83,IF(BE59&lt;Bewertung_Stammdaten!B$84,Bewertung_Stammdaten!A$84,IF(BE59&lt;Bewertung_Stammdaten!B$85,Bewertung_Stammdaten!A$85,Bewertung_Stammdaten!A$86)))))))))</f>
        <v>6</v>
      </c>
      <c r="BI59" s="41">
        <f>IF(BF59&lt;Bewertung_Stammdaten!F$77,Bewertung_Stammdaten!E$77,IF(BF59&lt;Bewertung_Stammdaten!F$78,Bewertung_Stammdaten!E$78,IF(BF59&lt;Bewertung_Stammdaten!F$79,Bewertung_Stammdaten!E$79,IF(BF59&lt;Bewertung_Stammdaten!F$80,Bewertung_Stammdaten!E$80,IF(BF59&lt;Bewertung_Stammdaten!F$81,Bewertung_Stammdaten!E$81,IF(BF59&lt;Bewertung_Stammdaten!F$82,Bewertung_Stammdaten!E$82,IF(BF59&lt;Bewertung_Stammdaten!F$83,Bewertung_Stammdaten!E$83,IF(BF59&lt;Bewertung_Stammdaten!F$84,Bewertung_Stammdaten!E$84,IF(BF59&lt;Bewertung_Stammdaten!F$85,Bewertung_Stammdaten!E$85,Bewertung_Stammdaten!E$86)))))))))</f>
        <v>5</v>
      </c>
      <c r="BJ59" s="41">
        <f>IF(BG59&lt;Bewertung_Stammdaten!J$77,Bewertung_Stammdaten!I$77,IF(BG59&lt;Bewertung_Stammdaten!J$78,Bewertung_Stammdaten!I$78,IF(BG59&lt;Bewertung_Stammdaten!J$79,Bewertung_Stammdaten!I$79,IF(BG59&lt;Bewertung_Stammdaten!J$80,Bewertung_Stammdaten!I$80,IF(BG59&lt;Bewertung_Stammdaten!J$81,Bewertung_Stammdaten!I$81,IF(BG59&lt;Bewertung_Stammdaten!J$82,Bewertung_Stammdaten!I$82,IF(BG59&lt;Bewertung_Stammdaten!J$83,Bewertung_Stammdaten!I$83,IF(BG59&lt;Bewertung_Stammdaten!J$84,Bewertung_Stammdaten!I$84,IF(BG59&lt;Bewertung_Stammdaten!J$85,Bewertung_Stammdaten!I$85,Bewertung_Stammdaten!I$86)))))))))</f>
        <v>3.5</v>
      </c>
      <c r="BK59" s="43"/>
      <c r="BL59" s="12">
        <f ca="1">VLOOKUP(A59,Ausschüttungsquote!A$3:X$103,23,FALSE)</f>
        <v>0.55192784251215987</v>
      </c>
      <c r="BM59" s="12">
        <f>VLOOKUP(A59,Ausschüttungsquote!A$3:X$103,19,FALSE)</f>
        <v>0.48137926785257046</v>
      </c>
      <c r="BN59" s="12">
        <f ca="1">VLOOKUP(A59,Ausschüttungsquote!A$3:X$103,24,FALSE)</f>
        <v>0.14655507490861863</v>
      </c>
      <c r="BO59" s="32">
        <f ca="1">IF(BL59&lt;Bewertung_Stammdaten!B$90,Bewertung_Stammdaten!A$90,IF(BL59&lt;Bewertung_Stammdaten!B$91,Bewertung_Stammdaten!A$91,IF(BL59&lt;Bewertung_Stammdaten!B$92,Bewertung_Stammdaten!A$92,IF(BL59&lt;Bewertung_Stammdaten!B$93,Bewertung_Stammdaten!A$93,IF(BL59&lt;Bewertung_Stammdaten!B$94,Bewertung_Stammdaten!A$94,IF(BL59&lt;Bewertung_Stammdaten!B$95,Bewertung_Stammdaten!A$95,IF(BL59&lt;Bewertung_Stammdaten!B$96,Bewertung_Stammdaten!A$96,IF(BL59&lt;Bewertung_Stammdaten!B$97,Bewertung_Stammdaten!A$97,IF(BL59&lt;Bewertung_Stammdaten!B$98,Bewertung_Stammdaten!A$98,Bewertung_Stammdaten!A$99)))))))))</f>
        <v>6</v>
      </c>
      <c r="BP59" s="41">
        <f>IF(BM59&lt;Bewertung_Stammdaten!F$90,Bewertung_Stammdaten!E$90,IF(BM59&lt;Bewertung_Stammdaten!F$91,Bewertung_Stammdaten!E$91,IF(BM59&lt;Bewertung_Stammdaten!F$92,Bewertung_Stammdaten!E$92,IF(BM59&lt;Bewertung_Stammdaten!F$93,Bewertung_Stammdaten!E$93,IF(BM59&lt;Bewertung_Stammdaten!F$94,Bewertung_Stammdaten!E$94,IF(BM59&lt;Bewertung_Stammdaten!F$95,Bewertung_Stammdaten!E$95,IF(BM59&lt;Bewertung_Stammdaten!F$96,Bewertung_Stammdaten!E$96,IF(BM59&lt;Bewertung_Stammdaten!F$97,Bewertung_Stammdaten!E$97,IF(BM59&lt;Bewertung_Stammdaten!F$98,Bewertung_Stammdaten!E$98,Bewertung_Stammdaten!E$99)))))))))</f>
        <v>8</v>
      </c>
      <c r="BQ59" s="32">
        <f ca="1">IF(BN59&lt;Bewertung_Stammdaten!J$90,Bewertung_Stammdaten!I$90,IF(BN59&lt;Bewertung_Stammdaten!J$91,Bewertung_Stammdaten!I$91,IF(BN59&lt;Bewertung_Stammdaten!J$92,Bewertung_Stammdaten!I$92,IF(BN59&lt;Bewertung_Stammdaten!J$93,Bewertung_Stammdaten!I$93,IF(BN59&lt;Bewertung_Stammdaten!J$94,Bewertung_Stammdaten!I$94,IF(BN59&lt;Bewertung_Stammdaten!J$95,Bewertung_Stammdaten!I$95,IF(BN59&lt;Bewertung_Stammdaten!J$96,Bewertung_Stammdaten!I$96,IF(BN59&lt;Bewertung_Stammdaten!J$97,Bewertung_Stammdaten!I$97,IF(BN59&lt;Bewertung_Stammdaten!J$98,Bewertung_Stammdaten!I$98,Bewertung_Stammdaten!I$99)))))))))</f>
        <v>3</v>
      </c>
    </row>
    <row r="60" spans="1:69" x14ac:dyDescent="0.25">
      <c r="A60" s="38" t="s">
        <v>99</v>
      </c>
      <c r="B60" s="38" t="s">
        <v>100</v>
      </c>
      <c r="C60" s="38" t="s">
        <v>295</v>
      </c>
      <c r="D60" s="32">
        <f t="shared" ca="1" si="11"/>
        <v>142</v>
      </c>
      <c r="E60" s="43"/>
      <c r="F60" s="66">
        <v>1</v>
      </c>
      <c r="G60" s="11">
        <f ca="1">VLOOKUP(A60,KGV!A$3:R$103,17,FALSE)</f>
        <v>19.766330113264434</v>
      </c>
      <c r="H60" s="11">
        <f>VLOOKUP(A60,KGV!A$3:R$103,16,FALSE)</f>
        <v>17.007680491551461</v>
      </c>
      <c r="I60" s="12">
        <f ca="1">VLOOKUP(A60,KGV!A$3:R$103,18,FALSE)</f>
        <v>0.16220022613214824</v>
      </c>
      <c r="J60" s="16">
        <f t="shared" ca="1" si="12"/>
        <v>22.045155138853818</v>
      </c>
      <c r="K60" s="12">
        <f t="shared" ca="1" si="13"/>
        <v>0.29618822212733331</v>
      </c>
      <c r="L60" s="11">
        <f ca="1">VLOOKUP(A60,KBV!A$3:R$103,17,FALSE)</f>
        <v>64.756953470236539</v>
      </c>
      <c r="M60" s="11">
        <f>VLOOKUP(A60,KBV!A$3:R$103,16,FALSE)</f>
        <v>5.7423887587822016</v>
      </c>
      <c r="N60" s="12">
        <f ca="1">VLOOKUP(A60,KBV!A$3:R$103,18,FALSE)</f>
        <v>10.277006171203508</v>
      </c>
      <c r="O60" s="16">
        <f t="shared" ca="1" si="9"/>
        <v>412.82557837275795</v>
      </c>
      <c r="P60" s="12">
        <f t="shared" ca="1" si="10"/>
        <v>70.890914341422359</v>
      </c>
      <c r="Q60" s="32">
        <f ca="1">IF(F60=1,IF(I60&lt;Bewertung_Stammdaten!B$12,Bewertung_Stammdaten!A$12,IF(I60&lt;Bewertung_Stammdaten!B$13,Bewertung_Stammdaten!A$13,IF(I60&lt;Bewertung_Stammdaten!B$14,Bewertung_Stammdaten!A$14,IF(I60&lt;Bewertung_Stammdaten!B$15,Bewertung_Stammdaten!A$15,IF(I60&lt;Bewertung_Stammdaten!B$16,Bewertung_Stammdaten!A$16,IF(I60&lt;Bewertung_Stammdaten!B$17,Bewertung_Stammdaten!A$17,IF(I60&lt;Bewertung_Stammdaten!B$18,Bewertung_Stammdaten!A$18,IF(I60&lt;Bewertung_Stammdaten!B$19,Bewertung_Stammdaten!A$19,IF(I60&lt;Bewertung_Stammdaten!B$20,Bewertung_Stammdaten!A$20,Bewertung_Stammdaten!A$21))))))))),IF(N60&lt;Bewertung_Stammdaten!C$12,Bewertung_Stammdaten!A$12,IF(N60&lt;Bewertung_Stammdaten!C$13,Bewertung_Stammdaten!A$13,IF(N60&lt;Bewertung_Stammdaten!C$14,Bewertung_Stammdaten!A$14,IF(N60&lt;Bewertung_Stammdaten!C$15,Bewertung_Stammdaten!A$15,IF(N60&lt;Bewertung_Stammdaten!C$16,Bewertung_Stammdaten!A$16,IF(N60&lt;Bewertung_Stammdaten!C$17,Bewertung_Stammdaten!A$17,IF(N60&lt;Bewertung_Stammdaten!C$18,Bewertung_Stammdaten!A$18,IF(N60&lt;Bewertung_Stammdaten!C$19,Bewertung_Stammdaten!A$19,IF(N60&lt;Bewertung_Stammdaten!C$20,Bewertung_Stammdaten!A$20,Bewertung_Stammdaten!A$21))))))))))</f>
        <v>18</v>
      </c>
      <c r="R60" s="32">
        <f ca="1">IF(F60=1,IF(K60&lt;Bewertung_Stammdaten!F$12,Bewertung_Stammdaten!E$12,IF(K60&lt;Bewertung_Stammdaten!F$13,Bewertung_Stammdaten!E$13,IF(K60&lt;Bewertung_Stammdaten!F$14,Bewertung_Stammdaten!E$14,IF(K60&lt;Bewertung_Stammdaten!F$15,Bewertung_Stammdaten!E$15,IF(K60&lt;Bewertung_Stammdaten!F$16,Bewertung_Stammdaten!E$16,IF(K60&lt;Bewertung_Stammdaten!F$17,Bewertung_Stammdaten!E$17,IF(K60&lt;Bewertung_Stammdaten!F$18,Bewertung_Stammdaten!E$18,IF(K60&lt;Bewertung_Stammdaten!F$19,Bewertung_Stammdaten!E$19,IF(K60&lt;Bewertung_Stammdaten!F$20,Bewertung_Stammdaten!E$20,Bewertung_Stammdaten!E$21))))))))),IF(P60&lt;Bewertung_Stammdaten!G$12,Bewertung_Stammdaten!E$12,IF(P60&lt;Bewertung_Stammdaten!G$13,Bewertung_Stammdaten!E$13,IF(P60&lt;Bewertung_Stammdaten!G$14,Bewertung_Stammdaten!E$14,IF(P60&lt;Bewertung_Stammdaten!G$15,Bewertung_Stammdaten!E$15,IF(P60&lt;Bewertung_Stammdaten!G$16,Bewertung_Stammdaten!E$16,IF(P60&lt;Bewertung_Stammdaten!G$17,Bewertung_Stammdaten!E$17,IF(P60&lt;Bewertung_Stammdaten!G$18,Bewertung_Stammdaten!E$18,IF(P60&lt;Bewertung_Stammdaten!G$19,Bewertung_Stammdaten!E$19,IF(P60&lt;Bewertung_Stammdaten!G$20,Bewertung_Stammdaten!E$20,Bewertung_Stammdaten!E$21))))))))))</f>
        <v>10</v>
      </c>
      <c r="S60" s="43"/>
      <c r="T60" s="11">
        <f ca="1">VLOOKUP(A60,Buchwert_je_Aktie!A$3:AK$103,23,FALSE)</f>
        <v>1.7097777777777781</v>
      </c>
      <c r="U60" s="11">
        <f>VLOOKUP(A60,Buchwert_je_Aktie!A$3:AK$103,19,FALSE)</f>
        <v>9.3815384615384598</v>
      </c>
      <c r="V60" s="12">
        <f ca="1">VLOOKUP(A60,Buchwert_je_Aktie!A$3:AK$103,24,FALSE)</f>
        <v>-0.81775081083050905</v>
      </c>
      <c r="W60" s="12">
        <f>VLOOKUP(A60,Buchwert_je_Aktie!A$3:AK$103,37,FALSE)</f>
        <v>-0.84313725490196079</v>
      </c>
      <c r="X60" s="16">
        <f t="shared" ca="1" si="14"/>
        <v>0.26820043572984753</v>
      </c>
      <c r="Y60" s="12">
        <f t="shared" ca="1" si="15"/>
        <v>-0.97141189189498178</v>
      </c>
      <c r="Z60" s="51">
        <f ca="1">IF(V60&lt;Bewertung_Stammdaten!B$25,Bewertung_Stammdaten!A$25,IF(V60&lt;Bewertung_Stammdaten!B$26,Bewertung_Stammdaten!A$26,IF(V60&lt;Bewertung_Stammdaten!B$27,Bewertung_Stammdaten!A$27,IF(V60&lt;Bewertung_Stammdaten!B$28,Bewertung_Stammdaten!A$28,IF(V60&lt;Bewertung_Stammdaten!B$29,Bewertung_Stammdaten!A$29,IF(V60&lt;Bewertung_Stammdaten!B$30,Bewertung_Stammdaten!A$30,IF(V60&lt;Bewertung_Stammdaten!B$31,Bewertung_Stammdaten!A$31,IF(V60&lt;Bewertung_Stammdaten!B$32,Bewertung_Stammdaten!A$32,IF(V60&lt;Bewertung_Stammdaten!B$33,Bewertung_Stammdaten!A$33,Bewertung_Stammdaten!A$34)))))))))</f>
        <v>1.5</v>
      </c>
      <c r="AA60" s="51">
        <f>IF(W60&lt;Bewertung_Stammdaten!F$25,Bewertung_Stammdaten!E$25,IF(W60&lt;Bewertung_Stammdaten!F$26,Bewertung_Stammdaten!E$26,IF(W60&lt;Bewertung_Stammdaten!F$27,Bewertung_Stammdaten!E$27,IF(W60&lt;Bewertung_Stammdaten!F$28,Bewertung_Stammdaten!E$28,IF(W60&lt;Bewertung_Stammdaten!F$29,Bewertung_Stammdaten!E$29,IF(W60&lt;Bewertung_Stammdaten!F$30,Bewertung_Stammdaten!E$30,IF(W60&lt;Bewertung_Stammdaten!F$31,Bewertung_Stammdaten!E$31,IF(W60&lt;Bewertung_Stammdaten!F$32,Bewertung_Stammdaten!E$32,IF(W60&lt;Bewertung_Stammdaten!F$33,Bewertung_Stammdaten!E$33,Bewertung_Stammdaten!E$34)))))))))</f>
        <v>1.5</v>
      </c>
      <c r="AB60" s="51">
        <f ca="1">IF(Y60&lt;Bewertung_Stammdaten!J$25,Bewertung_Stammdaten!I$25,IF(Y60&lt;Bewertung_Stammdaten!J$26,Bewertung_Stammdaten!I$26,IF(Y60&lt;Bewertung_Stammdaten!J$27,Bewertung_Stammdaten!I$27,IF(Y60&lt;Bewertung_Stammdaten!J$28,Bewertung_Stammdaten!I$28,IF(Y60&lt;Bewertung_Stammdaten!J$29,Bewertung_Stammdaten!I$29,IF(Y60&lt;Bewertung_Stammdaten!J$30,Bewertung_Stammdaten!I$30,IF(Y60&lt;Bewertung_Stammdaten!J$31,Bewertung_Stammdaten!I$31,IF(Y60&lt;Bewertung_Stammdaten!J$32,Bewertung_Stammdaten!I$32,IF(Y60&lt;Bewertung_Stammdaten!J$33,Bewertung_Stammdaten!I$33,Bewertung_Stammdaten!I$34)))))))))</f>
        <v>1</v>
      </c>
      <c r="AC60" s="43"/>
      <c r="AD60" s="14">
        <f ca="1">VLOOKUP(A60,Ergebnis_je_Aktie_verwässert!A$3:AK$103,23,FALSE)</f>
        <v>5.6014444444444447</v>
      </c>
      <c r="AE60" s="14">
        <f>VLOOKUP(A60,Ergebnis_je_Aktie_verwässert!A$3:AK$103,19,FALSE)</f>
        <v>4.6976923076923081</v>
      </c>
      <c r="AF60" s="12">
        <f ca="1">VLOOKUP(A60,Ergebnis_je_Aktie_verwässert!A$3:AK$103,24,FALSE)</f>
        <v>0.19238214799046638</v>
      </c>
      <c r="AG60" s="40">
        <f>VLOOKUP(A60,Ergebnis_je_Aktie_verwässert!A$3:AK$103,37,FALSE)</f>
        <v>-0.10337078651685394</v>
      </c>
      <c r="AH60" s="16">
        <f t="shared" ca="1" si="16"/>
        <v>5.0224187265917601</v>
      </c>
      <c r="AI60" s="12">
        <f t="shared" ca="1" si="17"/>
        <v>6.912466752403601E-2</v>
      </c>
      <c r="AJ60" s="32">
        <f ca="1">IF(AF60&lt;Bewertung_Stammdaten!B$38,Bewertung_Stammdaten!A$38,IF(AF60&lt;Bewertung_Stammdaten!B$39,Bewertung_Stammdaten!A$39,IF(AF60&lt;Bewertung_Stammdaten!B$40,Bewertung_Stammdaten!A$40,IF(AF60&lt;Bewertung_Stammdaten!B$41,Bewertung_Stammdaten!A$41,IF(AF60&lt;Bewertung_Stammdaten!B$42,Bewertung_Stammdaten!A$42,IF(AF60&lt;Bewertung_Stammdaten!B$43,Bewertung_Stammdaten!A$43,IF(AF60&lt;Bewertung_Stammdaten!B$44,Bewertung_Stammdaten!A$44,IF(AF60&lt;Bewertung_Stammdaten!B$45,Bewertung_Stammdaten!A$45,IF(AF60&lt;Bewertung_Stammdaten!B$46,Bewertung_Stammdaten!A$46,Bewertung_Stammdaten!A$47)))))))))</f>
        <v>10</v>
      </c>
      <c r="AK60" s="32">
        <f>IF(AG60&lt;Bewertung_Stammdaten!F$38,Bewertung_Stammdaten!E$38,IF(AG60&lt;Bewertung_Stammdaten!F$39,Bewertung_Stammdaten!E$39,IF(AG60&lt;Bewertung_Stammdaten!F$40,Bewertung_Stammdaten!E$40,IF(AG60&lt;Bewertung_Stammdaten!F$41,Bewertung_Stammdaten!E$41,IF(AG60&lt;Bewertung_Stammdaten!F$42,Bewertung_Stammdaten!E$42,IF(AG60&lt;Bewertung_Stammdaten!F$43,Bewertung_Stammdaten!E$43,IF(AG60&lt;Bewertung_Stammdaten!F$44,Bewertung_Stammdaten!E$44,IF(AG60&lt;Bewertung_Stammdaten!F$45,Bewertung_Stammdaten!E$45,IF(AG60&lt;Bewertung_Stammdaten!F$46,Bewertung_Stammdaten!E$46,Bewertung_Stammdaten!E$47)))))))))</f>
        <v>9</v>
      </c>
      <c r="AL60" s="32">
        <f ca="1">IF(AI60&lt;Bewertung_Stammdaten!J$38,Bewertung_Stammdaten!I$38,IF(AI60&lt;Bewertung_Stammdaten!J$39,Bewertung_Stammdaten!I$39,IF(AI60&lt;Bewertung_Stammdaten!J$40,Bewertung_Stammdaten!I$40,IF(AI60&lt;Bewertung_Stammdaten!J$41,Bewertung_Stammdaten!I$41,IF(AI60&lt;Bewertung_Stammdaten!J$42,Bewertung_Stammdaten!I$42,IF(AI60&lt;Bewertung_Stammdaten!J$43,Bewertung_Stammdaten!I$43,IF(AI60&lt;Bewertung_Stammdaten!J$44,Bewertung_Stammdaten!I$44,IF(AI60&lt;Bewertung_Stammdaten!J$45,Bewertung_Stammdaten!I$45,IF(AI60&lt;Bewertung_Stammdaten!J$46,Bewertung_Stammdaten!I$46,Bewertung_Stammdaten!I$47)))))))))</f>
        <v>5</v>
      </c>
      <c r="AM60" s="43"/>
      <c r="AN60" s="14">
        <f ca="1">VLOOKUP(A60,Dividende_je_Aktie!A$3:AM$103,24,FALSE)</f>
        <v>3.5177777777777779</v>
      </c>
      <c r="AO60" s="14">
        <f>VLOOKUP(A60,Dividende_je_Aktie!A$3:AM$103,20,FALSE)</f>
        <v>2.7349999999999999</v>
      </c>
      <c r="AP60" s="12">
        <f ca="1">VLOOKUP(A60,Dividende_je_Aktie!A$3:AM$103,25,FALSE)</f>
        <v>0.28620759699370302</v>
      </c>
      <c r="AQ60" s="40">
        <f>VLOOKUP(A60,Dividende_je_Aktie!A$3:AM$103,39,FALSE)</f>
        <v>2.6785714285714413E-2</v>
      </c>
      <c r="AR60" s="16">
        <f t="shared" ca="1" si="18"/>
        <v>3.5177777777777779</v>
      </c>
      <c r="AS60" s="12">
        <f t="shared" ca="1" si="19"/>
        <v>0.28620759699370302</v>
      </c>
      <c r="AT60" s="32">
        <f ca="1">IF(AP60&lt;Bewertung_Stammdaten!B$51,Bewertung_Stammdaten!A$51,IF(AP60&lt;Bewertung_Stammdaten!B$52,Bewertung_Stammdaten!A$52,IF(AP60&lt;Bewertung_Stammdaten!B$53,Bewertung_Stammdaten!A$53,IF(AP60&lt;Bewertung_Stammdaten!B$54,Bewertung_Stammdaten!A$54,IF(AP60&lt;Bewertung_Stammdaten!B$55,Bewertung_Stammdaten!A$55,IF(AP60&lt;Bewertung_Stammdaten!B$56,Bewertung_Stammdaten!A$56,IF(AP60&lt;Bewertung_Stammdaten!B$57,Bewertung_Stammdaten!A$57,IF(AP60&lt;Bewertung_Stammdaten!B$58,Bewertung_Stammdaten!A$58,IF(AP60&lt;Bewertung_Stammdaten!B$59,Bewertung_Stammdaten!A$59,Bewertung_Stammdaten!A$60)))))))))</f>
        <v>10</v>
      </c>
      <c r="AU60" s="32">
        <f>IF(AQ60&lt;Bewertung_Stammdaten!F$51,Bewertung_Stammdaten!E$51,IF(AQ60&lt;Bewertung_Stammdaten!F$52,Bewertung_Stammdaten!E$52,IF(AQ60&lt;Bewertung_Stammdaten!F$53,Bewertung_Stammdaten!E$53,IF(AQ60&lt;Bewertung_Stammdaten!F$54,Bewertung_Stammdaten!E$54,IF(AQ60&lt;Bewertung_Stammdaten!F$55,Bewertung_Stammdaten!E$55,IF(AQ60&lt;Bewertung_Stammdaten!F$56,Bewertung_Stammdaten!E$56,IF(AQ60&lt;Bewertung_Stammdaten!F$57,Bewertung_Stammdaten!E$57,IF(AQ60&lt;Bewertung_Stammdaten!F$58,Bewertung_Stammdaten!E$58,IF(AQ60&lt;Bewertung_Stammdaten!F$59,Bewertung_Stammdaten!E$59,Bewertung_Stammdaten!E$60)))))))))</f>
        <v>12</v>
      </c>
      <c r="AV60" s="32">
        <f ca="1">IF(AS60&lt;Bewertung_Stammdaten!J$51,Bewertung_Stammdaten!I$51,IF(AS60&lt;Bewertung_Stammdaten!J$52,Bewertung_Stammdaten!I$52,IF(AS60&lt;Bewertung_Stammdaten!J$53,Bewertung_Stammdaten!I$53,IF(AS60&lt;Bewertung_Stammdaten!J$54,Bewertung_Stammdaten!I$54,IF(AS60&lt;Bewertung_Stammdaten!J$55,Bewertung_Stammdaten!I$55,IF(AS60&lt;Bewertung_Stammdaten!J$56,Bewertung_Stammdaten!I$56,IF(AS60&lt;Bewertung_Stammdaten!J$57,Bewertung_Stammdaten!I$57,IF(AS60&lt;Bewertung_Stammdaten!J$58,Bewertung_Stammdaten!I$58,IF(AS60&lt;Bewertung_Stammdaten!J$59,Bewertung_Stammdaten!I$59,Bewertung_Stammdaten!I$60)))))))))</f>
        <v>7</v>
      </c>
      <c r="AW60" s="43"/>
      <c r="AX60" s="12">
        <f ca="1">VLOOKUP(A60,Dividendenrendite!A$3:R$103,17,FALSE)</f>
        <v>3.1771836865767504E-2</v>
      </c>
      <c r="AY60" s="12">
        <f>VLOOKUP(A60,Dividendenrendite!A$3:R$103,16,FALSE)</f>
        <v>3.3407221590392285E-2</v>
      </c>
      <c r="AZ60" s="12">
        <f ca="1">VLOOKUP(A60,Dividendenrendite!A$3:R$103,18,FALSE)</f>
        <v>-4.8953030116551388E-2</v>
      </c>
      <c r="BA60" s="32">
        <f ca="1">IF(AX60&lt;Bewertung_Stammdaten!B$64,Bewertung_Stammdaten!A$64,IF(AX60&lt;Bewertung_Stammdaten!B$65,Bewertung_Stammdaten!A$65,IF(AX60&lt;Bewertung_Stammdaten!B$66,Bewertung_Stammdaten!A$66,IF(AX60&lt;Bewertung_Stammdaten!B$67,Bewertung_Stammdaten!A$67,IF(AX60&lt;Bewertung_Stammdaten!B$68,Bewertung_Stammdaten!A$68,IF(AX60&lt;Bewertung_Stammdaten!B$69,Bewertung_Stammdaten!A$69,IF(AX60&lt;Bewertung_Stammdaten!B$70,Bewertung_Stammdaten!A$70,IF(AX60&lt;Bewertung_Stammdaten!B$71,Bewertung_Stammdaten!A$71,IF(AX60&lt;Bewertung_Stammdaten!B$72,Bewertung_Stammdaten!A$72,Bewertung_Stammdaten!A$73)))))))))</f>
        <v>10.5</v>
      </c>
      <c r="BB60" s="32">
        <f>IF(AY60&lt;Bewertung_Stammdaten!F$64,Bewertung_Stammdaten!E$64,IF(AY60&lt;Bewertung_Stammdaten!F$65,Bewertung_Stammdaten!E$65,IF(AY60&lt;Bewertung_Stammdaten!F$66,Bewertung_Stammdaten!E$66,IF(AY60&lt;Bewertung_Stammdaten!F$67,Bewertung_Stammdaten!E$67,IF(AY60&lt;Bewertung_Stammdaten!F$68,Bewertung_Stammdaten!E$68,IF(AY60&lt;Bewertung_Stammdaten!F$69,Bewertung_Stammdaten!E$69,IF(AY60&lt;Bewertung_Stammdaten!F$70,Bewertung_Stammdaten!E$70,IF(AY60&lt;Bewertung_Stammdaten!F$71,Bewertung_Stammdaten!E$71,IF(AY60&lt;Bewertung_Stammdaten!F$72,Bewertung_Stammdaten!E$72,Bewertung_Stammdaten!E$73)))))))))</f>
        <v>7</v>
      </c>
      <c r="BC60" s="32">
        <f ca="1">IF(AZ60&lt;Bewertung_Stammdaten!J$64,Bewertung_Stammdaten!I$64,IF(AZ60&lt;Bewertung_Stammdaten!J$65,Bewertung_Stammdaten!I$65,IF(AZ60&lt;Bewertung_Stammdaten!J$66,Bewertung_Stammdaten!I$66,IF(AZ60&lt;Bewertung_Stammdaten!J$67,Bewertung_Stammdaten!I$67,IF(AZ60&lt;Bewertung_Stammdaten!J$68,Bewertung_Stammdaten!I$68,IF(AZ60&lt;Bewertung_Stammdaten!J$69,Bewertung_Stammdaten!I$69,IF(AZ60&lt;Bewertung_Stammdaten!J$70,Bewertung_Stammdaten!I$70,IF(AZ60&lt;Bewertung_Stammdaten!J$71,Bewertung_Stammdaten!I$71,IF(AZ60&lt;Bewertung_Stammdaten!J$72,Bewertung_Stammdaten!I$72,Bewertung_Stammdaten!I$73)))))))))</f>
        <v>2.5</v>
      </c>
      <c r="BD60" s="43"/>
      <c r="BE60" s="12">
        <f>VLOOKUP(A60,Aktien_im_Umlauf_splitbereinigt!A$3:Z$103,26,FALSE)</f>
        <v>-4.0703781512605008E-2</v>
      </c>
      <c r="BF60" s="12">
        <f>VLOOKUP(A60,Aktien_im_Umlauf_splitbereinigt!A$3:Y$103,24,FALSE)</f>
        <v>-2.5397801448163837E-2</v>
      </c>
      <c r="BG60" s="12">
        <f>VLOOKUP(A60,Aktien_im_Umlauf_splitbereinigt!A$3:Y$103,25,FALSE)</f>
        <v>0.60264980398717682</v>
      </c>
      <c r="BH60" s="41">
        <f>IF(BE60&lt;Bewertung_Stammdaten!B$77,Bewertung_Stammdaten!A$77,IF(BE60&lt;Bewertung_Stammdaten!B$78,Bewertung_Stammdaten!A$78,IF(BE60&lt;Bewertung_Stammdaten!B$79,Bewertung_Stammdaten!A$79,IF(BE60&lt;Bewertung_Stammdaten!B$80,Bewertung_Stammdaten!A$80,IF(BE60&lt;Bewertung_Stammdaten!B$81,Bewertung_Stammdaten!A$81,IF(BE60&lt;Bewertung_Stammdaten!B$82,Bewertung_Stammdaten!A$82,IF(BE60&lt;Bewertung_Stammdaten!B$83,Bewertung_Stammdaten!A$83,IF(BE60&lt;Bewertung_Stammdaten!B$84,Bewertung_Stammdaten!A$84,IF(BE60&lt;Bewertung_Stammdaten!B$85,Bewertung_Stammdaten!A$85,Bewertung_Stammdaten!A$86)))))))))</f>
        <v>10</v>
      </c>
      <c r="BI60" s="41">
        <f>IF(BF60&lt;Bewertung_Stammdaten!F$77,Bewertung_Stammdaten!E$77,IF(BF60&lt;Bewertung_Stammdaten!F$78,Bewertung_Stammdaten!E$78,IF(BF60&lt;Bewertung_Stammdaten!F$79,Bewertung_Stammdaten!E$79,IF(BF60&lt;Bewertung_Stammdaten!F$80,Bewertung_Stammdaten!E$80,IF(BF60&lt;Bewertung_Stammdaten!F$81,Bewertung_Stammdaten!E$81,IF(BF60&lt;Bewertung_Stammdaten!F$82,Bewertung_Stammdaten!E$82,IF(BF60&lt;Bewertung_Stammdaten!F$83,Bewertung_Stammdaten!E$83,IF(BF60&lt;Bewertung_Stammdaten!F$84,Bewertung_Stammdaten!E$84,IF(BF60&lt;Bewertung_Stammdaten!F$85,Bewertung_Stammdaten!E$85,Bewertung_Stammdaten!E$86)))))))))</f>
        <v>8</v>
      </c>
      <c r="BJ60" s="41">
        <f>IF(BG60&lt;Bewertung_Stammdaten!J$77,Bewertung_Stammdaten!I$77,IF(BG60&lt;Bewertung_Stammdaten!J$78,Bewertung_Stammdaten!I$78,IF(BG60&lt;Bewertung_Stammdaten!J$79,Bewertung_Stammdaten!I$79,IF(BG60&lt;Bewertung_Stammdaten!J$80,Bewertung_Stammdaten!I$80,IF(BG60&lt;Bewertung_Stammdaten!J$81,Bewertung_Stammdaten!I$81,IF(BG60&lt;Bewertung_Stammdaten!J$82,Bewertung_Stammdaten!I$82,IF(BG60&lt;Bewertung_Stammdaten!J$83,Bewertung_Stammdaten!I$83,IF(BG60&lt;Bewertung_Stammdaten!J$84,Bewertung_Stammdaten!I$84,IF(BG60&lt;Bewertung_Stammdaten!J$85,Bewertung_Stammdaten!I$85,Bewertung_Stammdaten!I$86)))))))))</f>
        <v>4</v>
      </c>
      <c r="BK60" s="43"/>
      <c r="BL60" s="12">
        <f ca="1">VLOOKUP(A60,Ausschüttungsquote!A$3:X$103,23,FALSE)</f>
        <v>0.63001268719204062</v>
      </c>
      <c r="BM60" s="12">
        <f>VLOOKUP(A60,Ausschüttungsquote!A$3:X$103,19,FALSE)</f>
        <v>0.59923154697992487</v>
      </c>
      <c r="BN60" s="12">
        <f ca="1">VLOOKUP(A60,Ausschüttungsquote!A$3:X$103,24,FALSE)</f>
        <v>5.136768978077022E-2</v>
      </c>
      <c r="BO60" s="32">
        <f ca="1">IF(BL60&lt;Bewertung_Stammdaten!B$90,Bewertung_Stammdaten!A$90,IF(BL60&lt;Bewertung_Stammdaten!B$91,Bewertung_Stammdaten!A$91,IF(BL60&lt;Bewertung_Stammdaten!B$92,Bewertung_Stammdaten!A$92,IF(BL60&lt;Bewertung_Stammdaten!B$93,Bewertung_Stammdaten!A$93,IF(BL60&lt;Bewertung_Stammdaten!B$94,Bewertung_Stammdaten!A$94,IF(BL60&lt;Bewertung_Stammdaten!B$95,Bewertung_Stammdaten!A$95,IF(BL60&lt;Bewertung_Stammdaten!B$96,Bewertung_Stammdaten!A$96,IF(BL60&lt;Bewertung_Stammdaten!B$97,Bewertung_Stammdaten!A$97,IF(BL60&lt;Bewertung_Stammdaten!B$98,Bewertung_Stammdaten!A$98,Bewertung_Stammdaten!A$99)))))))))</f>
        <v>5</v>
      </c>
      <c r="BP60" s="41">
        <f>IF(BM60&lt;Bewertung_Stammdaten!F$90,Bewertung_Stammdaten!E$90,IF(BM60&lt;Bewertung_Stammdaten!F$91,Bewertung_Stammdaten!E$91,IF(BM60&lt;Bewertung_Stammdaten!F$92,Bewertung_Stammdaten!E$92,IF(BM60&lt;Bewertung_Stammdaten!F$93,Bewertung_Stammdaten!E$93,IF(BM60&lt;Bewertung_Stammdaten!F$94,Bewertung_Stammdaten!E$94,IF(BM60&lt;Bewertung_Stammdaten!F$95,Bewertung_Stammdaten!E$95,IF(BM60&lt;Bewertung_Stammdaten!F$96,Bewertung_Stammdaten!E$96,IF(BM60&lt;Bewertung_Stammdaten!F$97,Bewertung_Stammdaten!E$97,IF(BM60&lt;Bewertung_Stammdaten!F$98,Bewertung_Stammdaten!E$98,Bewertung_Stammdaten!E$99)))))))))</f>
        <v>6</v>
      </c>
      <c r="BQ60" s="32">
        <f ca="1">IF(BN60&lt;Bewertung_Stammdaten!J$90,Bewertung_Stammdaten!I$90,IF(BN60&lt;Bewertung_Stammdaten!J$91,Bewertung_Stammdaten!I$91,IF(BN60&lt;Bewertung_Stammdaten!J$92,Bewertung_Stammdaten!I$92,IF(BN60&lt;Bewertung_Stammdaten!J$93,Bewertung_Stammdaten!I$93,IF(BN60&lt;Bewertung_Stammdaten!J$94,Bewertung_Stammdaten!I$94,IF(BN60&lt;Bewertung_Stammdaten!J$95,Bewertung_Stammdaten!I$95,IF(BN60&lt;Bewertung_Stammdaten!J$96,Bewertung_Stammdaten!I$96,IF(BN60&lt;Bewertung_Stammdaten!J$97,Bewertung_Stammdaten!I$97,IF(BN60&lt;Bewertung_Stammdaten!J$98,Bewertung_Stammdaten!I$98,Bewertung_Stammdaten!I$99)))))))))</f>
        <v>4</v>
      </c>
    </row>
    <row r="61" spans="1:69" x14ac:dyDescent="0.25">
      <c r="A61" s="38" t="s">
        <v>261</v>
      </c>
      <c r="B61" s="38" t="s">
        <v>262</v>
      </c>
      <c r="C61" s="38" t="s">
        <v>295</v>
      </c>
      <c r="D61" s="32">
        <f t="shared" ca="1" si="11"/>
        <v>166</v>
      </c>
      <c r="E61" s="43"/>
      <c r="F61" s="66">
        <v>1</v>
      </c>
      <c r="G61" s="11">
        <f ca="1">VLOOKUP(A61,KGV!A$3:R$103,17,FALSE)</f>
        <v>24.410217881292262</v>
      </c>
      <c r="H61" s="11">
        <f>VLOOKUP(A61,KGV!A$3:R$103,16,FALSE)</f>
        <v>18.672617464539009</v>
      </c>
      <c r="I61" s="12">
        <f ca="1">VLOOKUP(A61,KGV!A$3:R$103,18,FALSE)</f>
        <v>0.3072734943373352</v>
      </c>
      <c r="J61" s="16">
        <f t="shared" ca="1" si="12"/>
        <v>24.410217881292262</v>
      </c>
      <c r="K61" s="12">
        <f t="shared" ca="1" si="13"/>
        <v>0.3072734943373352</v>
      </c>
      <c r="L61" s="11">
        <f ca="1">VLOOKUP(A61,KBV!A$3:R$103,17,FALSE)</f>
        <v>11.920661011476708</v>
      </c>
      <c r="M61" s="11">
        <f>VLOOKUP(A61,KBV!A$3:R$103,16,FALSE)</f>
        <v>7.05078125</v>
      </c>
      <c r="N61" s="12">
        <f ca="1">VLOOKUP(A61,KBV!A$3:R$103,18,FALSE)</f>
        <v>0.69068654788810924</v>
      </c>
      <c r="O61" s="16">
        <f t="shared" ca="1" si="9"/>
        <v>12.689735915442947</v>
      </c>
      <c r="P61" s="12">
        <f t="shared" ca="1" si="10"/>
        <v>0.79976309936476153</v>
      </c>
      <c r="Q61" s="32">
        <f ca="1">IF(F61=1,IF(I61&lt;Bewertung_Stammdaten!B$12,Bewertung_Stammdaten!A$12,IF(I61&lt;Bewertung_Stammdaten!B$13,Bewertung_Stammdaten!A$13,IF(I61&lt;Bewertung_Stammdaten!B$14,Bewertung_Stammdaten!A$14,IF(I61&lt;Bewertung_Stammdaten!B$15,Bewertung_Stammdaten!A$15,IF(I61&lt;Bewertung_Stammdaten!B$16,Bewertung_Stammdaten!A$16,IF(I61&lt;Bewertung_Stammdaten!B$17,Bewertung_Stammdaten!A$17,IF(I61&lt;Bewertung_Stammdaten!B$18,Bewertung_Stammdaten!A$18,IF(I61&lt;Bewertung_Stammdaten!B$19,Bewertung_Stammdaten!A$19,IF(I61&lt;Bewertung_Stammdaten!B$20,Bewertung_Stammdaten!A$20,Bewertung_Stammdaten!A$21))))))))),IF(N61&lt;Bewertung_Stammdaten!C$12,Bewertung_Stammdaten!A$12,IF(N61&lt;Bewertung_Stammdaten!C$13,Bewertung_Stammdaten!A$13,IF(N61&lt;Bewertung_Stammdaten!C$14,Bewertung_Stammdaten!A$14,IF(N61&lt;Bewertung_Stammdaten!C$15,Bewertung_Stammdaten!A$15,IF(N61&lt;Bewertung_Stammdaten!C$16,Bewertung_Stammdaten!A$16,IF(N61&lt;Bewertung_Stammdaten!C$17,Bewertung_Stammdaten!A$17,IF(N61&lt;Bewertung_Stammdaten!C$18,Bewertung_Stammdaten!A$18,IF(N61&lt;Bewertung_Stammdaten!C$19,Bewertung_Stammdaten!A$19,IF(N61&lt;Bewertung_Stammdaten!C$20,Bewertung_Stammdaten!A$20,Bewertung_Stammdaten!A$21))))))))))</f>
        <v>6</v>
      </c>
      <c r="R61" s="32">
        <f ca="1">IF(F61=1,IF(K61&lt;Bewertung_Stammdaten!F$12,Bewertung_Stammdaten!E$12,IF(K61&lt;Bewertung_Stammdaten!F$13,Bewertung_Stammdaten!E$13,IF(K61&lt;Bewertung_Stammdaten!F$14,Bewertung_Stammdaten!E$14,IF(K61&lt;Bewertung_Stammdaten!F$15,Bewertung_Stammdaten!E$15,IF(K61&lt;Bewertung_Stammdaten!F$16,Bewertung_Stammdaten!E$16,IF(K61&lt;Bewertung_Stammdaten!F$17,Bewertung_Stammdaten!E$17,IF(K61&lt;Bewertung_Stammdaten!F$18,Bewertung_Stammdaten!E$18,IF(K61&lt;Bewertung_Stammdaten!F$19,Bewertung_Stammdaten!E$19,IF(K61&lt;Bewertung_Stammdaten!F$20,Bewertung_Stammdaten!E$20,Bewertung_Stammdaten!E$21))))))))),IF(P61&lt;Bewertung_Stammdaten!G$12,Bewertung_Stammdaten!E$12,IF(P61&lt;Bewertung_Stammdaten!G$13,Bewertung_Stammdaten!E$13,IF(P61&lt;Bewertung_Stammdaten!G$14,Bewertung_Stammdaten!E$14,IF(P61&lt;Bewertung_Stammdaten!G$15,Bewertung_Stammdaten!E$15,IF(P61&lt;Bewertung_Stammdaten!G$16,Bewertung_Stammdaten!E$16,IF(P61&lt;Bewertung_Stammdaten!G$17,Bewertung_Stammdaten!E$17,IF(P61&lt;Bewertung_Stammdaten!G$18,Bewertung_Stammdaten!E$18,IF(P61&lt;Bewertung_Stammdaten!G$19,Bewertung_Stammdaten!E$19,IF(P61&lt;Bewertung_Stammdaten!G$20,Bewertung_Stammdaten!E$20,Bewertung_Stammdaten!E$21))))))))))</f>
        <v>7.5</v>
      </c>
      <c r="S61" s="43"/>
      <c r="T61" s="11">
        <f ca="1">VLOOKUP(A61,Buchwert_je_Aktie!A$3:AK$103,23,FALSE)</f>
        <v>7.5708888888888888</v>
      </c>
      <c r="U61" s="11">
        <f>VLOOKUP(A61,Buchwert_je_Aktie!A$3:AK$103,19,FALSE)</f>
        <v>6.384444444444445</v>
      </c>
      <c r="V61" s="12">
        <f ca="1">VLOOKUP(A61,Buchwert_je_Aktie!A$3:AK$103,24,FALSE)</f>
        <v>0.18583362339018428</v>
      </c>
      <c r="W61" s="12">
        <f>VLOOKUP(A61,Buchwert_je_Aktie!A$3:AK$103,37,FALSE)</f>
        <v>-6.0606060606060552E-2</v>
      </c>
      <c r="X61" s="16">
        <f t="shared" ca="1" si="14"/>
        <v>7.1120471380471386</v>
      </c>
      <c r="Y61" s="12">
        <f t="shared" ca="1" si="15"/>
        <v>0.11396491894229444</v>
      </c>
      <c r="Z61" s="51">
        <f ca="1">IF(V61&lt;Bewertung_Stammdaten!B$25,Bewertung_Stammdaten!A$25,IF(V61&lt;Bewertung_Stammdaten!B$26,Bewertung_Stammdaten!A$26,IF(V61&lt;Bewertung_Stammdaten!B$27,Bewertung_Stammdaten!A$27,IF(V61&lt;Bewertung_Stammdaten!B$28,Bewertung_Stammdaten!A$28,IF(V61&lt;Bewertung_Stammdaten!B$29,Bewertung_Stammdaten!A$29,IF(V61&lt;Bewertung_Stammdaten!B$30,Bewertung_Stammdaten!A$30,IF(V61&lt;Bewertung_Stammdaten!B$31,Bewertung_Stammdaten!A$31,IF(V61&lt;Bewertung_Stammdaten!B$32,Bewertung_Stammdaten!A$32,IF(V61&lt;Bewertung_Stammdaten!B$33,Bewertung_Stammdaten!A$33,Bewertung_Stammdaten!A$34)))))))))</f>
        <v>6</v>
      </c>
      <c r="AA61" s="51">
        <f>IF(W61&lt;Bewertung_Stammdaten!F$25,Bewertung_Stammdaten!E$25,IF(W61&lt;Bewertung_Stammdaten!F$26,Bewertung_Stammdaten!E$26,IF(W61&lt;Bewertung_Stammdaten!F$27,Bewertung_Stammdaten!E$27,IF(W61&lt;Bewertung_Stammdaten!F$28,Bewertung_Stammdaten!E$28,IF(W61&lt;Bewertung_Stammdaten!F$29,Bewertung_Stammdaten!E$29,IF(W61&lt;Bewertung_Stammdaten!F$30,Bewertung_Stammdaten!E$30,IF(W61&lt;Bewertung_Stammdaten!F$31,Bewertung_Stammdaten!E$31,IF(W61&lt;Bewertung_Stammdaten!F$32,Bewertung_Stammdaten!E$32,IF(W61&lt;Bewertung_Stammdaten!F$33,Bewertung_Stammdaten!E$33,Bewertung_Stammdaten!E$34)))))))))</f>
        <v>9</v>
      </c>
      <c r="AB61" s="51">
        <f ca="1">IF(Y61&lt;Bewertung_Stammdaten!J$25,Bewertung_Stammdaten!I$25,IF(Y61&lt;Bewertung_Stammdaten!J$26,Bewertung_Stammdaten!I$26,IF(Y61&lt;Bewertung_Stammdaten!J$27,Bewertung_Stammdaten!I$27,IF(Y61&lt;Bewertung_Stammdaten!J$28,Bewertung_Stammdaten!I$28,IF(Y61&lt;Bewertung_Stammdaten!J$29,Bewertung_Stammdaten!I$29,IF(Y61&lt;Bewertung_Stammdaten!J$30,Bewertung_Stammdaten!I$30,IF(Y61&lt;Bewertung_Stammdaten!J$31,Bewertung_Stammdaten!I$31,IF(Y61&lt;Bewertung_Stammdaten!J$32,Bewertung_Stammdaten!I$32,IF(Y61&lt;Bewertung_Stammdaten!J$33,Bewertung_Stammdaten!I$33,Bewertung_Stammdaten!I$34)))))))))</f>
        <v>4</v>
      </c>
      <c r="AC61" s="43"/>
      <c r="AD61" s="14">
        <f ca="1">VLOOKUP(A61,Ergebnis_je_Aktie_verwässert!A$3:AK$103,23,FALSE)</f>
        <v>3.697222222222222</v>
      </c>
      <c r="AE61" s="14">
        <f>VLOOKUP(A61,Ergebnis_je_Aktie_verwässert!A$3:AK$103,19,FALSE)</f>
        <v>2.226666666666667</v>
      </c>
      <c r="AF61" s="12">
        <f ca="1">VLOOKUP(A61,Ergebnis_je_Aktie_verwässert!A$3:AK$103,24,FALSE)</f>
        <v>0.66042914171656641</v>
      </c>
      <c r="AG61" s="40">
        <f>VLOOKUP(A61,Ergebnis_je_Aktie_verwässert!A$3:AK$103,37,FALSE)</f>
        <v>5.6737588652482351E-2</v>
      </c>
      <c r="AH61" s="16">
        <f t="shared" ca="1" si="16"/>
        <v>3.697222222222222</v>
      </c>
      <c r="AI61" s="12">
        <f t="shared" ca="1" si="17"/>
        <v>0.66042914171656641</v>
      </c>
      <c r="AJ61" s="32">
        <f ca="1">IF(AF61&lt;Bewertung_Stammdaten!B$38,Bewertung_Stammdaten!A$38,IF(AF61&lt;Bewertung_Stammdaten!B$39,Bewertung_Stammdaten!A$39,IF(AF61&lt;Bewertung_Stammdaten!B$40,Bewertung_Stammdaten!A$40,IF(AF61&lt;Bewertung_Stammdaten!B$41,Bewertung_Stammdaten!A$41,IF(AF61&lt;Bewertung_Stammdaten!B$42,Bewertung_Stammdaten!A$42,IF(AF61&lt;Bewertung_Stammdaten!B$43,Bewertung_Stammdaten!A$43,IF(AF61&lt;Bewertung_Stammdaten!B$44,Bewertung_Stammdaten!A$44,IF(AF61&lt;Bewertung_Stammdaten!B$45,Bewertung_Stammdaten!A$45,IF(AF61&lt;Bewertung_Stammdaten!B$46,Bewertung_Stammdaten!A$46,Bewertung_Stammdaten!A$47)))))))))</f>
        <v>20</v>
      </c>
      <c r="AK61" s="32">
        <f>IF(AG61&lt;Bewertung_Stammdaten!F$38,Bewertung_Stammdaten!E$38,IF(AG61&lt;Bewertung_Stammdaten!F$39,Bewertung_Stammdaten!E$39,IF(AG61&lt;Bewertung_Stammdaten!F$40,Bewertung_Stammdaten!E$40,IF(AG61&lt;Bewertung_Stammdaten!F$41,Bewertung_Stammdaten!E$41,IF(AG61&lt;Bewertung_Stammdaten!F$42,Bewertung_Stammdaten!E$42,IF(AG61&lt;Bewertung_Stammdaten!F$43,Bewertung_Stammdaten!E$43,IF(AG61&lt;Bewertung_Stammdaten!F$44,Bewertung_Stammdaten!E$44,IF(AG61&lt;Bewertung_Stammdaten!F$45,Bewertung_Stammdaten!E$45,IF(AG61&lt;Bewertung_Stammdaten!F$46,Bewertung_Stammdaten!E$46,Bewertung_Stammdaten!E$47)))))))))</f>
        <v>12</v>
      </c>
      <c r="AL61" s="32">
        <f ca="1">IF(AI61&lt;Bewertung_Stammdaten!J$38,Bewertung_Stammdaten!I$38,IF(AI61&lt;Bewertung_Stammdaten!J$39,Bewertung_Stammdaten!I$39,IF(AI61&lt;Bewertung_Stammdaten!J$40,Bewertung_Stammdaten!I$40,IF(AI61&lt;Bewertung_Stammdaten!J$41,Bewertung_Stammdaten!I$41,IF(AI61&lt;Bewertung_Stammdaten!J$42,Bewertung_Stammdaten!I$42,IF(AI61&lt;Bewertung_Stammdaten!J$43,Bewertung_Stammdaten!I$43,IF(AI61&lt;Bewertung_Stammdaten!J$44,Bewertung_Stammdaten!I$44,IF(AI61&lt;Bewertung_Stammdaten!J$45,Bewertung_Stammdaten!I$45,IF(AI61&lt;Bewertung_Stammdaten!J$46,Bewertung_Stammdaten!I$46,Bewertung_Stammdaten!I$47)))))))))</f>
        <v>10</v>
      </c>
      <c r="AM61" s="43"/>
      <c r="AN61" s="14">
        <f ca="1">VLOOKUP(A61,Dividende_je_Aktie!A$3:AM$103,24,FALSE)</f>
        <v>0.56677777777777782</v>
      </c>
      <c r="AO61" s="14">
        <f>VLOOKUP(A61,Dividende_je_Aktie!A$3:AM$103,20,FALSE)</f>
        <v>0.27500000000000002</v>
      </c>
      <c r="AP61" s="12">
        <f ca="1">VLOOKUP(A61,Dividende_je_Aktie!A$3:AM$103,25,FALSE)</f>
        <v>1.0610101010101012</v>
      </c>
      <c r="AQ61" s="40">
        <f>VLOOKUP(A61,Dividende_je_Aktie!A$3:AM$103,39,FALSE)</f>
        <v>0</v>
      </c>
      <c r="AR61" s="16">
        <f t="shared" ca="1" si="18"/>
        <v>0.56677777777777782</v>
      </c>
      <c r="AS61" s="12">
        <f t="shared" ca="1" si="19"/>
        <v>1.0610101010101012</v>
      </c>
      <c r="AT61" s="32">
        <f ca="1">IF(AP61&lt;Bewertung_Stammdaten!B$51,Bewertung_Stammdaten!A$51,IF(AP61&lt;Bewertung_Stammdaten!B$52,Bewertung_Stammdaten!A$52,IF(AP61&lt;Bewertung_Stammdaten!B$53,Bewertung_Stammdaten!A$53,IF(AP61&lt;Bewertung_Stammdaten!B$54,Bewertung_Stammdaten!A$54,IF(AP61&lt;Bewertung_Stammdaten!B$55,Bewertung_Stammdaten!A$55,IF(AP61&lt;Bewertung_Stammdaten!B$56,Bewertung_Stammdaten!A$56,IF(AP61&lt;Bewertung_Stammdaten!B$57,Bewertung_Stammdaten!A$57,IF(AP61&lt;Bewertung_Stammdaten!B$58,Bewertung_Stammdaten!A$58,IF(AP61&lt;Bewertung_Stammdaten!B$59,Bewertung_Stammdaten!A$59,Bewertung_Stammdaten!A$60)))))))))</f>
        <v>20</v>
      </c>
      <c r="AU61" s="32">
        <f>IF(AQ61&lt;Bewertung_Stammdaten!F$51,Bewertung_Stammdaten!E$51,IF(AQ61&lt;Bewertung_Stammdaten!F$52,Bewertung_Stammdaten!E$52,IF(AQ61&lt;Bewertung_Stammdaten!F$53,Bewertung_Stammdaten!E$53,IF(AQ61&lt;Bewertung_Stammdaten!F$54,Bewertung_Stammdaten!E$54,IF(AQ61&lt;Bewertung_Stammdaten!F$55,Bewertung_Stammdaten!E$55,IF(AQ61&lt;Bewertung_Stammdaten!F$56,Bewertung_Stammdaten!E$56,IF(AQ61&lt;Bewertung_Stammdaten!F$57,Bewertung_Stammdaten!E$57,IF(AQ61&lt;Bewertung_Stammdaten!F$58,Bewertung_Stammdaten!E$58,IF(AQ61&lt;Bewertung_Stammdaten!F$59,Bewertung_Stammdaten!E$59,Bewertung_Stammdaten!E$60)))))))))</f>
        <v>12</v>
      </c>
      <c r="AV61" s="32">
        <f ca="1">IF(AS61&lt;Bewertung_Stammdaten!J$51,Bewertung_Stammdaten!I$51,IF(AS61&lt;Bewertung_Stammdaten!J$52,Bewertung_Stammdaten!I$52,IF(AS61&lt;Bewertung_Stammdaten!J$53,Bewertung_Stammdaten!I$53,IF(AS61&lt;Bewertung_Stammdaten!J$54,Bewertung_Stammdaten!I$54,IF(AS61&lt;Bewertung_Stammdaten!J$55,Bewertung_Stammdaten!I$55,IF(AS61&lt;Bewertung_Stammdaten!J$56,Bewertung_Stammdaten!I$56,IF(AS61&lt;Bewertung_Stammdaten!J$57,Bewertung_Stammdaten!I$57,IF(AS61&lt;Bewertung_Stammdaten!J$58,Bewertung_Stammdaten!I$58,IF(AS61&lt;Bewertung_Stammdaten!J$59,Bewertung_Stammdaten!I$59,Bewertung_Stammdaten!I$60)))))))))</f>
        <v>10</v>
      </c>
      <c r="AW61" s="43"/>
      <c r="AX61" s="12">
        <f ca="1">VLOOKUP(A61,Dividendenrendite!A$3:R$103,17,FALSE)</f>
        <v>6.2800861803631895E-3</v>
      </c>
      <c r="AY61" s="12">
        <f>VLOOKUP(A61,Dividendenrendite!A$3:R$103,16,FALSE)</f>
        <v>3.7247717697040362E-3</v>
      </c>
      <c r="AZ61" s="12">
        <f ca="1">VLOOKUP(A61,Dividendenrendite!A$3:R$103,18,FALSE)</f>
        <v>0.68603247894090269</v>
      </c>
      <c r="BA61" s="32">
        <f ca="1">IF(AX61&lt;Bewertung_Stammdaten!B$64,Bewertung_Stammdaten!A$64,IF(AX61&lt;Bewertung_Stammdaten!B$65,Bewertung_Stammdaten!A$65,IF(AX61&lt;Bewertung_Stammdaten!B$66,Bewertung_Stammdaten!A$66,IF(AX61&lt;Bewertung_Stammdaten!B$67,Bewertung_Stammdaten!A$67,IF(AX61&lt;Bewertung_Stammdaten!B$68,Bewertung_Stammdaten!A$68,IF(AX61&lt;Bewertung_Stammdaten!B$69,Bewertung_Stammdaten!A$69,IF(AX61&lt;Bewertung_Stammdaten!B$70,Bewertung_Stammdaten!A$70,IF(AX61&lt;Bewertung_Stammdaten!B$71,Bewertung_Stammdaten!A$71,IF(AX61&lt;Bewertung_Stammdaten!B$72,Bewertung_Stammdaten!A$72,Bewertung_Stammdaten!A$73)))))))))</f>
        <v>3</v>
      </c>
      <c r="BB61" s="32">
        <f>IF(AY61&lt;Bewertung_Stammdaten!F$64,Bewertung_Stammdaten!E$64,IF(AY61&lt;Bewertung_Stammdaten!F$65,Bewertung_Stammdaten!E$65,IF(AY61&lt;Bewertung_Stammdaten!F$66,Bewertung_Stammdaten!E$66,IF(AY61&lt;Bewertung_Stammdaten!F$67,Bewertung_Stammdaten!E$67,IF(AY61&lt;Bewertung_Stammdaten!F$68,Bewertung_Stammdaten!E$68,IF(AY61&lt;Bewertung_Stammdaten!F$69,Bewertung_Stammdaten!E$69,IF(AY61&lt;Bewertung_Stammdaten!F$70,Bewertung_Stammdaten!E$70,IF(AY61&lt;Bewertung_Stammdaten!F$71,Bewertung_Stammdaten!E$71,IF(AY61&lt;Bewertung_Stammdaten!F$72,Bewertung_Stammdaten!E$72,Bewertung_Stammdaten!E$73)))))))))</f>
        <v>1</v>
      </c>
      <c r="BC61" s="32">
        <f ca="1">IF(AZ61&lt;Bewertung_Stammdaten!J$64,Bewertung_Stammdaten!I$64,IF(AZ61&lt;Bewertung_Stammdaten!J$65,Bewertung_Stammdaten!I$65,IF(AZ61&lt;Bewertung_Stammdaten!J$66,Bewertung_Stammdaten!I$66,IF(AZ61&lt;Bewertung_Stammdaten!J$67,Bewertung_Stammdaten!I$67,IF(AZ61&lt;Bewertung_Stammdaten!J$68,Bewertung_Stammdaten!I$68,IF(AZ61&lt;Bewertung_Stammdaten!J$69,Bewertung_Stammdaten!I$69,IF(AZ61&lt;Bewertung_Stammdaten!J$70,Bewertung_Stammdaten!I$70,IF(AZ61&lt;Bewertung_Stammdaten!J$71,Bewertung_Stammdaten!I$71,IF(AZ61&lt;Bewertung_Stammdaten!J$72,Bewertung_Stammdaten!I$72,Bewertung_Stammdaten!I$73)))))))))</f>
        <v>5</v>
      </c>
      <c r="BD61" s="43"/>
      <c r="BE61" s="12">
        <f>VLOOKUP(A61,Aktien_im_Umlauf_splitbereinigt!A$3:Z$103,26,FALSE)</f>
        <v>-3.4338358458961493E-2</v>
      </c>
      <c r="BF61" s="12">
        <f>VLOOKUP(A61,Aktien_im_Umlauf_splitbereinigt!A$3:Y$103,24,FALSE)</f>
        <v>-2.328448640785823E-2</v>
      </c>
      <c r="BG61" s="12">
        <f>VLOOKUP(A61,Aktien_im_Umlauf_splitbereinigt!A$3:Y$103,25,FALSE)</f>
        <v>0.47473119473112857</v>
      </c>
      <c r="BH61" s="41">
        <f>IF(BE61&lt;Bewertung_Stammdaten!B$77,Bewertung_Stammdaten!A$77,IF(BE61&lt;Bewertung_Stammdaten!B$78,Bewertung_Stammdaten!A$78,IF(BE61&lt;Bewertung_Stammdaten!B$79,Bewertung_Stammdaten!A$79,IF(BE61&lt;Bewertung_Stammdaten!B$80,Bewertung_Stammdaten!A$80,IF(BE61&lt;Bewertung_Stammdaten!B$81,Bewertung_Stammdaten!A$81,IF(BE61&lt;Bewertung_Stammdaten!B$82,Bewertung_Stammdaten!A$82,IF(BE61&lt;Bewertung_Stammdaten!B$83,Bewertung_Stammdaten!A$83,IF(BE61&lt;Bewertung_Stammdaten!B$84,Bewertung_Stammdaten!A$84,IF(BE61&lt;Bewertung_Stammdaten!B$85,Bewertung_Stammdaten!A$85,Bewertung_Stammdaten!A$86)))))))))</f>
        <v>9</v>
      </c>
      <c r="BI61" s="41">
        <f>IF(BF61&lt;Bewertung_Stammdaten!F$77,Bewertung_Stammdaten!E$77,IF(BF61&lt;Bewertung_Stammdaten!F$78,Bewertung_Stammdaten!E$78,IF(BF61&lt;Bewertung_Stammdaten!F$79,Bewertung_Stammdaten!E$79,IF(BF61&lt;Bewertung_Stammdaten!F$80,Bewertung_Stammdaten!E$80,IF(BF61&lt;Bewertung_Stammdaten!F$81,Bewertung_Stammdaten!E$81,IF(BF61&lt;Bewertung_Stammdaten!F$82,Bewertung_Stammdaten!E$82,IF(BF61&lt;Bewertung_Stammdaten!F$83,Bewertung_Stammdaten!E$83,IF(BF61&lt;Bewertung_Stammdaten!F$84,Bewertung_Stammdaten!E$84,IF(BF61&lt;Bewertung_Stammdaten!F$85,Bewertung_Stammdaten!E$85,Bewertung_Stammdaten!E$86)))))))))</f>
        <v>7</v>
      </c>
      <c r="BJ61" s="41">
        <f>IF(BG61&lt;Bewertung_Stammdaten!J$77,Bewertung_Stammdaten!I$77,IF(BG61&lt;Bewertung_Stammdaten!J$78,Bewertung_Stammdaten!I$78,IF(BG61&lt;Bewertung_Stammdaten!J$79,Bewertung_Stammdaten!I$79,IF(BG61&lt;Bewertung_Stammdaten!J$80,Bewertung_Stammdaten!I$80,IF(BG61&lt;Bewertung_Stammdaten!J$81,Bewertung_Stammdaten!I$81,IF(BG61&lt;Bewertung_Stammdaten!J$82,Bewertung_Stammdaten!I$82,IF(BG61&lt;Bewertung_Stammdaten!J$83,Bewertung_Stammdaten!I$83,IF(BG61&lt;Bewertung_Stammdaten!J$84,Bewertung_Stammdaten!I$84,IF(BG61&lt;Bewertung_Stammdaten!J$85,Bewertung_Stammdaten!I$85,Bewertung_Stammdaten!I$86)))))))))</f>
        <v>3.5</v>
      </c>
      <c r="BK61" s="43"/>
      <c r="BL61" s="12">
        <f ca="1">VLOOKUP(A61,Ausschüttungsquote!A$3:X$103,23,FALSE)</f>
        <v>0.15424957388468952</v>
      </c>
      <c r="BM61" s="12">
        <f>VLOOKUP(A61,Ausschüttungsquote!A$3:X$103,19,FALSE)</f>
        <v>8.9238185709225398E-2</v>
      </c>
      <c r="BN61" s="12">
        <f ca="1">VLOOKUP(A61,Ausschüttungsquote!A$3:X$103,24,FALSE)</f>
        <v>0.72851535089807729</v>
      </c>
      <c r="BO61" s="32">
        <f ca="1">IF(BL61&lt;Bewertung_Stammdaten!B$90,Bewertung_Stammdaten!A$90,IF(BL61&lt;Bewertung_Stammdaten!B$91,Bewertung_Stammdaten!A$91,IF(BL61&lt;Bewertung_Stammdaten!B$92,Bewertung_Stammdaten!A$92,IF(BL61&lt;Bewertung_Stammdaten!B$93,Bewertung_Stammdaten!A$93,IF(BL61&lt;Bewertung_Stammdaten!B$94,Bewertung_Stammdaten!A$94,IF(BL61&lt;Bewertung_Stammdaten!B$95,Bewertung_Stammdaten!A$95,IF(BL61&lt;Bewertung_Stammdaten!B$96,Bewertung_Stammdaten!A$96,IF(BL61&lt;Bewertung_Stammdaten!B$97,Bewertung_Stammdaten!A$97,IF(BL61&lt;Bewertung_Stammdaten!B$98,Bewertung_Stammdaten!A$98,Bewertung_Stammdaten!A$99)))))))))</f>
        <v>10</v>
      </c>
      <c r="BP61" s="41">
        <f>IF(BM61&lt;Bewertung_Stammdaten!F$90,Bewertung_Stammdaten!E$90,IF(BM61&lt;Bewertung_Stammdaten!F$91,Bewertung_Stammdaten!E$91,IF(BM61&lt;Bewertung_Stammdaten!F$92,Bewertung_Stammdaten!E$92,IF(BM61&lt;Bewertung_Stammdaten!F$93,Bewertung_Stammdaten!E$93,IF(BM61&lt;Bewertung_Stammdaten!F$94,Bewertung_Stammdaten!E$94,IF(BM61&lt;Bewertung_Stammdaten!F$95,Bewertung_Stammdaten!E$95,IF(BM61&lt;Bewertung_Stammdaten!F$96,Bewertung_Stammdaten!E$96,IF(BM61&lt;Bewertung_Stammdaten!F$97,Bewertung_Stammdaten!E$97,IF(BM61&lt;Bewertung_Stammdaten!F$98,Bewertung_Stammdaten!E$98,Bewertung_Stammdaten!E$99)))))))))</f>
        <v>10</v>
      </c>
      <c r="BQ61" s="32">
        <f ca="1">IF(BN61&lt;Bewertung_Stammdaten!J$90,Bewertung_Stammdaten!I$90,IF(BN61&lt;Bewertung_Stammdaten!J$91,Bewertung_Stammdaten!I$91,IF(BN61&lt;Bewertung_Stammdaten!J$92,Bewertung_Stammdaten!I$92,IF(BN61&lt;Bewertung_Stammdaten!J$93,Bewertung_Stammdaten!I$93,IF(BN61&lt;Bewertung_Stammdaten!J$94,Bewertung_Stammdaten!I$94,IF(BN61&lt;Bewertung_Stammdaten!J$95,Bewertung_Stammdaten!I$95,IF(BN61&lt;Bewertung_Stammdaten!J$96,Bewertung_Stammdaten!I$96,IF(BN61&lt;Bewertung_Stammdaten!J$97,Bewertung_Stammdaten!I$97,IF(BN61&lt;Bewertung_Stammdaten!J$98,Bewertung_Stammdaten!I$98,Bewertung_Stammdaten!I$99)))))))))</f>
        <v>1</v>
      </c>
    </row>
    <row r="62" spans="1:69" x14ac:dyDescent="0.25">
      <c r="A62" s="38" t="s">
        <v>263</v>
      </c>
      <c r="B62" s="38" t="s">
        <v>264</v>
      </c>
      <c r="C62" s="38" t="s">
        <v>295</v>
      </c>
      <c r="D62" s="32">
        <f t="shared" ca="1" si="11"/>
        <v>137.5</v>
      </c>
      <c r="E62" s="43"/>
      <c r="F62" s="66">
        <v>1</v>
      </c>
      <c r="G62" s="11">
        <f ca="1">VLOOKUP(A62,KGV!A$3:R$103,17,FALSE)</f>
        <v>22.478556983798612</v>
      </c>
      <c r="H62" s="11">
        <f>VLOOKUP(A62,KGV!A$3:R$103,16,FALSE)</f>
        <v>17.936284583476045</v>
      </c>
      <c r="I62" s="12">
        <f ca="1">VLOOKUP(A62,KGV!A$3:R$103,18,FALSE)</f>
        <v>0.25324488910636345</v>
      </c>
      <c r="J62" s="16">
        <f t="shared" ca="1" si="12"/>
        <v>31.013196266417332</v>
      </c>
      <c r="K62" s="12">
        <f t="shared" ca="1" si="13"/>
        <v>0.72907583630717498</v>
      </c>
      <c r="L62" s="11">
        <f ca="1">VLOOKUP(A62,KBV!A$3:R$103,17,FALSE)</f>
        <v>-48.998049299521199</v>
      </c>
      <c r="M62" s="11">
        <f>VLOOKUP(A62,KBV!A$3:R$103,16,FALSE)</f>
        <v>-21.067307692307693</v>
      </c>
      <c r="N62" s="12">
        <f ca="1">VLOOKUP(A62,KBV!A$3:R$103,18,FALSE)</f>
        <v>-1.325786000524968</v>
      </c>
      <c r="O62" s="16">
        <f t="shared" ca="1" si="9"/>
        <v>9.4227017883694604</v>
      </c>
      <c r="P62" s="12">
        <f t="shared" ca="1" si="10"/>
        <v>-1.4472665385624937</v>
      </c>
      <c r="Q62" s="32">
        <f ca="1">IF(F62=1,IF(I62&lt;Bewertung_Stammdaten!B$12,Bewertung_Stammdaten!A$12,IF(I62&lt;Bewertung_Stammdaten!B$13,Bewertung_Stammdaten!A$13,IF(I62&lt;Bewertung_Stammdaten!B$14,Bewertung_Stammdaten!A$14,IF(I62&lt;Bewertung_Stammdaten!B$15,Bewertung_Stammdaten!A$15,IF(I62&lt;Bewertung_Stammdaten!B$16,Bewertung_Stammdaten!A$16,IF(I62&lt;Bewertung_Stammdaten!B$17,Bewertung_Stammdaten!A$17,IF(I62&lt;Bewertung_Stammdaten!B$18,Bewertung_Stammdaten!A$18,IF(I62&lt;Bewertung_Stammdaten!B$19,Bewertung_Stammdaten!A$19,IF(I62&lt;Bewertung_Stammdaten!B$20,Bewertung_Stammdaten!A$20,Bewertung_Stammdaten!A$21))))))))),IF(N62&lt;Bewertung_Stammdaten!C$12,Bewertung_Stammdaten!A$12,IF(N62&lt;Bewertung_Stammdaten!C$13,Bewertung_Stammdaten!A$13,IF(N62&lt;Bewertung_Stammdaten!C$14,Bewertung_Stammdaten!A$14,IF(N62&lt;Bewertung_Stammdaten!C$15,Bewertung_Stammdaten!A$15,IF(N62&lt;Bewertung_Stammdaten!C$16,Bewertung_Stammdaten!A$16,IF(N62&lt;Bewertung_Stammdaten!C$17,Bewertung_Stammdaten!A$17,IF(N62&lt;Bewertung_Stammdaten!C$18,Bewertung_Stammdaten!A$18,IF(N62&lt;Bewertung_Stammdaten!C$19,Bewertung_Stammdaten!A$19,IF(N62&lt;Bewertung_Stammdaten!C$20,Bewertung_Stammdaten!A$20,Bewertung_Stammdaten!A$21))))))))))</f>
        <v>6</v>
      </c>
      <c r="R62" s="32">
        <f ca="1">IF(F62=1,IF(K62&lt;Bewertung_Stammdaten!F$12,Bewertung_Stammdaten!E$12,IF(K62&lt;Bewertung_Stammdaten!F$13,Bewertung_Stammdaten!E$13,IF(K62&lt;Bewertung_Stammdaten!F$14,Bewertung_Stammdaten!E$14,IF(K62&lt;Bewertung_Stammdaten!F$15,Bewertung_Stammdaten!E$15,IF(K62&lt;Bewertung_Stammdaten!F$16,Bewertung_Stammdaten!E$16,IF(K62&lt;Bewertung_Stammdaten!F$17,Bewertung_Stammdaten!E$17,IF(K62&lt;Bewertung_Stammdaten!F$18,Bewertung_Stammdaten!E$18,IF(K62&lt;Bewertung_Stammdaten!F$19,Bewertung_Stammdaten!E$19,IF(K62&lt;Bewertung_Stammdaten!F$20,Bewertung_Stammdaten!E$20,Bewertung_Stammdaten!E$21))))))))),IF(P62&lt;Bewertung_Stammdaten!G$12,Bewertung_Stammdaten!E$12,IF(P62&lt;Bewertung_Stammdaten!G$13,Bewertung_Stammdaten!E$13,IF(P62&lt;Bewertung_Stammdaten!G$14,Bewertung_Stammdaten!E$14,IF(P62&lt;Bewertung_Stammdaten!G$15,Bewertung_Stammdaten!E$15,IF(P62&lt;Bewertung_Stammdaten!G$16,Bewertung_Stammdaten!E$16,IF(P62&lt;Bewertung_Stammdaten!G$17,Bewertung_Stammdaten!E$17,IF(P62&lt;Bewertung_Stammdaten!G$18,Bewertung_Stammdaten!E$18,IF(P62&lt;Bewertung_Stammdaten!G$19,Bewertung_Stammdaten!E$19,IF(P62&lt;Bewertung_Stammdaten!G$20,Bewertung_Stammdaten!E$20,Bewertung_Stammdaten!E$21))))))))))</f>
        <v>2.5</v>
      </c>
      <c r="S62" s="43"/>
      <c r="T62" s="11">
        <f ca="1">VLOOKUP(A62,Buchwert_je_Aktie!A$3:AK$103,23,FALSE)</f>
        <v>-2.1929444444444441</v>
      </c>
      <c r="U62" s="11">
        <f>VLOOKUP(A62,Buchwert_je_Aktie!A$3:AK$103,19,FALSE)</f>
        <v>-1.2476923076923077</v>
      </c>
      <c r="V62" s="12">
        <f ca="1">VLOOKUP(A62,Buchwert_je_Aktie!A$3:AK$103,24,FALSE)</f>
        <v>-0.75760035621317967</v>
      </c>
      <c r="W62" s="12">
        <f>VLOOKUP(A62,Buchwert_je_Aktie!A$3:AK$103,37,FALSE)</f>
        <v>-6.2</v>
      </c>
      <c r="X62" s="16">
        <f t="shared" ca="1" si="14"/>
        <v>-11.40331111111111</v>
      </c>
      <c r="Y62" s="12">
        <f t="shared" si="15"/>
        <v>-99.999989999999997</v>
      </c>
      <c r="Z62" s="51">
        <f ca="1">IF(V62&lt;Bewertung_Stammdaten!B$25,Bewertung_Stammdaten!A$25,IF(V62&lt;Bewertung_Stammdaten!B$26,Bewertung_Stammdaten!A$26,IF(V62&lt;Bewertung_Stammdaten!B$27,Bewertung_Stammdaten!A$27,IF(V62&lt;Bewertung_Stammdaten!B$28,Bewertung_Stammdaten!A$28,IF(V62&lt;Bewertung_Stammdaten!B$29,Bewertung_Stammdaten!A$29,IF(V62&lt;Bewertung_Stammdaten!B$30,Bewertung_Stammdaten!A$30,IF(V62&lt;Bewertung_Stammdaten!B$31,Bewertung_Stammdaten!A$31,IF(V62&lt;Bewertung_Stammdaten!B$32,Bewertung_Stammdaten!A$32,IF(V62&lt;Bewertung_Stammdaten!B$33,Bewertung_Stammdaten!A$33,Bewertung_Stammdaten!A$34)))))))))</f>
        <v>1.5</v>
      </c>
      <c r="AA62" s="51">
        <f>IF(W62&lt;Bewertung_Stammdaten!F$25,Bewertung_Stammdaten!E$25,IF(W62&lt;Bewertung_Stammdaten!F$26,Bewertung_Stammdaten!E$26,IF(W62&lt;Bewertung_Stammdaten!F$27,Bewertung_Stammdaten!E$27,IF(W62&lt;Bewertung_Stammdaten!F$28,Bewertung_Stammdaten!E$28,IF(W62&lt;Bewertung_Stammdaten!F$29,Bewertung_Stammdaten!E$29,IF(W62&lt;Bewertung_Stammdaten!F$30,Bewertung_Stammdaten!E$30,IF(W62&lt;Bewertung_Stammdaten!F$31,Bewertung_Stammdaten!E$31,IF(W62&lt;Bewertung_Stammdaten!F$32,Bewertung_Stammdaten!E$32,IF(W62&lt;Bewertung_Stammdaten!F$33,Bewertung_Stammdaten!E$33,Bewertung_Stammdaten!E$34)))))))))</f>
        <v>1.5</v>
      </c>
      <c r="AB62" s="51">
        <f>IF(Y62&lt;Bewertung_Stammdaten!J$25,Bewertung_Stammdaten!I$25,IF(Y62&lt;Bewertung_Stammdaten!J$26,Bewertung_Stammdaten!I$26,IF(Y62&lt;Bewertung_Stammdaten!J$27,Bewertung_Stammdaten!I$27,IF(Y62&lt;Bewertung_Stammdaten!J$28,Bewertung_Stammdaten!I$28,IF(Y62&lt;Bewertung_Stammdaten!J$29,Bewertung_Stammdaten!I$29,IF(Y62&lt;Bewertung_Stammdaten!J$30,Bewertung_Stammdaten!I$30,IF(Y62&lt;Bewertung_Stammdaten!J$31,Bewertung_Stammdaten!I$31,IF(Y62&lt;Bewertung_Stammdaten!J$32,Bewertung_Stammdaten!I$32,IF(Y62&lt;Bewertung_Stammdaten!J$33,Bewertung_Stammdaten!I$33,Bewertung_Stammdaten!I$34)))))))))</f>
        <v>1</v>
      </c>
      <c r="AC62" s="43"/>
      <c r="AD62" s="14">
        <f ca="1">VLOOKUP(A62,Ergebnis_je_Aktie_verwässert!A$3:AK$103,23,FALSE)</f>
        <v>4.7801111111111112</v>
      </c>
      <c r="AE62" s="14">
        <f>VLOOKUP(A62,Ergebnis_je_Aktie_verwässert!A$3:AK$103,19,FALSE)</f>
        <v>3.224615384615384</v>
      </c>
      <c r="AF62" s="12">
        <f ca="1">VLOOKUP(A62,Ergebnis_je_Aktie_verwässert!A$3:AK$103,24,FALSE)</f>
        <v>0.48238178541136589</v>
      </c>
      <c r="AG62" s="40">
        <f>VLOOKUP(A62,Ergebnis_je_Aktie_verwässert!A$3:AK$103,37,FALSE)</f>
        <v>-0.27519379844961234</v>
      </c>
      <c r="AH62" s="16">
        <f t="shared" ca="1" si="16"/>
        <v>3.4646541774332476</v>
      </c>
      <c r="AI62" s="12">
        <f t="shared" ca="1" si="17"/>
        <v>7.4439511131493941E-2</v>
      </c>
      <c r="AJ62" s="32">
        <f ca="1">IF(AF62&lt;Bewertung_Stammdaten!B$38,Bewertung_Stammdaten!A$38,IF(AF62&lt;Bewertung_Stammdaten!B$39,Bewertung_Stammdaten!A$39,IF(AF62&lt;Bewertung_Stammdaten!B$40,Bewertung_Stammdaten!A$40,IF(AF62&lt;Bewertung_Stammdaten!B$41,Bewertung_Stammdaten!A$41,IF(AF62&lt;Bewertung_Stammdaten!B$42,Bewertung_Stammdaten!A$42,IF(AF62&lt;Bewertung_Stammdaten!B$43,Bewertung_Stammdaten!A$43,IF(AF62&lt;Bewertung_Stammdaten!B$44,Bewertung_Stammdaten!A$44,IF(AF62&lt;Bewertung_Stammdaten!B$45,Bewertung_Stammdaten!A$45,IF(AF62&lt;Bewertung_Stammdaten!B$46,Bewertung_Stammdaten!A$46,Bewertung_Stammdaten!A$47)))))))))</f>
        <v>16</v>
      </c>
      <c r="AK62" s="32">
        <f>IF(AG62&lt;Bewertung_Stammdaten!F$38,Bewertung_Stammdaten!E$38,IF(AG62&lt;Bewertung_Stammdaten!F$39,Bewertung_Stammdaten!E$39,IF(AG62&lt;Bewertung_Stammdaten!F$40,Bewertung_Stammdaten!E$40,IF(AG62&lt;Bewertung_Stammdaten!F$41,Bewertung_Stammdaten!E$41,IF(AG62&lt;Bewertung_Stammdaten!F$42,Bewertung_Stammdaten!E$42,IF(AG62&lt;Bewertung_Stammdaten!F$43,Bewertung_Stammdaten!E$43,IF(AG62&lt;Bewertung_Stammdaten!F$44,Bewertung_Stammdaten!E$44,IF(AG62&lt;Bewertung_Stammdaten!F$45,Bewertung_Stammdaten!E$45,IF(AG62&lt;Bewertung_Stammdaten!F$46,Bewertung_Stammdaten!E$46,Bewertung_Stammdaten!E$47)))))))))</f>
        <v>7.5</v>
      </c>
      <c r="AL62" s="32">
        <f ca="1">IF(AI62&lt;Bewertung_Stammdaten!J$38,Bewertung_Stammdaten!I$38,IF(AI62&lt;Bewertung_Stammdaten!J$39,Bewertung_Stammdaten!I$39,IF(AI62&lt;Bewertung_Stammdaten!J$40,Bewertung_Stammdaten!I$40,IF(AI62&lt;Bewertung_Stammdaten!J$41,Bewertung_Stammdaten!I$41,IF(AI62&lt;Bewertung_Stammdaten!J$42,Bewertung_Stammdaten!I$42,IF(AI62&lt;Bewertung_Stammdaten!J$43,Bewertung_Stammdaten!I$43,IF(AI62&lt;Bewertung_Stammdaten!J$44,Bewertung_Stammdaten!I$44,IF(AI62&lt;Bewertung_Stammdaten!J$45,Bewertung_Stammdaten!I$45,IF(AI62&lt;Bewertung_Stammdaten!J$46,Bewertung_Stammdaten!I$46,Bewertung_Stammdaten!I$47)))))))))</f>
        <v>5</v>
      </c>
      <c r="AM62" s="43"/>
      <c r="AN62" s="14">
        <f ca="1">VLOOKUP(A62,Dividende_je_Aktie!A$3:AM$103,24,FALSE)</f>
        <v>1.3572777777777778</v>
      </c>
      <c r="AO62" s="14">
        <f>VLOOKUP(A62,Dividende_je_Aktie!A$3:AM$103,20,FALSE)</f>
        <v>0.72</v>
      </c>
      <c r="AP62" s="12">
        <f ca="1">VLOOKUP(A62,Dividende_je_Aktie!A$3:AM$103,25,FALSE)</f>
        <v>0.88510802469135808</v>
      </c>
      <c r="AQ62" s="40">
        <f>VLOOKUP(A62,Dividende_je_Aktie!A$3:AM$103,39,FALSE)</f>
        <v>0</v>
      </c>
      <c r="AR62" s="16">
        <f t="shared" ca="1" si="18"/>
        <v>1.3572777777777778</v>
      </c>
      <c r="AS62" s="12">
        <f t="shared" ca="1" si="19"/>
        <v>0.88510802469135808</v>
      </c>
      <c r="AT62" s="32">
        <f ca="1">IF(AP62&lt;Bewertung_Stammdaten!B$51,Bewertung_Stammdaten!A$51,IF(AP62&lt;Bewertung_Stammdaten!B$52,Bewertung_Stammdaten!A$52,IF(AP62&lt;Bewertung_Stammdaten!B$53,Bewertung_Stammdaten!A$53,IF(AP62&lt;Bewertung_Stammdaten!B$54,Bewertung_Stammdaten!A$54,IF(AP62&lt;Bewertung_Stammdaten!B$55,Bewertung_Stammdaten!A$55,IF(AP62&lt;Bewertung_Stammdaten!B$56,Bewertung_Stammdaten!A$56,IF(AP62&lt;Bewertung_Stammdaten!B$57,Bewertung_Stammdaten!A$57,IF(AP62&lt;Bewertung_Stammdaten!B$58,Bewertung_Stammdaten!A$58,IF(AP62&lt;Bewertung_Stammdaten!B$59,Bewertung_Stammdaten!A$59,Bewertung_Stammdaten!A$60)))))))))</f>
        <v>20</v>
      </c>
      <c r="AU62" s="32">
        <f>IF(AQ62&lt;Bewertung_Stammdaten!F$51,Bewertung_Stammdaten!E$51,IF(AQ62&lt;Bewertung_Stammdaten!F$52,Bewertung_Stammdaten!E$52,IF(AQ62&lt;Bewertung_Stammdaten!F$53,Bewertung_Stammdaten!E$53,IF(AQ62&lt;Bewertung_Stammdaten!F$54,Bewertung_Stammdaten!E$54,IF(AQ62&lt;Bewertung_Stammdaten!F$55,Bewertung_Stammdaten!E$55,IF(AQ62&lt;Bewertung_Stammdaten!F$56,Bewertung_Stammdaten!E$56,IF(AQ62&lt;Bewertung_Stammdaten!F$57,Bewertung_Stammdaten!E$57,IF(AQ62&lt;Bewertung_Stammdaten!F$58,Bewertung_Stammdaten!E$58,IF(AQ62&lt;Bewertung_Stammdaten!F$59,Bewertung_Stammdaten!E$59,Bewertung_Stammdaten!E$60)))))))))</f>
        <v>12</v>
      </c>
      <c r="AV62" s="32">
        <f ca="1">IF(AS62&lt;Bewertung_Stammdaten!J$51,Bewertung_Stammdaten!I$51,IF(AS62&lt;Bewertung_Stammdaten!J$52,Bewertung_Stammdaten!I$52,IF(AS62&lt;Bewertung_Stammdaten!J$53,Bewertung_Stammdaten!I$53,IF(AS62&lt;Bewertung_Stammdaten!J$54,Bewertung_Stammdaten!I$54,IF(AS62&lt;Bewertung_Stammdaten!J$55,Bewertung_Stammdaten!I$55,IF(AS62&lt;Bewertung_Stammdaten!J$56,Bewertung_Stammdaten!I$56,IF(AS62&lt;Bewertung_Stammdaten!J$57,Bewertung_Stammdaten!I$57,IF(AS62&lt;Bewertung_Stammdaten!J$58,Bewertung_Stammdaten!I$58,IF(AS62&lt;Bewertung_Stammdaten!J$59,Bewertung_Stammdaten!I$59,Bewertung_Stammdaten!I$60)))))))))</f>
        <v>10</v>
      </c>
      <c r="AW62" s="43"/>
      <c r="AX62" s="12">
        <f ca="1">VLOOKUP(A62,Dividendenrendite!A$3:R$103,17,FALSE)</f>
        <v>1.2631715009565172E-2</v>
      </c>
      <c r="AY62" s="12">
        <f>VLOOKUP(A62,Dividendenrendite!A$3:R$103,16,FALSE)</f>
        <v>1.2284481381491985E-2</v>
      </c>
      <c r="AZ62" s="12">
        <f ca="1">VLOOKUP(A62,Dividendenrendite!A$3:R$103,18,FALSE)</f>
        <v>2.8266038857475362E-2</v>
      </c>
      <c r="BA62" s="32">
        <f ca="1">IF(AX62&lt;Bewertung_Stammdaten!B$64,Bewertung_Stammdaten!A$64,IF(AX62&lt;Bewertung_Stammdaten!B$65,Bewertung_Stammdaten!A$65,IF(AX62&lt;Bewertung_Stammdaten!B$66,Bewertung_Stammdaten!A$66,IF(AX62&lt;Bewertung_Stammdaten!B$67,Bewertung_Stammdaten!A$67,IF(AX62&lt;Bewertung_Stammdaten!B$68,Bewertung_Stammdaten!A$68,IF(AX62&lt;Bewertung_Stammdaten!B$69,Bewertung_Stammdaten!A$69,IF(AX62&lt;Bewertung_Stammdaten!B$70,Bewertung_Stammdaten!A$70,IF(AX62&lt;Bewertung_Stammdaten!B$71,Bewertung_Stammdaten!A$71,IF(AX62&lt;Bewertung_Stammdaten!B$72,Bewertung_Stammdaten!A$72,Bewertung_Stammdaten!A$73)))))))))</f>
        <v>4.5</v>
      </c>
      <c r="BB62" s="32">
        <f>IF(AY62&lt;Bewertung_Stammdaten!F$64,Bewertung_Stammdaten!E$64,IF(AY62&lt;Bewertung_Stammdaten!F$65,Bewertung_Stammdaten!E$65,IF(AY62&lt;Bewertung_Stammdaten!F$66,Bewertung_Stammdaten!E$66,IF(AY62&lt;Bewertung_Stammdaten!F$67,Bewertung_Stammdaten!E$67,IF(AY62&lt;Bewertung_Stammdaten!F$68,Bewertung_Stammdaten!E$68,IF(AY62&lt;Bewertung_Stammdaten!F$69,Bewertung_Stammdaten!E$69,IF(AY62&lt;Bewertung_Stammdaten!F$70,Bewertung_Stammdaten!E$70,IF(AY62&lt;Bewertung_Stammdaten!F$71,Bewertung_Stammdaten!E$71,IF(AY62&lt;Bewertung_Stammdaten!F$72,Bewertung_Stammdaten!E$72,Bewertung_Stammdaten!E$73)))))))))</f>
        <v>3</v>
      </c>
      <c r="BC62" s="32">
        <f ca="1">IF(AZ62&lt;Bewertung_Stammdaten!J$64,Bewertung_Stammdaten!I$64,IF(AZ62&lt;Bewertung_Stammdaten!J$65,Bewertung_Stammdaten!I$65,IF(AZ62&lt;Bewertung_Stammdaten!J$66,Bewertung_Stammdaten!I$66,IF(AZ62&lt;Bewertung_Stammdaten!J$67,Bewertung_Stammdaten!I$67,IF(AZ62&lt;Bewertung_Stammdaten!J$68,Bewertung_Stammdaten!I$68,IF(AZ62&lt;Bewertung_Stammdaten!J$69,Bewertung_Stammdaten!I$69,IF(AZ62&lt;Bewertung_Stammdaten!J$70,Bewertung_Stammdaten!I$70,IF(AZ62&lt;Bewertung_Stammdaten!J$71,Bewertung_Stammdaten!I$71,IF(AZ62&lt;Bewertung_Stammdaten!J$72,Bewertung_Stammdaten!I$72,Bewertung_Stammdaten!I$73)))))))))</f>
        <v>3</v>
      </c>
      <c r="BD62" s="43"/>
      <c r="BE62" s="12">
        <f>VLOOKUP(A62,Aktien_im_Umlauf_splitbereinigt!A$3:Z$103,26,FALSE)</f>
        <v>-4.4868199663488428E-2</v>
      </c>
      <c r="BF62" s="12">
        <f>VLOOKUP(A62,Aktien_im_Umlauf_splitbereinigt!A$3:Y$103,24,FALSE)</f>
        <v>-3.7769461372917951E-2</v>
      </c>
      <c r="BG62" s="12">
        <f>VLOOKUP(A62,Aktien_im_Umlauf_splitbereinigt!A$3:Y$103,25,FALSE)</f>
        <v>0.18794915343062124</v>
      </c>
      <c r="BH62" s="41">
        <f>IF(BE62&lt;Bewertung_Stammdaten!B$77,Bewertung_Stammdaten!A$77,IF(BE62&lt;Bewertung_Stammdaten!B$78,Bewertung_Stammdaten!A$78,IF(BE62&lt;Bewertung_Stammdaten!B$79,Bewertung_Stammdaten!A$79,IF(BE62&lt;Bewertung_Stammdaten!B$80,Bewertung_Stammdaten!A$80,IF(BE62&lt;Bewertung_Stammdaten!B$81,Bewertung_Stammdaten!A$81,IF(BE62&lt;Bewertung_Stammdaten!B$82,Bewertung_Stammdaten!A$82,IF(BE62&lt;Bewertung_Stammdaten!B$83,Bewertung_Stammdaten!A$83,IF(BE62&lt;Bewertung_Stammdaten!B$84,Bewertung_Stammdaten!A$84,IF(BE62&lt;Bewertung_Stammdaten!B$85,Bewertung_Stammdaten!A$85,Bewertung_Stammdaten!A$86)))))))))</f>
        <v>10</v>
      </c>
      <c r="BI62" s="41">
        <f>IF(BF62&lt;Bewertung_Stammdaten!F$77,Bewertung_Stammdaten!E$77,IF(BF62&lt;Bewertung_Stammdaten!F$78,Bewertung_Stammdaten!E$78,IF(BF62&lt;Bewertung_Stammdaten!F$79,Bewertung_Stammdaten!E$79,IF(BF62&lt;Bewertung_Stammdaten!F$80,Bewertung_Stammdaten!E$80,IF(BF62&lt;Bewertung_Stammdaten!F$81,Bewertung_Stammdaten!E$81,IF(BF62&lt;Bewertung_Stammdaten!F$82,Bewertung_Stammdaten!E$82,IF(BF62&lt;Bewertung_Stammdaten!F$83,Bewertung_Stammdaten!E$83,IF(BF62&lt;Bewertung_Stammdaten!F$84,Bewertung_Stammdaten!E$84,IF(BF62&lt;Bewertung_Stammdaten!F$85,Bewertung_Stammdaten!E$85,Bewertung_Stammdaten!E$86)))))))))</f>
        <v>10</v>
      </c>
      <c r="BJ62" s="41">
        <f>IF(BG62&lt;Bewertung_Stammdaten!J$77,Bewertung_Stammdaten!I$77,IF(BG62&lt;Bewertung_Stammdaten!J$78,Bewertung_Stammdaten!I$78,IF(BG62&lt;Bewertung_Stammdaten!J$79,Bewertung_Stammdaten!I$79,IF(BG62&lt;Bewertung_Stammdaten!J$80,Bewertung_Stammdaten!I$80,IF(BG62&lt;Bewertung_Stammdaten!J$81,Bewertung_Stammdaten!I$81,IF(BG62&lt;Bewertung_Stammdaten!J$82,Bewertung_Stammdaten!I$82,IF(BG62&lt;Bewertung_Stammdaten!J$83,Bewertung_Stammdaten!I$83,IF(BG62&lt;Bewertung_Stammdaten!J$84,Bewertung_Stammdaten!I$84,IF(BG62&lt;Bewertung_Stammdaten!J$85,Bewertung_Stammdaten!I$85,Bewertung_Stammdaten!I$86)))))))))</f>
        <v>3</v>
      </c>
      <c r="BK62" s="43"/>
      <c r="BL62" s="12">
        <f ca="1">VLOOKUP(A62,Ausschüttungsquote!A$3:X$103,23,FALSE)</f>
        <v>0.28432951677724699</v>
      </c>
      <c r="BM62" s="12">
        <f>VLOOKUP(A62,Ausschüttungsquote!A$3:X$103,19,FALSE)</f>
        <v>0.21898757863552187</v>
      </c>
      <c r="BN62" s="12">
        <f ca="1">VLOOKUP(A62,Ausschüttungsquote!A$3:X$103,24,FALSE)</f>
        <v>0.29838193813941749</v>
      </c>
      <c r="BO62" s="32">
        <f ca="1">IF(BL62&lt;Bewertung_Stammdaten!B$90,Bewertung_Stammdaten!A$90,IF(BL62&lt;Bewertung_Stammdaten!B$91,Bewertung_Stammdaten!A$91,IF(BL62&lt;Bewertung_Stammdaten!B$92,Bewertung_Stammdaten!A$92,IF(BL62&lt;Bewertung_Stammdaten!B$93,Bewertung_Stammdaten!A$93,IF(BL62&lt;Bewertung_Stammdaten!B$94,Bewertung_Stammdaten!A$94,IF(BL62&lt;Bewertung_Stammdaten!B$95,Bewertung_Stammdaten!A$95,IF(BL62&lt;Bewertung_Stammdaten!B$96,Bewertung_Stammdaten!A$96,IF(BL62&lt;Bewertung_Stammdaten!B$97,Bewertung_Stammdaten!A$97,IF(BL62&lt;Bewertung_Stammdaten!B$98,Bewertung_Stammdaten!A$98,Bewertung_Stammdaten!A$99)))))))))</f>
        <v>10</v>
      </c>
      <c r="BP62" s="41">
        <f>IF(BM62&lt;Bewertung_Stammdaten!F$90,Bewertung_Stammdaten!E$90,IF(BM62&lt;Bewertung_Stammdaten!F$91,Bewertung_Stammdaten!E$91,IF(BM62&lt;Bewertung_Stammdaten!F$92,Bewertung_Stammdaten!E$92,IF(BM62&lt;Bewertung_Stammdaten!F$93,Bewertung_Stammdaten!E$93,IF(BM62&lt;Bewertung_Stammdaten!F$94,Bewertung_Stammdaten!E$94,IF(BM62&lt;Bewertung_Stammdaten!F$95,Bewertung_Stammdaten!E$95,IF(BM62&lt;Bewertung_Stammdaten!F$96,Bewertung_Stammdaten!E$96,IF(BM62&lt;Bewertung_Stammdaten!F$97,Bewertung_Stammdaten!E$97,IF(BM62&lt;Bewertung_Stammdaten!F$98,Bewertung_Stammdaten!E$98,Bewertung_Stammdaten!E$99)))))))))</f>
        <v>10</v>
      </c>
      <c r="BQ62" s="32">
        <f ca="1">IF(BN62&lt;Bewertung_Stammdaten!J$90,Bewertung_Stammdaten!I$90,IF(BN62&lt;Bewertung_Stammdaten!J$91,Bewertung_Stammdaten!I$91,IF(BN62&lt;Bewertung_Stammdaten!J$92,Bewertung_Stammdaten!I$92,IF(BN62&lt;Bewertung_Stammdaten!J$93,Bewertung_Stammdaten!I$93,IF(BN62&lt;Bewertung_Stammdaten!J$94,Bewertung_Stammdaten!I$94,IF(BN62&lt;Bewertung_Stammdaten!J$95,Bewertung_Stammdaten!I$95,IF(BN62&lt;Bewertung_Stammdaten!J$96,Bewertung_Stammdaten!I$96,IF(BN62&lt;Bewertung_Stammdaten!J$97,Bewertung_Stammdaten!I$97,IF(BN62&lt;Bewertung_Stammdaten!J$98,Bewertung_Stammdaten!I$98,Bewertung_Stammdaten!I$99)))))))))</f>
        <v>1</v>
      </c>
    </row>
    <row r="63" spans="1:69" x14ac:dyDescent="0.25">
      <c r="A63" s="55" t="s">
        <v>276</v>
      </c>
      <c r="B63" s="55" t="s">
        <v>281</v>
      </c>
      <c r="C63" s="38" t="s">
        <v>295</v>
      </c>
      <c r="D63" s="32">
        <f t="shared" ca="1" si="11"/>
        <v>165.5</v>
      </c>
      <c r="E63" s="43"/>
      <c r="F63" s="66">
        <v>1</v>
      </c>
      <c r="G63" s="11">
        <f ca="1">VLOOKUP(A63,KGV!A$3:R$103,17,FALSE)</f>
        <v>17.449081461129552</v>
      </c>
      <c r="H63" s="11">
        <f>VLOOKUP(A63,KGV!A$3:R$103,16,FALSE)</f>
        <v>14.078066914498141</v>
      </c>
      <c r="I63" s="12">
        <f ca="1">VLOOKUP(A63,KGV!A$3:R$103,18,FALSE)</f>
        <v>0.23945152179663309</v>
      </c>
      <c r="J63" s="16">
        <f t="shared" ca="1" si="12"/>
        <v>24.864941082109613</v>
      </c>
      <c r="K63" s="12">
        <f t="shared" ca="1" si="13"/>
        <v>0.76621841856020234</v>
      </c>
      <c r="L63" s="11">
        <f ca="1">VLOOKUP(A63,KBV!A$3:R$103,17,FALSE)</f>
        <v>2.9336374591151659</v>
      </c>
      <c r="M63" s="11">
        <f>VLOOKUP(A63,KBV!A$3:R$103,16,FALSE)</f>
        <v>2.5134955752212389</v>
      </c>
      <c r="N63" s="12">
        <f ca="1">VLOOKUP(A63,KBV!A$3:R$103,18,FALSE)</f>
        <v>0.16715441556205879</v>
      </c>
      <c r="O63" s="16">
        <f t="shared" ca="1" si="9"/>
        <v>2.9336374591151659</v>
      </c>
      <c r="P63" s="12">
        <f t="shared" ca="1" si="10"/>
        <v>0.16715441556205879</v>
      </c>
      <c r="Q63" s="32">
        <f ca="1">IF(F63=1,IF(I63&lt;Bewertung_Stammdaten!B$12,Bewertung_Stammdaten!A$12,IF(I63&lt;Bewertung_Stammdaten!B$13,Bewertung_Stammdaten!A$13,IF(I63&lt;Bewertung_Stammdaten!B$14,Bewertung_Stammdaten!A$14,IF(I63&lt;Bewertung_Stammdaten!B$15,Bewertung_Stammdaten!A$15,IF(I63&lt;Bewertung_Stammdaten!B$16,Bewertung_Stammdaten!A$16,IF(I63&lt;Bewertung_Stammdaten!B$17,Bewertung_Stammdaten!A$17,IF(I63&lt;Bewertung_Stammdaten!B$18,Bewertung_Stammdaten!A$18,IF(I63&lt;Bewertung_Stammdaten!B$19,Bewertung_Stammdaten!A$19,IF(I63&lt;Bewertung_Stammdaten!B$20,Bewertung_Stammdaten!A$20,Bewertung_Stammdaten!A$21))))))))),IF(N63&lt;Bewertung_Stammdaten!C$12,Bewertung_Stammdaten!A$12,IF(N63&lt;Bewertung_Stammdaten!C$13,Bewertung_Stammdaten!A$13,IF(N63&lt;Bewertung_Stammdaten!C$14,Bewertung_Stammdaten!A$14,IF(N63&lt;Bewertung_Stammdaten!C$15,Bewertung_Stammdaten!A$15,IF(N63&lt;Bewertung_Stammdaten!C$16,Bewertung_Stammdaten!A$16,IF(N63&lt;Bewertung_Stammdaten!C$17,Bewertung_Stammdaten!A$17,IF(N63&lt;Bewertung_Stammdaten!C$18,Bewertung_Stammdaten!A$18,IF(N63&lt;Bewertung_Stammdaten!C$19,Bewertung_Stammdaten!A$19,IF(N63&lt;Bewertung_Stammdaten!C$20,Bewertung_Stammdaten!A$20,Bewertung_Stammdaten!A$21))))))))))</f>
        <v>12</v>
      </c>
      <c r="R63" s="32">
        <f ca="1">IF(F63=1,IF(K63&lt;Bewertung_Stammdaten!F$12,Bewertung_Stammdaten!E$12,IF(K63&lt;Bewertung_Stammdaten!F$13,Bewertung_Stammdaten!E$13,IF(K63&lt;Bewertung_Stammdaten!F$14,Bewertung_Stammdaten!E$14,IF(K63&lt;Bewertung_Stammdaten!F$15,Bewertung_Stammdaten!E$15,IF(K63&lt;Bewertung_Stammdaten!F$16,Bewertung_Stammdaten!E$16,IF(K63&lt;Bewertung_Stammdaten!F$17,Bewertung_Stammdaten!E$17,IF(K63&lt;Bewertung_Stammdaten!F$18,Bewertung_Stammdaten!E$18,IF(K63&lt;Bewertung_Stammdaten!F$19,Bewertung_Stammdaten!E$19,IF(K63&lt;Bewertung_Stammdaten!F$20,Bewertung_Stammdaten!E$20,Bewertung_Stammdaten!E$21))))))))),IF(P63&lt;Bewertung_Stammdaten!G$12,Bewertung_Stammdaten!E$12,IF(P63&lt;Bewertung_Stammdaten!G$13,Bewertung_Stammdaten!E$13,IF(P63&lt;Bewertung_Stammdaten!G$14,Bewertung_Stammdaten!E$14,IF(P63&lt;Bewertung_Stammdaten!G$15,Bewertung_Stammdaten!E$15,IF(P63&lt;Bewertung_Stammdaten!G$16,Bewertung_Stammdaten!E$16,IF(P63&lt;Bewertung_Stammdaten!G$17,Bewertung_Stammdaten!E$17,IF(P63&lt;Bewertung_Stammdaten!G$18,Bewertung_Stammdaten!E$18,IF(P63&lt;Bewertung_Stammdaten!G$19,Bewertung_Stammdaten!E$19,IF(P63&lt;Bewertung_Stammdaten!G$20,Bewertung_Stammdaten!E$20,Bewertung_Stammdaten!E$21))))))))))</f>
        <v>2.5</v>
      </c>
      <c r="S63" s="43"/>
      <c r="T63" s="11">
        <f ca="1">VLOOKUP(A63,Buchwert_je_Aktie!A$3:AK$103,23,FALSE)</f>
        <v>38.726666666666667</v>
      </c>
      <c r="U63" s="11">
        <f>VLOOKUP(A63,Buchwert_je_Aktie!A$3:AK$103,19,FALSE)</f>
        <v>27.654615384615383</v>
      </c>
      <c r="V63" s="12">
        <f ca="1">VLOOKUP(A63,Buchwert_je_Aktie!A$3:AK$103,24,FALSE)</f>
        <v>0.40036902079682535</v>
      </c>
      <c r="W63" s="12">
        <f>VLOOKUP(A63,Buchwert_je_Aktie!A$3:AK$103,37,FALSE)</f>
        <v>3.2129742962056174E-2</v>
      </c>
      <c r="X63" s="16">
        <f t="shared" ca="1" si="14"/>
        <v>38.726666666666667</v>
      </c>
      <c r="Y63" s="12">
        <f t="shared" ca="1" si="15"/>
        <v>0.40036902079682535</v>
      </c>
      <c r="Z63" s="51">
        <f ca="1">IF(V63&lt;Bewertung_Stammdaten!B$25,Bewertung_Stammdaten!A$25,IF(V63&lt;Bewertung_Stammdaten!B$26,Bewertung_Stammdaten!A$26,IF(V63&lt;Bewertung_Stammdaten!B$27,Bewertung_Stammdaten!A$27,IF(V63&lt;Bewertung_Stammdaten!B$28,Bewertung_Stammdaten!A$28,IF(V63&lt;Bewertung_Stammdaten!B$29,Bewertung_Stammdaten!A$29,IF(V63&lt;Bewertung_Stammdaten!B$30,Bewertung_Stammdaten!A$30,IF(V63&lt;Bewertung_Stammdaten!B$31,Bewertung_Stammdaten!A$31,IF(V63&lt;Bewertung_Stammdaten!B$32,Bewertung_Stammdaten!A$32,IF(V63&lt;Bewertung_Stammdaten!B$33,Bewertung_Stammdaten!A$33,Bewertung_Stammdaten!A$34)))))))))</f>
        <v>10.5</v>
      </c>
      <c r="AA63" s="51">
        <f>IF(W63&lt;Bewertung_Stammdaten!F$25,Bewertung_Stammdaten!E$25,IF(W63&lt;Bewertung_Stammdaten!F$26,Bewertung_Stammdaten!E$26,IF(W63&lt;Bewertung_Stammdaten!F$27,Bewertung_Stammdaten!E$27,IF(W63&lt;Bewertung_Stammdaten!F$28,Bewertung_Stammdaten!E$28,IF(W63&lt;Bewertung_Stammdaten!F$29,Bewertung_Stammdaten!E$29,IF(W63&lt;Bewertung_Stammdaten!F$30,Bewertung_Stammdaten!E$30,IF(W63&lt;Bewertung_Stammdaten!F$31,Bewertung_Stammdaten!E$31,IF(W63&lt;Bewertung_Stammdaten!F$32,Bewertung_Stammdaten!E$32,IF(W63&lt;Bewertung_Stammdaten!F$33,Bewertung_Stammdaten!E$33,Bewertung_Stammdaten!E$34)))))))))</f>
        <v>12</v>
      </c>
      <c r="AB63" s="51">
        <f ca="1">IF(Y63&lt;Bewertung_Stammdaten!J$25,Bewertung_Stammdaten!I$25,IF(Y63&lt;Bewertung_Stammdaten!J$26,Bewertung_Stammdaten!I$26,IF(Y63&lt;Bewertung_Stammdaten!J$27,Bewertung_Stammdaten!I$27,IF(Y63&lt;Bewertung_Stammdaten!J$28,Bewertung_Stammdaten!I$28,IF(Y63&lt;Bewertung_Stammdaten!J$29,Bewertung_Stammdaten!I$29,IF(Y63&lt;Bewertung_Stammdaten!J$30,Bewertung_Stammdaten!I$30,IF(Y63&lt;Bewertung_Stammdaten!J$31,Bewertung_Stammdaten!I$31,IF(Y63&lt;Bewertung_Stammdaten!J$32,Bewertung_Stammdaten!I$32,IF(Y63&lt;Bewertung_Stammdaten!J$33,Bewertung_Stammdaten!I$33,Bewertung_Stammdaten!I$34)))))))))</f>
        <v>7</v>
      </c>
      <c r="AC63" s="43"/>
      <c r="AD63" s="14">
        <f ca="1">VLOOKUP(A63,Ergebnis_je_Aktie_verwässert!A$3:AK$103,23,FALSE)</f>
        <v>6.5109444444444442</v>
      </c>
      <c r="AE63" s="14">
        <f>VLOOKUP(A63,Ergebnis_je_Aktie_verwässert!A$3:AK$103,19,FALSE)</f>
        <v>4.7046153846153844</v>
      </c>
      <c r="AF63" s="12">
        <f ca="1">VLOOKUP(A63,Ergebnis_je_Aktie_verwässert!A$3:AK$103,24,FALSE)</f>
        <v>0.38394829590872748</v>
      </c>
      <c r="AG63" s="40">
        <f>VLOOKUP(A63,Ergebnis_je_Aktie_verwässert!A$3:AK$103,37,FALSE)</f>
        <v>-0.29824561403508776</v>
      </c>
      <c r="AH63" s="16">
        <f t="shared" ca="1" si="16"/>
        <v>4.569083820662768</v>
      </c>
      <c r="AI63" s="12">
        <f t="shared" ca="1" si="17"/>
        <v>-2.8808213397384153E-2</v>
      </c>
      <c r="AJ63" s="32">
        <f ca="1">IF(AF63&lt;Bewertung_Stammdaten!B$38,Bewertung_Stammdaten!A$38,IF(AF63&lt;Bewertung_Stammdaten!B$39,Bewertung_Stammdaten!A$39,IF(AF63&lt;Bewertung_Stammdaten!B$40,Bewertung_Stammdaten!A$40,IF(AF63&lt;Bewertung_Stammdaten!B$41,Bewertung_Stammdaten!A$41,IF(AF63&lt;Bewertung_Stammdaten!B$42,Bewertung_Stammdaten!A$42,IF(AF63&lt;Bewertung_Stammdaten!B$43,Bewertung_Stammdaten!A$43,IF(AF63&lt;Bewertung_Stammdaten!B$44,Bewertung_Stammdaten!A$44,IF(AF63&lt;Bewertung_Stammdaten!B$45,Bewertung_Stammdaten!A$45,IF(AF63&lt;Bewertung_Stammdaten!B$46,Bewertung_Stammdaten!A$46,Bewertung_Stammdaten!A$47)))))))))</f>
        <v>14</v>
      </c>
      <c r="AK63" s="32">
        <f>IF(AG63&lt;Bewertung_Stammdaten!F$38,Bewertung_Stammdaten!E$38,IF(AG63&lt;Bewertung_Stammdaten!F$39,Bewertung_Stammdaten!E$39,IF(AG63&lt;Bewertung_Stammdaten!F$40,Bewertung_Stammdaten!E$40,IF(AG63&lt;Bewertung_Stammdaten!F$41,Bewertung_Stammdaten!E$41,IF(AG63&lt;Bewertung_Stammdaten!F$42,Bewertung_Stammdaten!E$42,IF(AG63&lt;Bewertung_Stammdaten!F$43,Bewertung_Stammdaten!E$43,IF(AG63&lt;Bewertung_Stammdaten!F$44,Bewertung_Stammdaten!E$44,IF(AG63&lt;Bewertung_Stammdaten!F$45,Bewertung_Stammdaten!E$45,IF(AG63&lt;Bewertung_Stammdaten!F$46,Bewertung_Stammdaten!E$46,Bewertung_Stammdaten!E$47)))))))))</f>
        <v>7.5</v>
      </c>
      <c r="AL63" s="32">
        <f ca="1">IF(AI63&lt;Bewertung_Stammdaten!J$38,Bewertung_Stammdaten!I$38,IF(AI63&lt;Bewertung_Stammdaten!J$39,Bewertung_Stammdaten!I$39,IF(AI63&lt;Bewertung_Stammdaten!J$40,Bewertung_Stammdaten!I$40,IF(AI63&lt;Bewertung_Stammdaten!J$41,Bewertung_Stammdaten!I$41,IF(AI63&lt;Bewertung_Stammdaten!J$42,Bewertung_Stammdaten!I$42,IF(AI63&lt;Bewertung_Stammdaten!J$43,Bewertung_Stammdaten!I$43,IF(AI63&lt;Bewertung_Stammdaten!J$44,Bewertung_Stammdaten!I$44,IF(AI63&lt;Bewertung_Stammdaten!J$45,Bewertung_Stammdaten!I$45,IF(AI63&lt;Bewertung_Stammdaten!J$46,Bewertung_Stammdaten!I$46,Bewertung_Stammdaten!I$47)))))))))</f>
        <v>4</v>
      </c>
      <c r="AM63" s="43"/>
      <c r="AN63" s="14">
        <f ca="1">VLOOKUP(A63,Dividende_je_Aktie!A$3:AM$103,24,FALSE)</f>
        <v>1.4605000000000001</v>
      </c>
      <c r="AO63" s="14">
        <f>VLOOKUP(A63,Dividende_je_Aktie!A$3:AM$103,20,FALSE)</f>
        <v>0.65107142857142819</v>
      </c>
      <c r="AP63" s="12">
        <f ca="1">VLOOKUP(A63,Dividende_je_Aktie!A$3:AM$103,25,FALSE)</f>
        <v>1.243225452550742</v>
      </c>
      <c r="AQ63" s="40">
        <f>VLOOKUP(A63,Dividende_je_Aktie!A$3:AM$103,39,FALSE)</f>
        <v>0</v>
      </c>
      <c r="AR63" s="16">
        <f t="shared" ca="1" si="18"/>
        <v>1.4605000000000001</v>
      </c>
      <c r="AS63" s="12">
        <f t="shared" ca="1" si="19"/>
        <v>1.243225452550742</v>
      </c>
      <c r="AT63" s="32">
        <f ca="1">IF(AP63&lt;Bewertung_Stammdaten!B$51,Bewertung_Stammdaten!A$51,IF(AP63&lt;Bewertung_Stammdaten!B$52,Bewertung_Stammdaten!A$52,IF(AP63&lt;Bewertung_Stammdaten!B$53,Bewertung_Stammdaten!A$53,IF(AP63&lt;Bewertung_Stammdaten!B$54,Bewertung_Stammdaten!A$54,IF(AP63&lt;Bewertung_Stammdaten!B$55,Bewertung_Stammdaten!A$55,IF(AP63&lt;Bewertung_Stammdaten!B$56,Bewertung_Stammdaten!A$56,IF(AP63&lt;Bewertung_Stammdaten!B$57,Bewertung_Stammdaten!A$57,IF(AP63&lt;Bewertung_Stammdaten!B$58,Bewertung_Stammdaten!A$58,IF(AP63&lt;Bewertung_Stammdaten!B$59,Bewertung_Stammdaten!A$59,Bewertung_Stammdaten!A$60)))))))))</f>
        <v>20</v>
      </c>
      <c r="AU63" s="32">
        <f>IF(AQ63&lt;Bewertung_Stammdaten!F$51,Bewertung_Stammdaten!E$51,IF(AQ63&lt;Bewertung_Stammdaten!F$52,Bewertung_Stammdaten!E$52,IF(AQ63&lt;Bewertung_Stammdaten!F$53,Bewertung_Stammdaten!E$53,IF(AQ63&lt;Bewertung_Stammdaten!F$54,Bewertung_Stammdaten!E$54,IF(AQ63&lt;Bewertung_Stammdaten!F$55,Bewertung_Stammdaten!E$55,IF(AQ63&lt;Bewertung_Stammdaten!F$56,Bewertung_Stammdaten!E$56,IF(AQ63&lt;Bewertung_Stammdaten!F$57,Bewertung_Stammdaten!E$57,IF(AQ63&lt;Bewertung_Stammdaten!F$58,Bewertung_Stammdaten!E$58,IF(AQ63&lt;Bewertung_Stammdaten!F$59,Bewertung_Stammdaten!E$59,Bewertung_Stammdaten!E$60)))))))))</f>
        <v>12</v>
      </c>
      <c r="AV63" s="32">
        <f ca="1">IF(AS63&lt;Bewertung_Stammdaten!J$51,Bewertung_Stammdaten!I$51,IF(AS63&lt;Bewertung_Stammdaten!J$52,Bewertung_Stammdaten!I$52,IF(AS63&lt;Bewertung_Stammdaten!J$53,Bewertung_Stammdaten!I$53,IF(AS63&lt;Bewertung_Stammdaten!J$54,Bewertung_Stammdaten!I$54,IF(AS63&lt;Bewertung_Stammdaten!J$55,Bewertung_Stammdaten!I$55,IF(AS63&lt;Bewertung_Stammdaten!J$56,Bewertung_Stammdaten!I$56,IF(AS63&lt;Bewertung_Stammdaten!J$57,Bewertung_Stammdaten!I$57,IF(AS63&lt;Bewertung_Stammdaten!J$58,Bewertung_Stammdaten!I$58,IF(AS63&lt;Bewertung_Stammdaten!J$59,Bewertung_Stammdaten!I$59,Bewertung_Stammdaten!I$60)))))))))</f>
        <v>10</v>
      </c>
      <c r="AW63" s="43"/>
      <c r="AX63" s="12">
        <f ca="1">VLOOKUP(A63,Dividendenrendite!A$3:R$103,17,FALSE)</f>
        <v>1.2855382448728105E-2</v>
      </c>
      <c r="AY63" s="12">
        <f>VLOOKUP(A63,Dividendenrendite!A$3:R$103,16,FALSE)</f>
        <v>7.3707880172843351E-3</v>
      </c>
      <c r="AZ63" s="12">
        <f ca="1">VLOOKUP(A63,Dividendenrendite!A$3:R$103,18,FALSE)</f>
        <v>0.74409878815976227</v>
      </c>
      <c r="BA63" s="32">
        <f ca="1">IF(AX63&lt;Bewertung_Stammdaten!B$64,Bewertung_Stammdaten!A$64,IF(AX63&lt;Bewertung_Stammdaten!B$65,Bewertung_Stammdaten!A$65,IF(AX63&lt;Bewertung_Stammdaten!B$66,Bewertung_Stammdaten!A$66,IF(AX63&lt;Bewertung_Stammdaten!B$67,Bewertung_Stammdaten!A$67,IF(AX63&lt;Bewertung_Stammdaten!B$68,Bewertung_Stammdaten!A$68,IF(AX63&lt;Bewertung_Stammdaten!B$69,Bewertung_Stammdaten!A$69,IF(AX63&lt;Bewertung_Stammdaten!B$70,Bewertung_Stammdaten!A$70,IF(AX63&lt;Bewertung_Stammdaten!B$71,Bewertung_Stammdaten!A$71,IF(AX63&lt;Bewertung_Stammdaten!B$72,Bewertung_Stammdaten!A$72,Bewertung_Stammdaten!A$73)))))))))</f>
        <v>4.5</v>
      </c>
      <c r="BB63" s="32">
        <f>IF(AY63&lt;Bewertung_Stammdaten!F$64,Bewertung_Stammdaten!E$64,IF(AY63&lt;Bewertung_Stammdaten!F$65,Bewertung_Stammdaten!E$65,IF(AY63&lt;Bewertung_Stammdaten!F$66,Bewertung_Stammdaten!E$66,IF(AY63&lt;Bewertung_Stammdaten!F$67,Bewertung_Stammdaten!E$67,IF(AY63&lt;Bewertung_Stammdaten!F$68,Bewertung_Stammdaten!E$68,IF(AY63&lt;Bewertung_Stammdaten!F$69,Bewertung_Stammdaten!E$69,IF(AY63&lt;Bewertung_Stammdaten!F$70,Bewertung_Stammdaten!E$70,IF(AY63&lt;Bewertung_Stammdaten!F$71,Bewertung_Stammdaten!E$71,IF(AY63&lt;Bewertung_Stammdaten!F$72,Bewertung_Stammdaten!E$72,Bewertung_Stammdaten!E$73)))))))))</f>
        <v>2</v>
      </c>
      <c r="BC63" s="32">
        <f ca="1">IF(AZ63&lt;Bewertung_Stammdaten!J$64,Bewertung_Stammdaten!I$64,IF(AZ63&lt;Bewertung_Stammdaten!J$65,Bewertung_Stammdaten!I$65,IF(AZ63&lt;Bewertung_Stammdaten!J$66,Bewertung_Stammdaten!I$66,IF(AZ63&lt;Bewertung_Stammdaten!J$67,Bewertung_Stammdaten!I$67,IF(AZ63&lt;Bewertung_Stammdaten!J$68,Bewertung_Stammdaten!I$68,IF(AZ63&lt;Bewertung_Stammdaten!J$69,Bewertung_Stammdaten!I$69,IF(AZ63&lt;Bewertung_Stammdaten!J$70,Bewertung_Stammdaten!I$70,IF(AZ63&lt;Bewertung_Stammdaten!J$71,Bewertung_Stammdaten!I$71,IF(AZ63&lt;Bewertung_Stammdaten!J$72,Bewertung_Stammdaten!I$72,Bewertung_Stammdaten!I$73)))))))))</f>
        <v>5</v>
      </c>
      <c r="BD63" s="43"/>
      <c r="BE63" s="12">
        <f>VLOOKUP(A63,Aktien_im_Umlauf_splitbereinigt!A$3:Z$103,26,FALSE)</f>
        <v>-3.4412955465587092E-2</v>
      </c>
      <c r="BF63" s="12">
        <f>VLOOKUP(A63,Aktien_im_Umlauf_splitbereinigt!A$3:Y$103,24,FALSE)</f>
        <v>-3.8331314857885573E-2</v>
      </c>
      <c r="BG63" s="12">
        <f>VLOOKUP(A63,Aktien_im_Umlauf_splitbereinigt!A$3:Y$103,25,FALSE)</f>
        <v>-0.10222345376948083</v>
      </c>
      <c r="BH63" s="41">
        <f>IF(BE63&lt;Bewertung_Stammdaten!B$77,Bewertung_Stammdaten!A$77,IF(BE63&lt;Bewertung_Stammdaten!B$78,Bewertung_Stammdaten!A$78,IF(BE63&lt;Bewertung_Stammdaten!B$79,Bewertung_Stammdaten!A$79,IF(BE63&lt;Bewertung_Stammdaten!B$80,Bewertung_Stammdaten!A$80,IF(BE63&lt;Bewertung_Stammdaten!B$81,Bewertung_Stammdaten!A$81,IF(BE63&lt;Bewertung_Stammdaten!B$82,Bewertung_Stammdaten!A$82,IF(BE63&lt;Bewertung_Stammdaten!B$83,Bewertung_Stammdaten!A$83,IF(BE63&lt;Bewertung_Stammdaten!B$84,Bewertung_Stammdaten!A$84,IF(BE63&lt;Bewertung_Stammdaten!B$85,Bewertung_Stammdaten!A$85,Bewertung_Stammdaten!A$86)))))))))</f>
        <v>9</v>
      </c>
      <c r="BI63" s="41">
        <f>IF(BF63&lt;Bewertung_Stammdaten!F$77,Bewertung_Stammdaten!E$77,IF(BF63&lt;Bewertung_Stammdaten!F$78,Bewertung_Stammdaten!E$78,IF(BF63&lt;Bewertung_Stammdaten!F$79,Bewertung_Stammdaten!E$79,IF(BF63&lt;Bewertung_Stammdaten!F$80,Bewertung_Stammdaten!E$80,IF(BF63&lt;Bewertung_Stammdaten!F$81,Bewertung_Stammdaten!E$81,IF(BF63&lt;Bewertung_Stammdaten!F$82,Bewertung_Stammdaten!E$82,IF(BF63&lt;Bewertung_Stammdaten!F$83,Bewertung_Stammdaten!E$83,IF(BF63&lt;Bewertung_Stammdaten!F$84,Bewertung_Stammdaten!E$84,IF(BF63&lt;Bewertung_Stammdaten!F$85,Bewertung_Stammdaten!E$85,Bewertung_Stammdaten!E$86)))))))))</f>
        <v>10</v>
      </c>
      <c r="BJ63" s="41">
        <f>IF(BG63&lt;Bewertung_Stammdaten!J$77,Bewertung_Stammdaten!I$77,IF(BG63&lt;Bewertung_Stammdaten!J$78,Bewertung_Stammdaten!I$78,IF(BG63&lt;Bewertung_Stammdaten!J$79,Bewertung_Stammdaten!I$79,IF(BG63&lt;Bewertung_Stammdaten!J$80,Bewertung_Stammdaten!I$80,IF(BG63&lt;Bewertung_Stammdaten!J$81,Bewertung_Stammdaten!I$81,IF(BG63&lt;Bewertung_Stammdaten!J$82,Bewertung_Stammdaten!I$82,IF(BG63&lt;Bewertung_Stammdaten!J$83,Bewertung_Stammdaten!I$83,IF(BG63&lt;Bewertung_Stammdaten!J$84,Bewertung_Stammdaten!I$84,IF(BG63&lt;Bewertung_Stammdaten!J$85,Bewertung_Stammdaten!I$85,Bewertung_Stammdaten!I$86)))))))))</f>
        <v>2.5</v>
      </c>
      <c r="BK63" s="43"/>
      <c r="BL63" s="12">
        <f ca="1">VLOOKUP(A63,Ausschüttungsquote!A$3:X$103,23,FALSE)</f>
        <v>0.22463987337765118</v>
      </c>
      <c r="BM63" s="12">
        <f>VLOOKUP(A63,Ausschüttungsquote!A$3:X$103,19,FALSE)</f>
        <v>0.11737941291100699</v>
      </c>
      <c r="BN63" s="12">
        <f ca="1">VLOOKUP(A63,Ausschüttungsquote!A$3:X$103,24,FALSE)</f>
        <v>0.91379278364567518</v>
      </c>
      <c r="BO63" s="32">
        <f ca="1">IF(BL63&lt;Bewertung_Stammdaten!B$90,Bewertung_Stammdaten!A$90,IF(BL63&lt;Bewertung_Stammdaten!B$91,Bewertung_Stammdaten!A$91,IF(BL63&lt;Bewertung_Stammdaten!B$92,Bewertung_Stammdaten!A$92,IF(BL63&lt;Bewertung_Stammdaten!B$93,Bewertung_Stammdaten!A$93,IF(BL63&lt;Bewertung_Stammdaten!B$94,Bewertung_Stammdaten!A$94,IF(BL63&lt;Bewertung_Stammdaten!B$95,Bewertung_Stammdaten!A$95,IF(BL63&lt;Bewertung_Stammdaten!B$96,Bewertung_Stammdaten!A$96,IF(BL63&lt;Bewertung_Stammdaten!B$97,Bewertung_Stammdaten!A$97,IF(BL63&lt;Bewertung_Stammdaten!B$98,Bewertung_Stammdaten!A$98,Bewertung_Stammdaten!A$99)))))))))</f>
        <v>10</v>
      </c>
      <c r="BP63" s="41">
        <f>IF(BM63&lt;Bewertung_Stammdaten!F$90,Bewertung_Stammdaten!E$90,IF(BM63&lt;Bewertung_Stammdaten!F$91,Bewertung_Stammdaten!E$91,IF(BM63&lt;Bewertung_Stammdaten!F$92,Bewertung_Stammdaten!E$92,IF(BM63&lt;Bewertung_Stammdaten!F$93,Bewertung_Stammdaten!E$93,IF(BM63&lt;Bewertung_Stammdaten!F$94,Bewertung_Stammdaten!E$94,IF(BM63&lt;Bewertung_Stammdaten!F$95,Bewertung_Stammdaten!E$95,IF(BM63&lt;Bewertung_Stammdaten!F$96,Bewertung_Stammdaten!E$96,IF(BM63&lt;Bewertung_Stammdaten!F$97,Bewertung_Stammdaten!E$97,IF(BM63&lt;Bewertung_Stammdaten!F$98,Bewertung_Stammdaten!E$98,Bewertung_Stammdaten!E$99)))))))))</f>
        <v>10</v>
      </c>
      <c r="BQ63" s="32">
        <f ca="1">IF(BN63&lt;Bewertung_Stammdaten!J$90,Bewertung_Stammdaten!I$90,IF(BN63&lt;Bewertung_Stammdaten!J$91,Bewertung_Stammdaten!I$91,IF(BN63&lt;Bewertung_Stammdaten!J$92,Bewertung_Stammdaten!I$92,IF(BN63&lt;Bewertung_Stammdaten!J$93,Bewertung_Stammdaten!I$93,IF(BN63&lt;Bewertung_Stammdaten!J$94,Bewertung_Stammdaten!I$94,IF(BN63&lt;Bewertung_Stammdaten!J$95,Bewertung_Stammdaten!I$95,IF(BN63&lt;Bewertung_Stammdaten!J$96,Bewertung_Stammdaten!I$96,IF(BN63&lt;Bewertung_Stammdaten!J$97,Bewertung_Stammdaten!I$97,IF(BN63&lt;Bewertung_Stammdaten!J$98,Bewertung_Stammdaten!I$98,Bewertung_Stammdaten!I$99)))))))))</f>
        <v>1</v>
      </c>
    </row>
    <row r="64" spans="1:69" x14ac:dyDescent="0.25">
      <c r="A64" s="38" t="s">
        <v>265</v>
      </c>
      <c r="B64" s="38" t="s">
        <v>266</v>
      </c>
      <c r="C64" s="38" t="s">
        <v>295</v>
      </c>
      <c r="D64" s="32">
        <f t="shared" ca="1" si="11"/>
        <v>168</v>
      </c>
      <c r="E64" s="43"/>
      <c r="F64" s="66">
        <v>1</v>
      </c>
      <c r="G64" s="11">
        <f ca="1">VLOOKUP(A64,KGV!A$3:R$103,17,FALSE)</f>
        <v>23.82311320754717</v>
      </c>
      <c r="H64" s="11">
        <f>VLOOKUP(A64,KGV!A$3:R$103,16,FALSE)</f>
        <v>19.295128939828079</v>
      </c>
      <c r="I64" s="12">
        <f ca="1">VLOOKUP(A64,KGV!A$3:R$103,18,FALSE)</f>
        <v>0.23466981132075482</v>
      </c>
      <c r="J64" s="16">
        <f t="shared" ca="1" si="12"/>
        <v>23.82311320754717</v>
      </c>
      <c r="K64" s="12">
        <f t="shared" ca="1" si="13"/>
        <v>0.23466981132075482</v>
      </c>
      <c r="L64" s="11">
        <f ca="1">VLOOKUP(A64,KBV!A$3:R$103,17,FALSE)</f>
        <v>5.8588788028189445</v>
      </c>
      <c r="M64" s="11">
        <f>VLOOKUP(A64,KBV!A$3:R$103,16,FALSE)</f>
        <v>3.4459217963608211</v>
      </c>
      <c r="N64" s="12">
        <f ca="1">VLOOKUP(A64,KBV!A$3:R$103,18,FALSE)</f>
        <v>0.70023556802896869</v>
      </c>
      <c r="O64" s="16">
        <f t="shared" ca="1" si="9"/>
        <v>5.8588788028189445</v>
      </c>
      <c r="P64" s="12">
        <f t="shared" ca="1" si="10"/>
        <v>0.70023556802896869</v>
      </c>
      <c r="Q64" s="32">
        <f ca="1">IF(F64=1,IF(I64&lt;Bewertung_Stammdaten!B$12,Bewertung_Stammdaten!A$12,IF(I64&lt;Bewertung_Stammdaten!B$13,Bewertung_Stammdaten!A$13,IF(I64&lt;Bewertung_Stammdaten!B$14,Bewertung_Stammdaten!A$14,IF(I64&lt;Bewertung_Stammdaten!B$15,Bewertung_Stammdaten!A$15,IF(I64&lt;Bewertung_Stammdaten!B$16,Bewertung_Stammdaten!A$16,IF(I64&lt;Bewertung_Stammdaten!B$17,Bewertung_Stammdaten!A$17,IF(I64&lt;Bewertung_Stammdaten!B$18,Bewertung_Stammdaten!A$18,IF(I64&lt;Bewertung_Stammdaten!B$19,Bewertung_Stammdaten!A$19,IF(I64&lt;Bewertung_Stammdaten!B$20,Bewertung_Stammdaten!A$20,Bewertung_Stammdaten!A$21))))))))),IF(N64&lt;Bewertung_Stammdaten!C$12,Bewertung_Stammdaten!A$12,IF(N64&lt;Bewertung_Stammdaten!C$13,Bewertung_Stammdaten!A$13,IF(N64&lt;Bewertung_Stammdaten!C$14,Bewertung_Stammdaten!A$14,IF(N64&lt;Bewertung_Stammdaten!C$15,Bewertung_Stammdaten!A$15,IF(N64&lt;Bewertung_Stammdaten!C$16,Bewertung_Stammdaten!A$16,IF(N64&lt;Bewertung_Stammdaten!C$17,Bewertung_Stammdaten!A$17,IF(N64&lt;Bewertung_Stammdaten!C$18,Bewertung_Stammdaten!A$18,IF(N64&lt;Bewertung_Stammdaten!C$19,Bewertung_Stammdaten!A$19,IF(N64&lt;Bewertung_Stammdaten!C$20,Bewertung_Stammdaten!A$20,Bewertung_Stammdaten!A$21))))))))))</f>
        <v>12</v>
      </c>
      <c r="R64" s="32">
        <f ca="1">IF(F64=1,IF(K64&lt;Bewertung_Stammdaten!F$12,Bewertung_Stammdaten!E$12,IF(K64&lt;Bewertung_Stammdaten!F$13,Bewertung_Stammdaten!E$13,IF(K64&lt;Bewertung_Stammdaten!F$14,Bewertung_Stammdaten!E$14,IF(K64&lt;Bewertung_Stammdaten!F$15,Bewertung_Stammdaten!E$15,IF(K64&lt;Bewertung_Stammdaten!F$16,Bewertung_Stammdaten!E$16,IF(K64&lt;Bewertung_Stammdaten!F$17,Bewertung_Stammdaten!E$17,IF(K64&lt;Bewertung_Stammdaten!F$18,Bewertung_Stammdaten!E$18,IF(K64&lt;Bewertung_Stammdaten!F$19,Bewertung_Stammdaten!E$19,IF(K64&lt;Bewertung_Stammdaten!F$20,Bewertung_Stammdaten!E$20,Bewertung_Stammdaten!E$21))))))))),IF(P64&lt;Bewertung_Stammdaten!G$12,Bewertung_Stammdaten!E$12,IF(P64&lt;Bewertung_Stammdaten!G$13,Bewertung_Stammdaten!E$13,IF(P64&lt;Bewertung_Stammdaten!G$14,Bewertung_Stammdaten!E$14,IF(P64&lt;Bewertung_Stammdaten!G$15,Bewertung_Stammdaten!E$15,IF(P64&lt;Bewertung_Stammdaten!G$16,Bewertung_Stammdaten!E$16,IF(P64&lt;Bewertung_Stammdaten!G$17,Bewertung_Stammdaten!E$17,IF(P64&lt;Bewertung_Stammdaten!G$18,Bewertung_Stammdaten!E$18,IF(P64&lt;Bewertung_Stammdaten!G$19,Bewertung_Stammdaten!E$19,IF(P64&lt;Bewertung_Stammdaten!G$20,Bewertung_Stammdaten!E$20,Bewertung_Stammdaten!E$21))))))))))</f>
        <v>12.5</v>
      </c>
      <c r="S64" s="43"/>
      <c r="T64" s="11">
        <f ca="1">VLOOKUP(A64,Buchwert_je_Aktie!A$3:AK$103,23,FALSE)</f>
        <v>11.493666666666666</v>
      </c>
      <c r="U64" s="11">
        <f>VLOOKUP(A64,Buchwert_je_Aktie!A$3:AK$103,19,FALSE)</f>
        <v>10.836249999999998</v>
      </c>
      <c r="V64" s="12">
        <f ca="1">VLOOKUP(A64,Buchwert_je_Aktie!A$3:AK$103,24,FALSE)</f>
        <v>6.0668281616488073E-2</v>
      </c>
      <c r="W64" s="12">
        <f>VLOOKUP(A64,Buchwert_je_Aktie!A$3:AK$103,37,FALSE)</f>
        <v>1.0563380281690016E-2</v>
      </c>
      <c r="X64" s="16">
        <f t="shared" ca="1" si="14"/>
        <v>11.493666666666666</v>
      </c>
      <c r="Y64" s="12">
        <f t="shared" ca="1" si="15"/>
        <v>6.0668281616488073E-2</v>
      </c>
      <c r="Z64" s="51">
        <f ca="1">IF(V64&lt;Bewertung_Stammdaten!B$25,Bewertung_Stammdaten!A$25,IF(V64&lt;Bewertung_Stammdaten!B$26,Bewertung_Stammdaten!A$26,IF(V64&lt;Bewertung_Stammdaten!B$27,Bewertung_Stammdaten!A$27,IF(V64&lt;Bewertung_Stammdaten!B$28,Bewertung_Stammdaten!A$28,IF(V64&lt;Bewertung_Stammdaten!B$29,Bewertung_Stammdaten!A$29,IF(V64&lt;Bewertung_Stammdaten!B$30,Bewertung_Stammdaten!A$30,IF(V64&lt;Bewertung_Stammdaten!B$31,Bewertung_Stammdaten!A$31,IF(V64&lt;Bewertung_Stammdaten!B$32,Bewertung_Stammdaten!A$32,IF(V64&lt;Bewertung_Stammdaten!B$33,Bewertung_Stammdaten!A$33,Bewertung_Stammdaten!A$34)))))))))</f>
        <v>4.5</v>
      </c>
      <c r="AA64" s="51">
        <f>IF(W64&lt;Bewertung_Stammdaten!F$25,Bewertung_Stammdaten!E$25,IF(W64&lt;Bewertung_Stammdaten!F$26,Bewertung_Stammdaten!E$26,IF(W64&lt;Bewertung_Stammdaten!F$27,Bewertung_Stammdaten!E$27,IF(W64&lt;Bewertung_Stammdaten!F$28,Bewertung_Stammdaten!E$28,IF(W64&lt;Bewertung_Stammdaten!F$29,Bewertung_Stammdaten!E$29,IF(W64&lt;Bewertung_Stammdaten!F$30,Bewertung_Stammdaten!E$30,IF(W64&lt;Bewertung_Stammdaten!F$31,Bewertung_Stammdaten!E$31,IF(W64&lt;Bewertung_Stammdaten!F$32,Bewertung_Stammdaten!E$32,IF(W64&lt;Bewertung_Stammdaten!F$33,Bewertung_Stammdaten!E$33,Bewertung_Stammdaten!E$34)))))))))</f>
        <v>12</v>
      </c>
      <c r="AB64" s="51">
        <f ca="1">IF(Y64&lt;Bewertung_Stammdaten!J$25,Bewertung_Stammdaten!I$25,IF(Y64&lt;Bewertung_Stammdaten!J$26,Bewertung_Stammdaten!I$26,IF(Y64&lt;Bewertung_Stammdaten!J$27,Bewertung_Stammdaten!I$27,IF(Y64&lt;Bewertung_Stammdaten!J$28,Bewertung_Stammdaten!I$28,IF(Y64&lt;Bewertung_Stammdaten!J$29,Bewertung_Stammdaten!I$29,IF(Y64&lt;Bewertung_Stammdaten!J$30,Bewertung_Stammdaten!I$30,IF(Y64&lt;Bewertung_Stammdaten!J$31,Bewertung_Stammdaten!I$31,IF(Y64&lt;Bewertung_Stammdaten!J$32,Bewertung_Stammdaten!I$32,IF(Y64&lt;Bewertung_Stammdaten!J$33,Bewertung_Stammdaten!I$33,Bewertung_Stammdaten!I$34)))))))))</f>
        <v>3</v>
      </c>
      <c r="AC64" s="43"/>
      <c r="AD64" s="14">
        <f ca="1">VLOOKUP(A64,Ergebnis_je_Aktie_verwässert!A$3:AK$103,23,FALSE)</f>
        <v>2.8266666666666667</v>
      </c>
      <c r="AE64" s="14">
        <f>VLOOKUP(A64,Ergebnis_je_Aktie_verwässert!A$3:AK$103,19,FALSE)</f>
        <v>1.7969999999999999</v>
      </c>
      <c r="AF64" s="12">
        <f ca="1">VLOOKUP(A64,Ergebnis_je_Aktie_verwässert!A$3:AK$103,24,FALSE)</f>
        <v>0.57299202374327596</v>
      </c>
      <c r="AG64" s="40">
        <f>VLOOKUP(A64,Ergebnis_je_Aktie_verwässert!A$3:AK$103,37,FALSE)</f>
        <v>0.13157894736842102</v>
      </c>
      <c r="AH64" s="16">
        <f t="shared" ca="1" si="16"/>
        <v>2.8266666666666667</v>
      </c>
      <c r="AI64" s="12">
        <f t="shared" ca="1" si="17"/>
        <v>0.57299202374327596</v>
      </c>
      <c r="AJ64" s="32">
        <f ca="1">IF(AF64&lt;Bewertung_Stammdaten!B$38,Bewertung_Stammdaten!A$38,IF(AF64&lt;Bewertung_Stammdaten!B$39,Bewertung_Stammdaten!A$39,IF(AF64&lt;Bewertung_Stammdaten!B$40,Bewertung_Stammdaten!A$40,IF(AF64&lt;Bewertung_Stammdaten!B$41,Bewertung_Stammdaten!A$41,IF(AF64&lt;Bewertung_Stammdaten!B$42,Bewertung_Stammdaten!A$42,IF(AF64&lt;Bewertung_Stammdaten!B$43,Bewertung_Stammdaten!A$43,IF(AF64&lt;Bewertung_Stammdaten!B$44,Bewertung_Stammdaten!A$44,IF(AF64&lt;Bewertung_Stammdaten!B$45,Bewertung_Stammdaten!A$45,IF(AF64&lt;Bewertung_Stammdaten!B$46,Bewertung_Stammdaten!A$46,Bewertung_Stammdaten!A$47)))))))))</f>
        <v>18</v>
      </c>
      <c r="AK64" s="32">
        <f>IF(AG64&lt;Bewertung_Stammdaten!F$38,Bewertung_Stammdaten!E$38,IF(AG64&lt;Bewertung_Stammdaten!F$39,Bewertung_Stammdaten!E$39,IF(AG64&lt;Bewertung_Stammdaten!F$40,Bewertung_Stammdaten!E$40,IF(AG64&lt;Bewertung_Stammdaten!F$41,Bewertung_Stammdaten!E$41,IF(AG64&lt;Bewertung_Stammdaten!F$42,Bewertung_Stammdaten!E$42,IF(AG64&lt;Bewertung_Stammdaten!F$43,Bewertung_Stammdaten!E$43,IF(AG64&lt;Bewertung_Stammdaten!F$44,Bewertung_Stammdaten!E$44,IF(AG64&lt;Bewertung_Stammdaten!F$45,Bewertung_Stammdaten!E$45,IF(AG64&lt;Bewertung_Stammdaten!F$46,Bewertung_Stammdaten!E$46,Bewertung_Stammdaten!E$47)))))))))</f>
        <v>13.5</v>
      </c>
      <c r="AL64" s="32">
        <f ca="1">IF(AI64&lt;Bewertung_Stammdaten!J$38,Bewertung_Stammdaten!I$38,IF(AI64&lt;Bewertung_Stammdaten!J$39,Bewertung_Stammdaten!I$39,IF(AI64&lt;Bewertung_Stammdaten!J$40,Bewertung_Stammdaten!I$40,IF(AI64&lt;Bewertung_Stammdaten!J$41,Bewertung_Stammdaten!I$41,IF(AI64&lt;Bewertung_Stammdaten!J$42,Bewertung_Stammdaten!I$42,IF(AI64&lt;Bewertung_Stammdaten!J$43,Bewertung_Stammdaten!I$43,IF(AI64&lt;Bewertung_Stammdaten!J$44,Bewertung_Stammdaten!I$44,IF(AI64&lt;Bewertung_Stammdaten!J$45,Bewertung_Stammdaten!I$45,IF(AI64&lt;Bewertung_Stammdaten!J$46,Bewertung_Stammdaten!I$46,Bewertung_Stammdaten!I$47)))))))))</f>
        <v>10</v>
      </c>
      <c r="AM64" s="43"/>
      <c r="AN64" s="14">
        <f ca="1">VLOOKUP(A64,Dividende_je_Aktie!A$3:AM$103,24,FALSE)</f>
        <v>0.50958333333333328</v>
      </c>
      <c r="AO64" s="14">
        <f>VLOOKUP(A64,Dividende_je_Aktie!A$3:AM$103,20,FALSE)</f>
        <v>0.31159999999999999</v>
      </c>
      <c r="AP64" s="12">
        <f ca="1">VLOOKUP(A64,Dividende_je_Aktie!A$3:AM$103,25,FALSE)</f>
        <v>0.63537655113393221</v>
      </c>
      <c r="AQ64" s="40">
        <f>VLOOKUP(A64,Dividende_je_Aktie!A$3:AM$103,39,FALSE)</f>
        <v>0.10416666666666674</v>
      </c>
      <c r="AR64" s="16">
        <f t="shared" ca="1" si="18"/>
        <v>0.50958333333333328</v>
      </c>
      <c r="AS64" s="12">
        <f t="shared" ca="1" si="19"/>
        <v>0.63537655113393221</v>
      </c>
      <c r="AT64" s="32">
        <f ca="1">IF(AP64&lt;Bewertung_Stammdaten!B$51,Bewertung_Stammdaten!A$51,IF(AP64&lt;Bewertung_Stammdaten!B$52,Bewertung_Stammdaten!A$52,IF(AP64&lt;Bewertung_Stammdaten!B$53,Bewertung_Stammdaten!A$53,IF(AP64&lt;Bewertung_Stammdaten!B$54,Bewertung_Stammdaten!A$54,IF(AP64&lt;Bewertung_Stammdaten!B$55,Bewertung_Stammdaten!A$55,IF(AP64&lt;Bewertung_Stammdaten!B$56,Bewertung_Stammdaten!A$56,IF(AP64&lt;Bewertung_Stammdaten!B$57,Bewertung_Stammdaten!A$57,IF(AP64&lt;Bewertung_Stammdaten!B$58,Bewertung_Stammdaten!A$58,IF(AP64&lt;Bewertung_Stammdaten!B$59,Bewertung_Stammdaten!A$59,Bewertung_Stammdaten!A$60)))))))))</f>
        <v>18</v>
      </c>
      <c r="AU64" s="32">
        <f>IF(AQ64&lt;Bewertung_Stammdaten!F$51,Bewertung_Stammdaten!E$51,IF(AQ64&lt;Bewertung_Stammdaten!F$52,Bewertung_Stammdaten!E$52,IF(AQ64&lt;Bewertung_Stammdaten!F$53,Bewertung_Stammdaten!E$53,IF(AQ64&lt;Bewertung_Stammdaten!F$54,Bewertung_Stammdaten!E$54,IF(AQ64&lt;Bewertung_Stammdaten!F$55,Bewertung_Stammdaten!E$55,IF(AQ64&lt;Bewertung_Stammdaten!F$56,Bewertung_Stammdaten!E$56,IF(AQ64&lt;Bewertung_Stammdaten!F$57,Bewertung_Stammdaten!E$57,IF(AQ64&lt;Bewertung_Stammdaten!F$58,Bewertung_Stammdaten!E$58,IF(AQ64&lt;Bewertung_Stammdaten!F$59,Bewertung_Stammdaten!E$59,Bewertung_Stammdaten!E$60)))))))))</f>
        <v>13.5</v>
      </c>
      <c r="AV64" s="32">
        <f ca="1">IF(AS64&lt;Bewertung_Stammdaten!J$51,Bewertung_Stammdaten!I$51,IF(AS64&lt;Bewertung_Stammdaten!J$52,Bewertung_Stammdaten!I$52,IF(AS64&lt;Bewertung_Stammdaten!J$53,Bewertung_Stammdaten!I$53,IF(AS64&lt;Bewertung_Stammdaten!J$54,Bewertung_Stammdaten!I$54,IF(AS64&lt;Bewertung_Stammdaten!J$55,Bewertung_Stammdaten!I$55,IF(AS64&lt;Bewertung_Stammdaten!J$56,Bewertung_Stammdaten!I$56,IF(AS64&lt;Bewertung_Stammdaten!J$57,Bewertung_Stammdaten!I$57,IF(AS64&lt;Bewertung_Stammdaten!J$58,Bewertung_Stammdaten!I$58,IF(AS64&lt;Bewertung_Stammdaten!J$59,Bewertung_Stammdaten!I$59,Bewertung_Stammdaten!I$60)))))))))</f>
        <v>10</v>
      </c>
      <c r="AW64" s="43"/>
      <c r="AX64" s="12">
        <f ca="1">VLOOKUP(A64,Dividendenrendite!A$3:R$103,17,FALSE)</f>
        <v>7.567320067320066E-3</v>
      </c>
      <c r="AY64" s="12">
        <f>VLOOKUP(A64,Dividendenrendite!A$3:R$103,16,FALSE)</f>
        <v>6.5925627779817768E-3</v>
      </c>
      <c r="AZ64" s="12">
        <f ca="1">VLOOKUP(A64,Dividendenrendite!A$3:R$103,18,FALSE)</f>
        <v>0.14785711143985458</v>
      </c>
      <c r="BA64" s="32">
        <f ca="1">IF(AX64&lt;Bewertung_Stammdaten!B$64,Bewertung_Stammdaten!A$64,IF(AX64&lt;Bewertung_Stammdaten!B$65,Bewertung_Stammdaten!A$65,IF(AX64&lt;Bewertung_Stammdaten!B$66,Bewertung_Stammdaten!A$66,IF(AX64&lt;Bewertung_Stammdaten!B$67,Bewertung_Stammdaten!A$67,IF(AX64&lt;Bewertung_Stammdaten!B$68,Bewertung_Stammdaten!A$68,IF(AX64&lt;Bewertung_Stammdaten!B$69,Bewertung_Stammdaten!A$69,IF(AX64&lt;Bewertung_Stammdaten!B$70,Bewertung_Stammdaten!A$70,IF(AX64&lt;Bewertung_Stammdaten!B$71,Bewertung_Stammdaten!A$71,IF(AX64&lt;Bewertung_Stammdaten!B$72,Bewertung_Stammdaten!A$72,Bewertung_Stammdaten!A$73)))))))))</f>
        <v>3</v>
      </c>
      <c r="BB64" s="32">
        <f>IF(AY64&lt;Bewertung_Stammdaten!F$64,Bewertung_Stammdaten!E$64,IF(AY64&lt;Bewertung_Stammdaten!F$65,Bewertung_Stammdaten!E$65,IF(AY64&lt;Bewertung_Stammdaten!F$66,Bewertung_Stammdaten!E$66,IF(AY64&lt;Bewertung_Stammdaten!F$67,Bewertung_Stammdaten!E$67,IF(AY64&lt;Bewertung_Stammdaten!F$68,Bewertung_Stammdaten!E$68,IF(AY64&lt;Bewertung_Stammdaten!F$69,Bewertung_Stammdaten!E$69,IF(AY64&lt;Bewertung_Stammdaten!F$70,Bewertung_Stammdaten!E$70,IF(AY64&lt;Bewertung_Stammdaten!F$71,Bewertung_Stammdaten!E$71,IF(AY64&lt;Bewertung_Stammdaten!F$72,Bewertung_Stammdaten!E$72,Bewertung_Stammdaten!E$73)))))))))</f>
        <v>2</v>
      </c>
      <c r="BC64" s="32">
        <f ca="1">IF(AZ64&lt;Bewertung_Stammdaten!J$64,Bewertung_Stammdaten!I$64,IF(AZ64&lt;Bewertung_Stammdaten!J$65,Bewertung_Stammdaten!I$65,IF(AZ64&lt;Bewertung_Stammdaten!J$66,Bewertung_Stammdaten!I$66,IF(AZ64&lt;Bewertung_Stammdaten!J$67,Bewertung_Stammdaten!I$67,IF(AZ64&lt;Bewertung_Stammdaten!J$68,Bewertung_Stammdaten!I$68,IF(AZ64&lt;Bewertung_Stammdaten!J$69,Bewertung_Stammdaten!I$69,IF(AZ64&lt;Bewertung_Stammdaten!J$70,Bewertung_Stammdaten!I$70,IF(AZ64&lt;Bewertung_Stammdaten!J$71,Bewertung_Stammdaten!I$71,IF(AZ64&lt;Bewertung_Stammdaten!J$72,Bewertung_Stammdaten!I$72,Bewertung_Stammdaten!I$73)))))))))</f>
        <v>4</v>
      </c>
      <c r="BD64" s="43"/>
      <c r="BE64" s="12">
        <f>VLOOKUP(A64,Aktien_im_Umlauf_splitbereinigt!A$3:Z$103,26,FALSE)</f>
        <v>0</v>
      </c>
      <c r="BF64" s="12">
        <f>VLOOKUP(A64,Aktien_im_Umlauf_splitbereinigt!A$3:Y$103,24,FALSE)</f>
        <v>-1.6793691506766573E-2</v>
      </c>
      <c r="BG64" s="12">
        <f>VLOOKUP(A64,Aktien_im_Umlauf_splitbereinigt!A$3:Y$103,25,FALSE)</f>
        <v>-1</v>
      </c>
      <c r="BH64" s="41">
        <f>IF(BE64&lt;Bewertung_Stammdaten!B$77,Bewertung_Stammdaten!A$77,IF(BE64&lt;Bewertung_Stammdaten!B$78,Bewertung_Stammdaten!A$78,IF(BE64&lt;Bewertung_Stammdaten!B$79,Bewertung_Stammdaten!A$79,IF(BE64&lt;Bewertung_Stammdaten!B$80,Bewertung_Stammdaten!A$80,IF(BE64&lt;Bewertung_Stammdaten!B$81,Bewertung_Stammdaten!A$81,IF(BE64&lt;Bewertung_Stammdaten!B$82,Bewertung_Stammdaten!A$82,IF(BE64&lt;Bewertung_Stammdaten!B$83,Bewertung_Stammdaten!A$83,IF(BE64&lt;Bewertung_Stammdaten!B$84,Bewertung_Stammdaten!A$84,IF(BE64&lt;Bewertung_Stammdaten!B$85,Bewertung_Stammdaten!A$85,Bewertung_Stammdaten!A$86)))))))))</f>
        <v>2</v>
      </c>
      <c r="BI64" s="41">
        <f>IF(BF64&lt;Bewertung_Stammdaten!F$77,Bewertung_Stammdaten!E$77,IF(BF64&lt;Bewertung_Stammdaten!F$78,Bewertung_Stammdaten!E$78,IF(BF64&lt;Bewertung_Stammdaten!F$79,Bewertung_Stammdaten!E$79,IF(BF64&lt;Bewertung_Stammdaten!F$80,Bewertung_Stammdaten!E$80,IF(BF64&lt;Bewertung_Stammdaten!F$81,Bewertung_Stammdaten!E$81,IF(BF64&lt;Bewertung_Stammdaten!F$82,Bewertung_Stammdaten!E$82,IF(BF64&lt;Bewertung_Stammdaten!F$83,Bewertung_Stammdaten!E$83,IF(BF64&lt;Bewertung_Stammdaten!F$84,Bewertung_Stammdaten!E$84,IF(BF64&lt;Bewertung_Stammdaten!F$85,Bewertung_Stammdaten!E$85,Bewertung_Stammdaten!E$86)))))))))</f>
        <v>6</v>
      </c>
      <c r="BJ64" s="41">
        <f>IF(BG64&lt;Bewertung_Stammdaten!J$77,Bewertung_Stammdaten!I$77,IF(BG64&lt;Bewertung_Stammdaten!J$78,Bewertung_Stammdaten!I$78,IF(BG64&lt;Bewertung_Stammdaten!J$79,Bewertung_Stammdaten!I$79,IF(BG64&lt;Bewertung_Stammdaten!J$80,Bewertung_Stammdaten!I$80,IF(BG64&lt;Bewertung_Stammdaten!J$81,Bewertung_Stammdaten!I$81,IF(BG64&lt;Bewertung_Stammdaten!J$82,Bewertung_Stammdaten!I$82,IF(BG64&lt;Bewertung_Stammdaten!J$83,Bewertung_Stammdaten!I$83,IF(BG64&lt;Bewertung_Stammdaten!J$84,Bewertung_Stammdaten!I$84,IF(BG64&lt;Bewertung_Stammdaten!J$85,Bewertung_Stammdaten!I$85,Bewertung_Stammdaten!I$86)))))))))</f>
        <v>1</v>
      </c>
      <c r="BK64" s="43"/>
      <c r="BL64" s="12">
        <f ca="1">VLOOKUP(A64,Ausschüttungsquote!A$3:X$103,23,FALSE)</f>
        <v>0.18055304468347944</v>
      </c>
      <c r="BM64" s="12">
        <f>VLOOKUP(A64,Ausschüttungsquote!A$3:X$103,19,FALSE)</f>
        <v>0.15885261912092571</v>
      </c>
      <c r="BN64" s="12">
        <f ca="1">VLOOKUP(A64,Ausschüttungsquote!A$3:X$103,24,FALSE)</f>
        <v>0.13660728845795345</v>
      </c>
      <c r="BO64" s="32">
        <f ca="1">IF(BL64&lt;Bewertung_Stammdaten!B$90,Bewertung_Stammdaten!A$90,IF(BL64&lt;Bewertung_Stammdaten!B$91,Bewertung_Stammdaten!A$91,IF(BL64&lt;Bewertung_Stammdaten!B$92,Bewertung_Stammdaten!A$92,IF(BL64&lt;Bewertung_Stammdaten!B$93,Bewertung_Stammdaten!A$93,IF(BL64&lt;Bewertung_Stammdaten!B$94,Bewertung_Stammdaten!A$94,IF(BL64&lt;Bewertung_Stammdaten!B$95,Bewertung_Stammdaten!A$95,IF(BL64&lt;Bewertung_Stammdaten!B$96,Bewertung_Stammdaten!A$96,IF(BL64&lt;Bewertung_Stammdaten!B$97,Bewertung_Stammdaten!A$97,IF(BL64&lt;Bewertung_Stammdaten!B$98,Bewertung_Stammdaten!A$98,Bewertung_Stammdaten!A$99)))))))))</f>
        <v>10</v>
      </c>
      <c r="BP64" s="41">
        <f>IF(BM64&lt;Bewertung_Stammdaten!F$90,Bewertung_Stammdaten!E$90,IF(BM64&lt;Bewertung_Stammdaten!F$91,Bewertung_Stammdaten!E$91,IF(BM64&lt;Bewertung_Stammdaten!F$92,Bewertung_Stammdaten!E$92,IF(BM64&lt;Bewertung_Stammdaten!F$93,Bewertung_Stammdaten!E$93,IF(BM64&lt;Bewertung_Stammdaten!F$94,Bewertung_Stammdaten!E$94,IF(BM64&lt;Bewertung_Stammdaten!F$95,Bewertung_Stammdaten!E$95,IF(BM64&lt;Bewertung_Stammdaten!F$96,Bewertung_Stammdaten!E$96,IF(BM64&lt;Bewertung_Stammdaten!F$97,Bewertung_Stammdaten!E$97,IF(BM64&lt;Bewertung_Stammdaten!F$98,Bewertung_Stammdaten!E$98,Bewertung_Stammdaten!E$99)))))))))</f>
        <v>10</v>
      </c>
      <c r="BQ64" s="32">
        <f ca="1">IF(BN64&lt;Bewertung_Stammdaten!J$90,Bewertung_Stammdaten!I$90,IF(BN64&lt;Bewertung_Stammdaten!J$91,Bewertung_Stammdaten!I$91,IF(BN64&lt;Bewertung_Stammdaten!J$92,Bewertung_Stammdaten!I$92,IF(BN64&lt;Bewertung_Stammdaten!J$93,Bewertung_Stammdaten!I$93,IF(BN64&lt;Bewertung_Stammdaten!J$94,Bewertung_Stammdaten!I$94,IF(BN64&lt;Bewertung_Stammdaten!J$95,Bewertung_Stammdaten!I$95,IF(BN64&lt;Bewertung_Stammdaten!J$96,Bewertung_Stammdaten!I$96,IF(BN64&lt;Bewertung_Stammdaten!J$97,Bewertung_Stammdaten!I$97,IF(BN64&lt;Bewertung_Stammdaten!J$98,Bewertung_Stammdaten!I$98,Bewertung_Stammdaten!I$99)))))))))</f>
        <v>3</v>
      </c>
    </row>
    <row r="65" spans="3:69" x14ac:dyDescent="0.25">
      <c r="C65" s="55" t="s">
        <v>297</v>
      </c>
      <c r="D65" s="32" t="e">
        <f t="shared" si="11"/>
        <v>#N/A</v>
      </c>
      <c r="E65" s="43"/>
      <c r="F65" s="66">
        <v>1</v>
      </c>
      <c r="G65" s="11" t="e">
        <f>VLOOKUP(A65,KGV!A$3:R$103,17,FALSE)</f>
        <v>#N/A</v>
      </c>
      <c r="H65" s="11" t="e">
        <f>VLOOKUP(A65,KGV!A$3:R$103,16,FALSE)</f>
        <v>#N/A</v>
      </c>
      <c r="I65" s="12" t="e">
        <f>VLOOKUP(A65,KGV!A$3:R$103,18,FALSE)</f>
        <v>#N/A</v>
      </c>
      <c r="J65" s="16" t="e">
        <f t="shared" si="12"/>
        <v>#N/A</v>
      </c>
      <c r="K65" s="12" t="e">
        <f t="shared" si="13"/>
        <v>#N/A</v>
      </c>
      <c r="L65" s="11" t="e">
        <f>VLOOKUP(A65,KBV!A$3:R$103,17,FALSE)</f>
        <v>#N/A</v>
      </c>
      <c r="M65" s="11" t="e">
        <f>VLOOKUP(A65,KBV!A$3:R$103,16,FALSE)</f>
        <v>#N/A</v>
      </c>
      <c r="N65" s="12" t="e">
        <f>VLOOKUP(A65,KBV!A$3:R$103,18,FALSE)</f>
        <v>#N/A</v>
      </c>
      <c r="O65" s="16" t="e">
        <f t="shared" si="9"/>
        <v>#N/A</v>
      </c>
      <c r="P65" s="12" t="e">
        <f t="shared" si="10"/>
        <v>#N/A</v>
      </c>
      <c r="Q65" s="32" t="e">
        <f>IF(F65=1,IF(I65&lt;Bewertung_Stammdaten!B$12,Bewertung_Stammdaten!A$12,IF(I65&lt;Bewertung_Stammdaten!B$13,Bewertung_Stammdaten!A$13,IF(I65&lt;Bewertung_Stammdaten!B$14,Bewertung_Stammdaten!A$14,IF(I65&lt;Bewertung_Stammdaten!B$15,Bewertung_Stammdaten!A$15,IF(I65&lt;Bewertung_Stammdaten!B$16,Bewertung_Stammdaten!A$16,IF(I65&lt;Bewertung_Stammdaten!B$17,Bewertung_Stammdaten!A$17,IF(I65&lt;Bewertung_Stammdaten!B$18,Bewertung_Stammdaten!A$18,IF(I65&lt;Bewertung_Stammdaten!B$19,Bewertung_Stammdaten!A$19,IF(I65&lt;Bewertung_Stammdaten!B$20,Bewertung_Stammdaten!A$20,Bewertung_Stammdaten!A$21))))))))),IF(N65&lt;Bewertung_Stammdaten!C$12,Bewertung_Stammdaten!A$12,IF(N65&lt;Bewertung_Stammdaten!C$13,Bewertung_Stammdaten!A$13,IF(N65&lt;Bewertung_Stammdaten!C$14,Bewertung_Stammdaten!A$14,IF(N65&lt;Bewertung_Stammdaten!C$15,Bewertung_Stammdaten!A$15,IF(N65&lt;Bewertung_Stammdaten!C$16,Bewertung_Stammdaten!A$16,IF(N65&lt;Bewertung_Stammdaten!C$17,Bewertung_Stammdaten!A$17,IF(N65&lt;Bewertung_Stammdaten!C$18,Bewertung_Stammdaten!A$18,IF(N65&lt;Bewertung_Stammdaten!C$19,Bewertung_Stammdaten!A$19,IF(N65&lt;Bewertung_Stammdaten!C$20,Bewertung_Stammdaten!A$20,Bewertung_Stammdaten!A$21))))))))))</f>
        <v>#N/A</v>
      </c>
      <c r="R65" s="32" t="e">
        <f>IF(F65=1,IF(K65&lt;Bewertung_Stammdaten!F$12,Bewertung_Stammdaten!E$12,IF(K65&lt;Bewertung_Stammdaten!F$13,Bewertung_Stammdaten!E$13,IF(K65&lt;Bewertung_Stammdaten!F$14,Bewertung_Stammdaten!E$14,IF(K65&lt;Bewertung_Stammdaten!F$15,Bewertung_Stammdaten!E$15,IF(K65&lt;Bewertung_Stammdaten!F$16,Bewertung_Stammdaten!E$16,IF(K65&lt;Bewertung_Stammdaten!F$17,Bewertung_Stammdaten!E$17,IF(K65&lt;Bewertung_Stammdaten!F$18,Bewertung_Stammdaten!E$18,IF(K65&lt;Bewertung_Stammdaten!F$19,Bewertung_Stammdaten!E$19,IF(K65&lt;Bewertung_Stammdaten!F$20,Bewertung_Stammdaten!E$20,Bewertung_Stammdaten!E$21))))))))),IF(P65&lt;Bewertung_Stammdaten!G$12,Bewertung_Stammdaten!E$12,IF(P65&lt;Bewertung_Stammdaten!G$13,Bewertung_Stammdaten!E$13,IF(P65&lt;Bewertung_Stammdaten!G$14,Bewertung_Stammdaten!E$14,IF(P65&lt;Bewertung_Stammdaten!G$15,Bewertung_Stammdaten!E$15,IF(P65&lt;Bewertung_Stammdaten!G$16,Bewertung_Stammdaten!E$16,IF(P65&lt;Bewertung_Stammdaten!G$17,Bewertung_Stammdaten!E$17,IF(P65&lt;Bewertung_Stammdaten!G$18,Bewertung_Stammdaten!E$18,IF(P65&lt;Bewertung_Stammdaten!G$19,Bewertung_Stammdaten!E$19,IF(P65&lt;Bewertung_Stammdaten!G$20,Bewertung_Stammdaten!E$20,Bewertung_Stammdaten!E$21))))))))))</f>
        <v>#N/A</v>
      </c>
      <c r="S65" s="43"/>
      <c r="T65" s="11" t="e">
        <f>VLOOKUP(A65,Buchwert_je_Aktie!A$3:AK$103,23,FALSE)</f>
        <v>#N/A</v>
      </c>
      <c r="U65" s="11" t="e">
        <f>VLOOKUP(A65,Buchwert_je_Aktie!A$3:AK$103,19,FALSE)</f>
        <v>#N/A</v>
      </c>
      <c r="V65" s="12" t="e">
        <f>VLOOKUP(A65,Buchwert_je_Aktie!A$3:AK$103,24,FALSE)</f>
        <v>#N/A</v>
      </c>
      <c r="W65" s="12" t="e">
        <f>VLOOKUP(A65,Buchwert_je_Aktie!A$3:AK$103,37,FALSE)</f>
        <v>#N/A</v>
      </c>
      <c r="X65" s="16" t="e">
        <f t="shared" si="14"/>
        <v>#N/A</v>
      </c>
      <c r="Y65" s="12" t="e">
        <f t="shared" si="15"/>
        <v>#N/A</v>
      </c>
      <c r="Z65" s="51" t="e">
        <f>IF(V65&lt;Bewertung_Stammdaten!B$25,Bewertung_Stammdaten!A$25,IF(V65&lt;Bewertung_Stammdaten!B$26,Bewertung_Stammdaten!A$26,IF(V65&lt;Bewertung_Stammdaten!B$27,Bewertung_Stammdaten!A$27,IF(V65&lt;Bewertung_Stammdaten!B$28,Bewertung_Stammdaten!A$28,IF(V65&lt;Bewertung_Stammdaten!B$29,Bewertung_Stammdaten!A$29,IF(V65&lt;Bewertung_Stammdaten!B$30,Bewertung_Stammdaten!A$30,IF(V65&lt;Bewertung_Stammdaten!B$31,Bewertung_Stammdaten!A$31,IF(V65&lt;Bewertung_Stammdaten!B$32,Bewertung_Stammdaten!A$32,IF(V65&lt;Bewertung_Stammdaten!B$33,Bewertung_Stammdaten!A$33,Bewertung_Stammdaten!A$34)))))))))</f>
        <v>#N/A</v>
      </c>
      <c r="AA65" s="51" t="e">
        <f>IF(W65&lt;Bewertung_Stammdaten!F$25,Bewertung_Stammdaten!E$25,IF(W65&lt;Bewertung_Stammdaten!F$26,Bewertung_Stammdaten!E$26,IF(W65&lt;Bewertung_Stammdaten!F$27,Bewertung_Stammdaten!E$27,IF(W65&lt;Bewertung_Stammdaten!F$28,Bewertung_Stammdaten!E$28,IF(W65&lt;Bewertung_Stammdaten!F$29,Bewertung_Stammdaten!E$29,IF(W65&lt;Bewertung_Stammdaten!F$30,Bewertung_Stammdaten!E$30,IF(W65&lt;Bewertung_Stammdaten!F$31,Bewertung_Stammdaten!E$31,IF(W65&lt;Bewertung_Stammdaten!F$32,Bewertung_Stammdaten!E$32,IF(W65&lt;Bewertung_Stammdaten!F$33,Bewertung_Stammdaten!E$33,Bewertung_Stammdaten!E$34)))))))))</f>
        <v>#N/A</v>
      </c>
      <c r="AB65" s="51" t="e">
        <f>IF(Y65&lt;Bewertung_Stammdaten!J$25,Bewertung_Stammdaten!I$25,IF(Y65&lt;Bewertung_Stammdaten!J$26,Bewertung_Stammdaten!I$26,IF(Y65&lt;Bewertung_Stammdaten!J$27,Bewertung_Stammdaten!I$27,IF(Y65&lt;Bewertung_Stammdaten!J$28,Bewertung_Stammdaten!I$28,IF(Y65&lt;Bewertung_Stammdaten!J$29,Bewertung_Stammdaten!I$29,IF(Y65&lt;Bewertung_Stammdaten!J$30,Bewertung_Stammdaten!I$30,IF(Y65&lt;Bewertung_Stammdaten!J$31,Bewertung_Stammdaten!I$31,IF(Y65&lt;Bewertung_Stammdaten!J$32,Bewertung_Stammdaten!I$32,IF(Y65&lt;Bewertung_Stammdaten!J$33,Bewertung_Stammdaten!I$33,Bewertung_Stammdaten!I$34)))))))))</f>
        <v>#N/A</v>
      </c>
      <c r="AC65" s="43"/>
      <c r="AD65" s="14" t="e">
        <f>VLOOKUP(A65,Ergebnis_je_Aktie_verwässert!A$3:AK$103,23,FALSE)</f>
        <v>#N/A</v>
      </c>
      <c r="AE65" s="14" t="e">
        <f>VLOOKUP(A65,Ergebnis_je_Aktie_verwässert!A$3:AK$103,19,FALSE)</f>
        <v>#N/A</v>
      </c>
      <c r="AF65" s="12" t="e">
        <f>VLOOKUP(A65,Ergebnis_je_Aktie_verwässert!A$3:AK$103,24,FALSE)</f>
        <v>#N/A</v>
      </c>
      <c r="AG65" s="40" t="e">
        <f>VLOOKUP(A65,Ergebnis_je_Aktie_verwässert!A$3:AK$103,37,FALSE)</f>
        <v>#N/A</v>
      </c>
      <c r="AH65" s="16" t="e">
        <f t="shared" si="16"/>
        <v>#N/A</v>
      </c>
      <c r="AI65" s="12" t="e">
        <f t="shared" si="17"/>
        <v>#N/A</v>
      </c>
      <c r="AJ65" s="32" t="e">
        <f>IF(AF65&lt;Bewertung_Stammdaten!B$38,Bewertung_Stammdaten!A$38,IF(AF65&lt;Bewertung_Stammdaten!B$39,Bewertung_Stammdaten!A$39,IF(AF65&lt;Bewertung_Stammdaten!B$40,Bewertung_Stammdaten!A$40,IF(AF65&lt;Bewertung_Stammdaten!B$41,Bewertung_Stammdaten!A$41,IF(AF65&lt;Bewertung_Stammdaten!B$42,Bewertung_Stammdaten!A$42,IF(AF65&lt;Bewertung_Stammdaten!B$43,Bewertung_Stammdaten!A$43,IF(AF65&lt;Bewertung_Stammdaten!B$44,Bewertung_Stammdaten!A$44,IF(AF65&lt;Bewertung_Stammdaten!B$45,Bewertung_Stammdaten!A$45,IF(AF65&lt;Bewertung_Stammdaten!B$46,Bewertung_Stammdaten!A$46,Bewertung_Stammdaten!A$47)))))))))</f>
        <v>#N/A</v>
      </c>
      <c r="AK65" s="32" t="e">
        <f>IF(AG65&lt;Bewertung_Stammdaten!F$38,Bewertung_Stammdaten!E$38,IF(AG65&lt;Bewertung_Stammdaten!F$39,Bewertung_Stammdaten!E$39,IF(AG65&lt;Bewertung_Stammdaten!F$40,Bewertung_Stammdaten!E$40,IF(AG65&lt;Bewertung_Stammdaten!F$41,Bewertung_Stammdaten!E$41,IF(AG65&lt;Bewertung_Stammdaten!F$42,Bewertung_Stammdaten!E$42,IF(AG65&lt;Bewertung_Stammdaten!F$43,Bewertung_Stammdaten!E$43,IF(AG65&lt;Bewertung_Stammdaten!F$44,Bewertung_Stammdaten!E$44,IF(AG65&lt;Bewertung_Stammdaten!F$45,Bewertung_Stammdaten!E$45,IF(AG65&lt;Bewertung_Stammdaten!F$46,Bewertung_Stammdaten!E$46,Bewertung_Stammdaten!E$47)))))))))</f>
        <v>#N/A</v>
      </c>
      <c r="AL65" s="32" t="e">
        <f>IF(AI65&lt;Bewertung_Stammdaten!J$38,Bewertung_Stammdaten!I$38,IF(AI65&lt;Bewertung_Stammdaten!J$39,Bewertung_Stammdaten!I$39,IF(AI65&lt;Bewertung_Stammdaten!J$40,Bewertung_Stammdaten!I$40,IF(AI65&lt;Bewertung_Stammdaten!J$41,Bewertung_Stammdaten!I$41,IF(AI65&lt;Bewertung_Stammdaten!J$42,Bewertung_Stammdaten!I$42,IF(AI65&lt;Bewertung_Stammdaten!J$43,Bewertung_Stammdaten!I$43,IF(AI65&lt;Bewertung_Stammdaten!J$44,Bewertung_Stammdaten!I$44,IF(AI65&lt;Bewertung_Stammdaten!J$45,Bewertung_Stammdaten!I$45,IF(AI65&lt;Bewertung_Stammdaten!J$46,Bewertung_Stammdaten!I$46,Bewertung_Stammdaten!I$47)))))))))</f>
        <v>#N/A</v>
      </c>
      <c r="AM65" s="43"/>
      <c r="AN65" s="14" t="e">
        <f>VLOOKUP(A65,Dividende_je_Aktie!A$3:AM$103,24,FALSE)</f>
        <v>#N/A</v>
      </c>
      <c r="AO65" s="14" t="e">
        <f>VLOOKUP(A65,Dividende_je_Aktie!A$3:AM$103,20,FALSE)</f>
        <v>#N/A</v>
      </c>
      <c r="AP65" s="12" t="e">
        <f>VLOOKUP(A65,Dividende_je_Aktie!A$3:AM$103,25,FALSE)</f>
        <v>#N/A</v>
      </c>
      <c r="AQ65" s="40" t="e">
        <f>VLOOKUP(A65,Dividende_je_Aktie!A$3:AM$103,39,FALSE)</f>
        <v>#N/A</v>
      </c>
      <c r="AR65" s="16" t="e">
        <f t="shared" si="18"/>
        <v>#N/A</v>
      </c>
      <c r="AS65" s="12" t="e">
        <f t="shared" si="19"/>
        <v>#N/A</v>
      </c>
      <c r="AT65" s="32" t="e">
        <f>IF(AP65&lt;Bewertung_Stammdaten!B$51,Bewertung_Stammdaten!A$51,IF(AP65&lt;Bewertung_Stammdaten!B$52,Bewertung_Stammdaten!A$52,IF(AP65&lt;Bewertung_Stammdaten!B$53,Bewertung_Stammdaten!A$53,IF(AP65&lt;Bewertung_Stammdaten!B$54,Bewertung_Stammdaten!A$54,IF(AP65&lt;Bewertung_Stammdaten!B$55,Bewertung_Stammdaten!A$55,IF(AP65&lt;Bewertung_Stammdaten!B$56,Bewertung_Stammdaten!A$56,IF(AP65&lt;Bewertung_Stammdaten!B$57,Bewertung_Stammdaten!A$57,IF(AP65&lt;Bewertung_Stammdaten!B$58,Bewertung_Stammdaten!A$58,IF(AP65&lt;Bewertung_Stammdaten!B$59,Bewertung_Stammdaten!A$59,Bewertung_Stammdaten!A$60)))))))))</f>
        <v>#N/A</v>
      </c>
      <c r="AU65" s="32" t="e">
        <f>IF(AQ65&lt;Bewertung_Stammdaten!F$51,Bewertung_Stammdaten!E$51,IF(AQ65&lt;Bewertung_Stammdaten!F$52,Bewertung_Stammdaten!E$52,IF(AQ65&lt;Bewertung_Stammdaten!F$53,Bewertung_Stammdaten!E$53,IF(AQ65&lt;Bewertung_Stammdaten!F$54,Bewertung_Stammdaten!E$54,IF(AQ65&lt;Bewertung_Stammdaten!F$55,Bewertung_Stammdaten!E$55,IF(AQ65&lt;Bewertung_Stammdaten!F$56,Bewertung_Stammdaten!E$56,IF(AQ65&lt;Bewertung_Stammdaten!F$57,Bewertung_Stammdaten!E$57,IF(AQ65&lt;Bewertung_Stammdaten!F$58,Bewertung_Stammdaten!E$58,IF(AQ65&lt;Bewertung_Stammdaten!F$59,Bewertung_Stammdaten!E$59,Bewertung_Stammdaten!E$60)))))))))</f>
        <v>#N/A</v>
      </c>
      <c r="AV65" s="32" t="e">
        <f>IF(AS65&lt;Bewertung_Stammdaten!J$51,Bewertung_Stammdaten!I$51,IF(AS65&lt;Bewertung_Stammdaten!J$52,Bewertung_Stammdaten!I$52,IF(AS65&lt;Bewertung_Stammdaten!J$53,Bewertung_Stammdaten!I$53,IF(AS65&lt;Bewertung_Stammdaten!J$54,Bewertung_Stammdaten!I$54,IF(AS65&lt;Bewertung_Stammdaten!J$55,Bewertung_Stammdaten!I$55,IF(AS65&lt;Bewertung_Stammdaten!J$56,Bewertung_Stammdaten!I$56,IF(AS65&lt;Bewertung_Stammdaten!J$57,Bewertung_Stammdaten!I$57,IF(AS65&lt;Bewertung_Stammdaten!J$58,Bewertung_Stammdaten!I$58,IF(AS65&lt;Bewertung_Stammdaten!J$59,Bewertung_Stammdaten!I$59,Bewertung_Stammdaten!I$60)))))))))</f>
        <v>#N/A</v>
      </c>
      <c r="AW65" s="43"/>
      <c r="AX65" s="12" t="e">
        <f>VLOOKUP(A65,Dividendenrendite!A$3:R$103,17,FALSE)</f>
        <v>#N/A</v>
      </c>
      <c r="AY65" s="12" t="e">
        <f>VLOOKUP(A65,Dividendenrendite!A$3:R$103,16,FALSE)</f>
        <v>#N/A</v>
      </c>
      <c r="AZ65" s="12" t="e">
        <f>VLOOKUP(A65,Dividendenrendite!A$3:R$103,18,FALSE)</f>
        <v>#N/A</v>
      </c>
      <c r="BA65" s="32" t="e">
        <f>IF(AX65&lt;Bewertung_Stammdaten!B$64,Bewertung_Stammdaten!A$64,IF(AX65&lt;Bewertung_Stammdaten!B$65,Bewertung_Stammdaten!A$65,IF(AX65&lt;Bewertung_Stammdaten!B$66,Bewertung_Stammdaten!A$66,IF(AX65&lt;Bewertung_Stammdaten!B$67,Bewertung_Stammdaten!A$67,IF(AX65&lt;Bewertung_Stammdaten!B$68,Bewertung_Stammdaten!A$68,IF(AX65&lt;Bewertung_Stammdaten!B$69,Bewertung_Stammdaten!A$69,IF(AX65&lt;Bewertung_Stammdaten!B$70,Bewertung_Stammdaten!A$70,IF(AX65&lt;Bewertung_Stammdaten!B$71,Bewertung_Stammdaten!A$71,IF(AX65&lt;Bewertung_Stammdaten!B$72,Bewertung_Stammdaten!A$72,Bewertung_Stammdaten!A$73)))))))))</f>
        <v>#N/A</v>
      </c>
      <c r="BB65" s="32" t="e">
        <f>IF(AY65&lt;Bewertung_Stammdaten!F$64,Bewertung_Stammdaten!E$64,IF(AY65&lt;Bewertung_Stammdaten!F$65,Bewertung_Stammdaten!E$65,IF(AY65&lt;Bewertung_Stammdaten!F$66,Bewertung_Stammdaten!E$66,IF(AY65&lt;Bewertung_Stammdaten!F$67,Bewertung_Stammdaten!E$67,IF(AY65&lt;Bewertung_Stammdaten!F$68,Bewertung_Stammdaten!E$68,IF(AY65&lt;Bewertung_Stammdaten!F$69,Bewertung_Stammdaten!E$69,IF(AY65&lt;Bewertung_Stammdaten!F$70,Bewertung_Stammdaten!E$70,IF(AY65&lt;Bewertung_Stammdaten!F$71,Bewertung_Stammdaten!E$71,IF(AY65&lt;Bewertung_Stammdaten!F$72,Bewertung_Stammdaten!E$72,Bewertung_Stammdaten!E$73)))))))))</f>
        <v>#N/A</v>
      </c>
      <c r="BC65" s="32" t="e">
        <f>IF(AZ65&lt;Bewertung_Stammdaten!J$64,Bewertung_Stammdaten!I$64,IF(AZ65&lt;Bewertung_Stammdaten!J$65,Bewertung_Stammdaten!I$65,IF(AZ65&lt;Bewertung_Stammdaten!J$66,Bewertung_Stammdaten!I$66,IF(AZ65&lt;Bewertung_Stammdaten!J$67,Bewertung_Stammdaten!I$67,IF(AZ65&lt;Bewertung_Stammdaten!J$68,Bewertung_Stammdaten!I$68,IF(AZ65&lt;Bewertung_Stammdaten!J$69,Bewertung_Stammdaten!I$69,IF(AZ65&lt;Bewertung_Stammdaten!J$70,Bewertung_Stammdaten!I$70,IF(AZ65&lt;Bewertung_Stammdaten!J$71,Bewertung_Stammdaten!I$71,IF(AZ65&lt;Bewertung_Stammdaten!J$72,Bewertung_Stammdaten!I$72,Bewertung_Stammdaten!I$73)))))))))</f>
        <v>#N/A</v>
      </c>
      <c r="BD65" s="43"/>
      <c r="BE65" s="12" t="e">
        <f>VLOOKUP(A65,Aktien_im_Umlauf_splitbereinigt!A$3:Z$103,26,FALSE)</f>
        <v>#N/A</v>
      </c>
      <c r="BF65" s="12" t="e">
        <f>VLOOKUP(A65,Aktien_im_Umlauf_splitbereinigt!A$3:Y$103,24,FALSE)</f>
        <v>#N/A</v>
      </c>
      <c r="BG65" s="12" t="e">
        <f>VLOOKUP(A65,Aktien_im_Umlauf_splitbereinigt!A$3:Y$103,25,FALSE)</f>
        <v>#N/A</v>
      </c>
      <c r="BH65" s="41" t="e">
        <f>IF(BE65&lt;Bewertung_Stammdaten!B$77,Bewertung_Stammdaten!A$77,IF(BE65&lt;Bewertung_Stammdaten!B$78,Bewertung_Stammdaten!A$78,IF(BE65&lt;Bewertung_Stammdaten!B$79,Bewertung_Stammdaten!A$79,IF(BE65&lt;Bewertung_Stammdaten!B$80,Bewertung_Stammdaten!A$80,IF(BE65&lt;Bewertung_Stammdaten!B$81,Bewertung_Stammdaten!A$81,IF(BE65&lt;Bewertung_Stammdaten!B$82,Bewertung_Stammdaten!A$82,IF(BE65&lt;Bewertung_Stammdaten!B$83,Bewertung_Stammdaten!A$83,IF(BE65&lt;Bewertung_Stammdaten!B$84,Bewertung_Stammdaten!A$84,IF(BE65&lt;Bewertung_Stammdaten!B$85,Bewertung_Stammdaten!A$85,Bewertung_Stammdaten!A$86)))))))))</f>
        <v>#N/A</v>
      </c>
      <c r="BI65" s="41" t="e">
        <f>IF(BF65&lt;Bewertung_Stammdaten!F$77,Bewertung_Stammdaten!E$77,IF(BF65&lt;Bewertung_Stammdaten!F$78,Bewertung_Stammdaten!E$78,IF(BF65&lt;Bewertung_Stammdaten!F$79,Bewertung_Stammdaten!E$79,IF(BF65&lt;Bewertung_Stammdaten!F$80,Bewertung_Stammdaten!E$80,IF(BF65&lt;Bewertung_Stammdaten!F$81,Bewertung_Stammdaten!E$81,IF(BF65&lt;Bewertung_Stammdaten!F$82,Bewertung_Stammdaten!E$82,IF(BF65&lt;Bewertung_Stammdaten!F$83,Bewertung_Stammdaten!E$83,IF(BF65&lt;Bewertung_Stammdaten!F$84,Bewertung_Stammdaten!E$84,IF(BF65&lt;Bewertung_Stammdaten!F$85,Bewertung_Stammdaten!E$85,Bewertung_Stammdaten!E$86)))))))))</f>
        <v>#N/A</v>
      </c>
      <c r="BJ65" s="41" t="e">
        <f>IF(BG65&lt;Bewertung_Stammdaten!J$77,Bewertung_Stammdaten!I$77,IF(BG65&lt;Bewertung_Stammdaten!J$78,Bewertung_Stammdaten!I$78,IF(BG65&lt;Bewertung_Stammdaten!J$79,Bewertung_Stammdaten!I$79,IF(BG65&lt;Bewertung_Stammdaten!J$80,Bewertung_Stammdaten!I$80,IF(BG65&lt;Bewertung_Stammdaten!J$81,Bewertung_Stammdaten!I$81,IF(BG65&lt;Bewertung_Stammdaten!J$82,Bewertung_Stammdaten!I$82,IF(BG65&lt;Bewertung_Stammdaten!J$83,Bewertung_Stammdaten!I$83,IF(BG65&lt;Bewertung_Stammdaten!J$84,Bewertung_Stammdaten!I$84,IF(BG65&lt;Bewertung_Stammdaten!J$85,Bewertung_Stammdaten!I$85,Bewertung_Stammdaten!I$86)))))))))</f>
        <v>#N/A</v>
      </c>
      <c r="BK65" s="43"/>
      <c r="BL65" s="12" t="e">
        <f>VLOOKUP(A65,Ausschüttungsquote!A$3:X$103,23,FALSE)</f>
        <v>#N/A</v>
      </c>
      <c r="BM65" s="12" t="e">
        <f>VLOOKUP(A65,Ausschüttungsquote!A$3:X$103,19,FALSE)</f>
        <v>#N/A</v>
      </c>
      <c r="BN65" s="12" t="e">
        <f>VLOOKUP(A65,Ausschüttungsquote!A$3:X$103,24,FALSE)</f>
        <v>#N/A</v>
      </c>
      <c r="BO65" s="32" t="e">
        <f>IF(BL65&lt;Bewertung_Stammdaten!B$90,Bewertung_Stammdaten!A$90,IF(BL65&lt;Bewertung_Stammdaten!B$91,Bewertung_Stammdaten!A$91,IF(BL65&lt;Bewertung_Stammdaten!B$92,Bewertung_Stammdaten!A$92,IF(BL65&lt;Bewertung_Stammdaten!B$93,Bewertung_Stammdaten!A$93,IF(BL65&lt;Bewertung_Stammdaten!B$94,Bewertung_Stammdaten!A$94,IF(BL65&lt;Bewertung_Stammdaten!B$95,Bewertung_Stammdaten!A$95,IF(BL65&lt;Bewertung_Stammdaten!B$96,Bewertung_Stammdaten!A$96,IF(BL65&lt;Bewertung_Stammdaten!B$97,Bewertung_Stammdaten!A$97,IF(BL65&lt;Bewertung_Stammdaten!B$98,Bewertung_Stammdaten!A$98,Bewertung_Stammdaten!A$99)))))))))</f>
        <v>#N/A</v>
      </c>
      <c r="BP65" s="41" t="e">
        <f>IF(BM65&lt;Bewertung_Stammdaten!F$90,Bewertung_Stammdaten!E$90,IF(BM65&lt;Bewertung_Stammdaten!F$91,Bewertung_Stammdaten!E$91,IF(BM65&lt;Bewertung_Stammdaten!F$92,Bewertung_Stammdaten!E$92,IF(BM65&lt;Bewertung_Stammdaten!F$93,Bewertung_Stammdaten!E$93,IF(BM65&lt;Bewertung_Stammdaten!F$94,Bewertung_Stammdaten!E$94,IF(BM65&lt;Bewertung_Stammdaten!F$95,Bewertung_Stammdaten!E$95,IF(BM65&lt;Bewertung_Stammdaten!F$96,Bewertung_Stammdaten!E$96,IF(BM65&lt;Bewertung_Stammdaten!F$97,Bewertung_Stammdaten!E$97,IF(BM65&lt;Bewertung_Stammdaten!F$98,Bewertung_Stammdaten!E$98,Bewertung_Stammdaten!E$99)))))))))</f>
        <v>#N/A</v>
      </c>
      <c r="BQ65" s="32" t="e">
        <f>IF(BN65&lt;Bewertung_Stammdaten!J$90,Bewertung_Stammdaten!I$90,IF(BN65&lt;Bewertung_Stammdaten!J$91,Bewertung_Stammdaten!I$91,IF(BN65&lt;Bewertung_Stammdaten!J$92,Bewertung_Stammdaten!I$92,IF(BN65&lt;Bewertung_Stammdaten!J$93,Bewertung_Stammdaten!I$93,IF(BN65&lt;Bewertung_Stammdaten!J$94,Bewertung_Stammdaten!I$94,IF(BN65&lt;Bewertung_Stammdaten!J$95,Bewertung_Stammdaten!I$95,IF(BN65&lt;Bewertung_Stammdaten!J$96,Bewertung_Stammdaten!I$96,IF(BN65&lt;Bewertung_Stammdaten!J$97,Bewertung_Stammdaten!I$97,IF(BN65&lt;Bewertung_Stammdaten!J$98,Bewertung_Stammdaten!I$98,Bewertung_Stammdaten!I$99)))))))))</f>
        <v>#N/A</v>
      </c>
    </row>
    <row r="66" spans="3:69" x14ac:dyDescent="0.25">
      <c r="C66" s="55" t="s">
        <v>297</v>
      </c>
      <c r="D66" s="32" t="e">
        <f t="shared" si="11"/>
        <v>#N/A</v>
      </c>
      <c r="E66" s="43"/>
      <c r="F66" s="66">
        <v>1</v>
      </c>
      <c r="G66" s="11" t="e">
        <f>VLOOKUP(A66,KGV!A$3:R$103,17,FALSE)</f>
        <v>#N/A</v>
      </c>
      <c r="H66" s="11" t="e">
        <f>VLOOKUP(A66,KGV!A$3:R$103,16,FALSE)</f>
        <v>#N/A</v>
      </c>
      <c r="I66" s="12" t="e">
        <f>VLOOKUP(A66,KGV!A$3:R$103,18,FALSE)</f>
        <v>#N/A</v>
      </c>
      <c r="J66" s="16" t="e">
        <f t="shared" si="12"/>
        <v>#N/A</v>
      </c>
      <c r="K66" s="12" t="e">
        <f t="shared" si="13"/>
        <v>#N/A</v>
      </c>
      <c r="L66" s="11" t="e">
        <f>VLOOKUP(A66,KBV!A$3:R$103,17,FALSE)</f>
        <v>#N/A</v>
      </c>
      <c r="M66" s="11" t="e">
        <f>VLOOKUP(A66,KBV!A$3:R$103,16,FALSE)</f>
        <v>#N/A</v>
      </c>
      <c r="N66" s="12" t="e">
        <f>VLOOKUP(A66,KBV!A$3:R$103,18,FALSE)</f>
        <v>#N/A</v>
      </c>
      <c r="O66" s="16" t="e">
        <f t="shared" si="9"/>
        <v>#N/A</v>
      </c>
      <c r="P66" s="12" t="e">
        <f t="shared" si="10"/>
        <v>#N/A</v>
      </c>
      <c r="Q66" s="32" t="e">
        <f>IF(F66=1,IF(I66&lt;Bewertung_Stammdaten!B$12,Bewertung_Stammdaten!A$12,IF(I66&lt;Bewertung_Stammdaten!B$13,Bewertung_Stammdaten!A$13,IF(I66&lt;Bewertung_Stammdaten!B$14,Bewertung_Stammdaten!A$14,IF(I66&lt;Bewertung_Stammdaten!B$15,Bewertung_Stammdaten!A$15,IF(I66&lt;Bewertung_Stammdaten!B$16,Bewertung_Stammdaten!A$16,IF(I66&lt;Bewertung_Stammdaten!B$17,Bewertung_Stammdaten!A$17,IF(I66&lt;Bewertung_Stammdaten!B$18,Bewertung_Stammdaten!A$18,IF(I66&lt;Bewertung_Stammdaten!B$19,Bewertung_Stammdaten!A$19,IF(I66&lt;Bewertung_Stammdaten!B$20,Bewertung_Stammdaten!A$20,Bewertung_Stammdaten!A$21))))))))),IF(N66&lt;Bewertung_Stammdaten!C$12,Bewertung_Stammdaten!A$12,IF(N66&lt;Bewertung_Stammdaten!C$13,Bewertung_Stammdaten!A$13,IF(N66&lt;Bewertung_Stammdaten!C$14,Bewertung_Stammdaten!A$14,IF(N66&lt;Bewertung_Stammdaten!C$15,Bewertung_Stammdaten!A$15,IF(N66&lt;Bewertung_Stammdaten!C$16,Bewertung_Stammdaten!A$16,IF(N66&lt;Bewertung_Stammdaten!C$17,Bewertung_Stammdaten!A$17,IF(N66&lt;Bewertung_Stammdaten!C$18,Bewertung_Stammdaten!A$18,IF(N66&lt;Bewertung_Stammdaten!C$19,Bewertung_Stammdaten!A$19,IF(N66&lt;Bewertung_Stammdaten!C$20,Bewertung_Stammdaten!A$20,Bewertung_Stammdaten!A$21))))))))))</f>
        <v>#N/A</v>
      </c>
      <c r="R66" s="32" t="e">
        <f>IF(F66=1,IF(K66&lt;Bewertung_Stammdaten!F$12,Bewertung_Stammdaten!E$12,IF(K66&lt;Bewertung_Stammdaten!F$13,Bewertung_Stammdaten!E$13,IF(K66&lt;Bewertung_Stammdaten!F$14,Bewertung_Stammdaten!E$14,IF(K66&lt;Bewertung_Stammdaten!F$15,Bewertung_Stammdaten!E$15,IF(K66&lt;Bewertung_Stammdaten!F$16,Bewertung_Stammdaten!E$16,IF(K66&lt;Bewertung_Stammdaten!F$17,Bewertung_Stammdaten!E$17,IF(K66&lt;Bewertung_Stammdaten!F$18,Bewertung_Stammdaten!E$18,IF(K66&lt;Bewertung_Stammdaten!F$19,Bewertung_Stammdaten!E$19,IF(K66&lt;Bewertung_Stammdaten!F$20,Bewertung_Stammdaten!E$20,Bewertung_Stammdaten!E$21))))))))),IF(P66&lt;Bewertung_Stammdaten!G$12,Bewertung_Stammdaten!E$12,IF(P66&lt;Bewertung_Stammdaten!G$13,Bewertung_Stammdaten!E$13,IF(P66&lt;Bewertung_Stammdaten!G$14,Bewertung_Stammdaten!E$14,IF(P66&lt;Bewertung_Stammdaten!G$15,Bewertung_Stammdaten!E$15,IF(P66&lt;Bewertung_Stammdaten!G$16,Bewertung_Stammdaten!E$16,IF(P66&lt;Bewertung_Stammdaten!G$17,Bewertung_Stammdaten!E$17,IF(P66&lt;Bewertung_Stammdaten!G$18,Bewertung_Stammdaten!E$18,IF(P66&lt;Bewertung_Stammdaten!G$19,Bewertung_Stammdaten!E$19,IF(P66&lt;Bewertung_Stammdaten!G$20,Bewertung_Stammdaten!E$20,Bewertung_Stammdaten!E$21))))))))))</f>
        <v>#N/A</v>
      </c>
      <c r="S66" s="43"/>
      <c r="T66" s="11" t="e">
        <f>VLOOKUP(A66,Buchwert_je_Aktie!A$3:AK$103,23,FALSE)</f>
        <v>#N/A</v>
      </c>
      <c r="U66" s="11" t="e">
        <f>VLOOKUP(A66,Buchwert_je_Aktie!A$3:AK$103,19,FALSE)</f>
        <v>#N/A</v>
      </c>
      <c r="V66" s="12" t="e">
        <f>VLOOKUP(A66,Buchwert_je_Aktie!A$3:AK$103,24,FALSE)</f>
        <v>#N/A</v>
      </c>
      <c r="W66" s="12" t="e">
        <f>VLOOKUP(A66,Buchwert_je_Aktie!A$3:AK$103,37,FALSE)</f>
        <v>#N/A</v>
      </c>
      <c r="X66" s="16" t="e">
        <f t="shared" si="14"/>
        <v>#N/A</v>
      </c>
      <c r="Y66" s="12" t="e">
        <f t="shared" si="15"/>
        <v>#N/A</v>
      </c>
      <c r="Z66" s="51" t="e">
        <f>IF(V66&lt;Bewertung_Stammdaten!B$25,Bewertung_Stammdaten!A$25,IF(V66&lt;Bewertung_Stammdaten!B$26,Bewertung_Stammdaten!A$26,IF(V66&lt;Bewertung_Stammdaten!B$27,Bewertung_Stammdaten!A$27,IF(V66&lt;Bewertung_Stammdaten!B$28,Bewertung_Stammdaten!A$28,IF(V66&lt;Bewertung_Stammdaten!B$29,Bewertung_Stammdaten!A$29,IF(V66&lt;Bewertung_Stammdaten!B$30,Bewertung_Stammdaten!A$30,IF(V66&lt;Bewertung_Stammdaten!B$31,Bewertung_Stammdaten!A$31,IF(V66&lt;Bewertung_Stammdaten!B$32,Bewertung_Stammdaten!A$32,IF(V66&lt;Bewertung_Stammdaten!B$33,Bewertung_Stammdaten!A$33,Bewertung_Stammdaten!A$34)))))))))</f>
        <v>#N/A</v>
      </c>
      <c r="AA66" s="51" t="e">
        <f>IF(W66&lt;Bewertung_Stammdaten!F$25,Bewertung_Stammdaten!E$25,IF(W66&lt;Bewertung_Stammdaten!F$26,Bewertung_Stammdaten!E$26,IF(W66&lt;Bewertung_Stammdaten!F$27,Bewertung_Stammdaten!E$27,IF(W66&lt;Bewertung_Stammdaten!F$28,Bewertung_Stammdaten!E$28,IF(W66&lt;Bewertung_Stammdaten!F$29,Bewertung_Stammdaten!E$29,IF(W66&lt;Bewertung_Stammdaten!F$30,Bewertung_Stammdaten!E$30,IF(W66&lt;Bewertung_Stammdaten!F$31,Bewertung_Stammdaten!E$31,IF(W66&lt;Bewertung_Stammdaten!F$32,Bewertung_Stammdaten!E$32,IF(W66&lt;Bewertung_Stammdaten!F$33,Bewertung_Stammdaten!E$33,Bewertung_Stammdaten!E$34)))))))))</f>
        <v>#N/A</v>
      </c>
      <c r="AB66" s="51" t="e">
        <f>IF(Y66&lt;Bewertung_Stammdaten!J$25,Bewertung_Stammdaten!I$25,IF(Y66&lt;Bewertung_Stammdaten!J$26,Bewertung_Stammdaten!I$26,IF(Y66&lt;Bewertung_Stammdaten!J$27,Bewertung_Stammdaten!I$27,IF(Y66&lt;Bewertung_Stammdaten!J$28,Bewertung_Stammdaten!I$28,IF(Y66&lt;Bewertung_Stammdaten!J$29,Bewertung_Stammdaten!I$29,IF(Y66&lt;Bewertung_Stammdaten!J$30,Bewertung_Stammdaten!I$30,IF(Y66&lt;Bewertung_Stammdaten!J$31,Bewertung_Stammdaten!I$31,IF(Y66&lt;Bewertung_Stammdaten!J$32,Bewertung_Stammdaten!I$32,IF(Y66&lt;Bewertung_Stammdaten!J$33,Bewertung_Stammdaten!I$33,Bewertung_Stammdaten!I$34)))))))))</f>
        <v>#N/A</v>
      </c>
      <c r="AC66" s="43"/>
      <c r="AD66" s="14" t="e">
        <f>VLOOKUP(A66,Ergebnis_je_Aktie_verwässert!A$3:AK$103,23,FALSE)</f>
        <v>#N/A</v>
      </c>
      <c r="AE66" s="14" t="e">
        <f>VLOOKUP(A66,Ergebnis_je_Aktie_verwässert!A$3:AK$103,19,FALSE)</f>
        <v>#N/A</v>
      </c>
      <c r="AF66" s="12" t="e">
        <f>VLOOKUP(A66,Ergebnis_je_Aktie_verwässert!A$3:AK$103,24,FALSE)</f>
        <v>#N/A</v>
      </c>
      <c r="AG66" s="40" t="e">
        <f>VLOOKUP(A66,Ergebnis_je_Aktie_verwässert!A$3:AK$103,37,FALSE)</f>
        <v>#N/A</v>
      </c>
      <c r="AH66" s="16" t="e">
        <f t="shared" si="16"/>
        <v>#N/A</v>
      </c>
      <c r="AI66" s="12" t="e">
        <f t="shared" si="17"/>
        <v>#N/A</v>
      </c>
      <c r="AJ66" s="32" t="e">
        <f>IF(AF66&lt;Bewertung_Stammdaten!B$38,Bewertung_Stammdaten!A$38,IF(AF66&lt;Bewertung_Stammdaten!B$39,Bewertung_Stammdaten!A$39,IF(AF66&lt;Bewertung_Stammdaten!B$40,Bewertung_Stammdaten!A$40,IF(AF66&lt;Bewertung_Stammdaten!B$41,Bewertung_Stammdaten!A$41,IF(AF66&lt;Bewertung_Stammdaten!B$42,Bewertung_Stammdaten!A$42,IF(AF66&lt;Bewertung_Stammdaten!B$43,Bewertung_Stammdaten!A$43,IF(AF66&lt;Bewertung_Stammdaten!B$44,Bewertung_Stammdaten!A$44,IF(AF66&lt;Bewertung_Stammdaten!B$45,Bewertung_Stammdaten!A$45,IF(AF66&lt;Bewertung_Stammdaten!B$46,Bewertung_Stammdaten!A$46,Bewertung_Stammdaten!A$47)))))))))</f>
        <v>#N/A</v>
      </c>
      <c r="AK66" s="32" t="e">
        <f>IF(AG66&lt;Bewertung_Stammdaten!F$38,Bewertung_Stammdaten!E$38,IF(AG66&lt;Bewertung_Stammdaten!F$39,Bewertung_Stammdaten!E$39,IF(AG66&lt;Bewertung_Stammdaten!F$40,Bewertung_Stammdaten!E$40,IF(AG66&lt;Bewertung_Stammdaten!F$41,Bewertung_Stammdaten!E$41,IF(AG66&lt;Bewertung_Stammdaten!F$42,Bewertung_Stammdaten!E$42,IF(AG66&lt;Bewertung_Stammdaten!F$43,Bewertung_Stammdaten!E$43,IF(AG66&lt;Bewertung_Stammdaten!F$44,Bewertung_Stammdaten!E$44,IF(AG66&lt;Bewertung_Stammdaten!F$45,Bewertung_Stammdaten!E$45,IF(AG66&lt;Bewertung_Stammdaten!F$46,Bewertung_Stammdaten!E$46,Bewertung_Stammdaten!E$47)))))))))</f>
        <v>#N/A</v>
      </c>
      <c r="AL66" s="32" t="e">
        <f>IF(AI66&lt;Bewertung_Stammdaten!J$38,Bewertung_Stammdaten!I$38,IF(AI66&lt;Bewertung_Stammdaten!J$39,Bewertung_Stammdaten!I$39,IF(AI66&lt;Bewertung_Stammdaten!J$40,Bewertung_Stammdaten!I$40,IF(AI66&lt;Bewertung_Stammdaten!J$41,Bewertung_Stammdaten!I$41,IF(AI66&lt;Bewertung_Stammdaten!J$42,Bewertung_Stammdaten!I$42,IF(AI66&lt;Bewertung_Stammdaten!J$43,Bewertung_Stammdaten!I$43,IF(AI66&lt;Bewertung_Stammdaten!J$44,Bewertung_Stammdaten!I$44,IF(AI66&lt;Bewertung_Stammdaten!J$45,Bewertung_Stammdaten!I$45,IF(AI66&lt;Bewertung_Stammdaten!J$46,Bewertung_Stammdaten!I$46,Bewertung_Stammdaten!I$47)))))))))</f>
        <v>#N/A</v>
      </c>
      <c r="AM66" s="43"/>
      <c r="AN66" s="14" t="e">
        <f>VLOOKUP(A66,Dividende_je_Aktie!A$3:AM$103,24,FALSE)</f>
        <v>#N/A</v>
      </c>
      <c r="AO66" s="14" t="e">
        <f>VLOOKUP(A66,Dividende_je_Aktie!A$3:AM$103,20,FALSE)</f>
        <v>#N/A</v>
      </c>
      <c r="AP66" s="12" t="e">
        <f>VLOOKUP(A66,Dividende_je_Aktie!A$3:AM$103,25,FALSE)</f>
        <v>#N/A</v>
      </c>
      <c r="AQ66" s="40" t="e">
        <f>VLOOKUP(A66,Dividende_je_Aktie!A$3:AM$103,39,FALSE)</f>
        <v>#N/A</v>
      </c>
      <c r="AR66" s="16" t="e">
        <f t="shared" si="18"/>
        <v>#N/A</v>
      </c>
      <c r="AS66" s="12" t="e">
        <f t="shared" si="19"/>
        <v>#N/A</v>
      </c>
      <c r="AT66" s="32" t="e">
        <f>IF(AP66&lt;Bewertung_Stammdaten!B$51,Bewertung_Stammdaten!A$51,IF(AP66&lt;Bewertung_Stammdaten!B$52,Bewertung_Stammdaten!A$52,IF(AP66&lt;Bewertung_Stammdaten!B$53,Bewertung_Stammdaten!A$53,IF(AP66&lt;Bewertung_Stammdaten!B$54,Bewertung_Stammdaten!A$54,IF(AP66&lt;Bewertung_Stammdaten!B$55,Bewertung_Stammdaten!A$55,IF(AP66&lt;Bewertung_Stammdaten!B$56,Bewertung_Stammdaten!A$56,IF(AP66&lt;Bewertung_Stammdaten!B$57,Bewertung_Stammdaten!A$57,IF(AP66&lt;Bewertung_Stammdaten!B$58,Bewertung_Stammdaten!A$58,IF(AP66&lt;Bewertung_Stammdaten!B$59,Bewertung_Stammdaten!A$59,Bewertung_Stammdaten!A$60)))))))))</f>
        <v>#N/A</v>
      </c>
      <c r="AU66" s="32" t="e">
        <f>IF(AQ66&lt;Bewertung_Stammdaten!F$51,Bewertung_Stammdaten!E$51,IF(AQ66&lt;Bewertung_Stammdaten!F$52,Bewertung_Stammdaten!E$52,IF(AQ66&lt;Bewertung_Stammdaten!F$53,Bewertung_Stammdaten!E$53,IF(AQ66&lt;Bewertung_Stammdaten!F$54,Bewertung_Stammdaten!E$54,IF(AQ66&lt;Bewertung_Stammdaten!F$55,Bewertung_Stammdaten!E$55,IF(AQ66&lt;Bewertung_Stammdaten!F$56,Bewertung_Stammdaten!E$56,IF(AQ66&lt;Bewertung_Stammdaten!F$57,Bewertung_Stammdaten!E$57,IF(AQ66&lt;Bewertung_Stammdaten!F$58,Bewertung_Stammdaten!E$58,IF(AQ66&lt;Bewertung_Stammdaten!F$59,Bewertung_Stammdaten!E$59,Bewertung_Stammdaten!E$60)))))))))</f>
        <v>#N/A</v>
      </c>
      <c r="AV66" s="32" t="e">
        <f>IF(AS66&lt;Bewertung_Stammdaten!J$51,Bewertung_Stammdaten!I$51,IF(AS66&lt;Bewertung_Stammdaten!J$52,Bewertung_Stammdaten!I$52,IF(AS66&lt;Bewertung_Stammdaten!J$53,Bewertung_Stammdaten!I$53,IF(AS66&lt;Bewertung_Stammdaten!J$54,Bewertung_Stammdaten!I$54,IF(AS66&lt;Bewertung_Stammdaten!J$55,Bewertung_Stammdaten!I$55,IF(AS66&lt;Bewertung_Stammdaten!J$56,Bewertung_Stammdaten!I$56,IF(AS66&lt;Bewertung_Stammdaten!J$57,Bewertung_Stammdaten!I$57,IF(AS66&lt;Bewertung_Stammdaten!J$58,Bewertung_Stammdaten!I$58,IF(AS66&lt;Bewertung_Stammdaten!J$59,Bewertung_Stammdaten!I$59,Bewertung_Stammdaten!I$60)))))))))</f>
        <v>#N/A</v>
      </c>
      <c r="AW66" s="43"/>
      <c r="AX66" s="12" t="e">
        <f>VLOOKUP(A66,Dividendenrendite!A$3:R$103,17,FALSE)</f>
        <v>#N/A</v>
      </c>
      <c r="AY66" s="12" t="e">
        <f>VLOOKUP(A66,Dividendenrendite!A$3:R$103,16,FALSE)</f>
        <v>#N/A</v>
      </c>
      <c r="AZ66" s="12" t="e">
        <f>VLOOKUP(A66,Dividendenrendite!A$3:R$103,18,FALSE)</f>
        <v>#N/A</v>
      </c>
      <c r="BA66" s="32" t="e">
        <f>IF(AX66&lt;Bewertung_Stammdaten!B$64,Bewertung_Stammdaten!A$64,IF(AX66&lt;Bewertung_Stammdaten!B$65,Bewertung_Stammdaten!A$65,IF(AX66&lt;Bewertung_Stammdaten!B$66,Bewertung_Stammdaten!A$66,IF(AX66&lt;Bewertung_Stammdaten!B$67,Bewertung_Stammdaten!A$67,IF(AX66&lt;Bewertung_Stammdaten!B$68,Bewertung_Stammdaten!A$68,IF(AX66&lt;Bewertung_Stammdaten!B$69,Bewertung_Stammdaten!A$69,IF(AX66&lt;Bewertung_Stammdaten!B$70,Bewertung_Stammdaten!A$70,IF(AX66&lt;Bewertung_Stammdaten!B$71,Bewertung_Stammdaten!A$71,IF(AX66&lt;Bewertung_Stammdaten!B$72,Bewertung_Stammdaten!A$72,Bewertung_Stammdaten!A$73)))))))))</f>
        <v>#N/A</v>
      </c>
      <c r="BB66" s="32" t="e">
        <f>IF(AY66&lt;Bewertung_Stammdaten!F$64,Bewertung_Stammdaten!E$64,IF(AY66&lt;Bewertung_Stammdaten!F$65,Bewertung_Stammdaten!E$65,IF(AY66&lt;Bewertung_Stammdaten!F$66,Bewertung_Stammdaten!E$66,IF(AY66&lt;Bewertung_Stammdaten!F$67,Bewertung_Stammdaten!E$67,IF(AY66&lt;Bewertung_Stammdaten!F$68,Bewertung_Stammdaten!E$68,IF(AY66&lt;Bewertung_Stammdaten!F$69,Bewertung_Stammdaten!E$69,IF(AY66&lt;Bewertung_Stammdaten!F$70,Bewertung_Stammdaten!E$70,IF(AY66&lt;Bewertung_Stammdaten!F$71,Bewertung_Stammdaten!E$71,IF(AY66&lt;Bewertung_Stammdaten!F$72,Bewertung_Stammdaten!E$72,Bewertung_Stammdaten!E$73)))))))))</f>
        <v>#N/A</v>
      </c>
      <c r="BC66" s="32" t="e">
        <f>IF(AZ66&lt;Bewertung_Stammdaten!J$64,Bewertung_Stammdaten!I$64,IF(AZ66&lt;Bewertung_Stammdaten!J$65,Bewertung_Stammdaten!I$65,IF(AZ66&lt;Bewertung_Stammdaten!J$66,Bewertung_Stammdaten!I$66,IF(AZ66&lt;Bewertung_Stammdaten!J$67,Bewertung_Stammdaten!I$67,IF(AZ66&lt;Bewertung_Stammdaten!J$68,Bewertung_Stammdaten!I$68,IF(AZ66&lt;Bewertung_Stammdaten!J$69,Bewertung_Stammdaten!I$69,IF(AZ66&lt;Bewertung_Stammdaten!J$70,Bewertung_Stammdaten!I$70,IF(AZ66&lt;Bewertung_Stammdaten!J$71,Bewertung_Stammdaten!I$71,IF(AZ66&lt;Bewertung_Stammdaten!J$72,Bewertung_Stammdaten!I$72,Bewertung_Stammdaten!I$73)))))))))</f>
        <v>#N/A</v>
      </c>
      <c r="BD66" s="43"/>
      <c r="BE66" s="12" t="e">
        <f>VLOOKUP(A66,Aktien_im_Umlauf_splitbereinigt!A$3:Z$103,26,FALSE)</f>
        <v>#N/A</v>
      </c>
      <c r="BF66" s="12" t="e">
        <f>VLOOKUP(A66,Aktien_im_Umlauf_splitbereinigt!A$3:Y$103,24,FALSE)</f>
        <v>#N/A</v>
      </c>
      <c r="BG66" s="12" t="e">
        <f>VLOOKUP(A66,Aktien_im_Umlauf_splitbereinigt!A$3:Y$103,25,FALSE)</f>
        <v>#N/A</v>
      </c>
      <c r="BH66" s="41" t="e">
        <f>IF(BE66&lt;Bewertung_Stammdaten!B$77,Bewertung_Stammdaten!A$77,IF(BE66&lt;Bewertung_Stammdaten!B$78,Bewertung_Stammdaten!A$78,IF(BE66&lt;Bewertung_Stammdaten!B$79,Bewertung_Stammdaten!A$79,IF(BE66&lt;Bewertung_Stammdaten!B$80,Bewertung_Stammdaten!A$80,IF(BE66&lt;Bewertung_Stammdaten!B$81,Bewertung_Stammdaten!A$81,IF(BE66&lt;Bewertung_Stammdaten!B$82,Bewertung_Stammdaten!A$82,IF(BE66&lt;Bewertung_Stammdaten!B$83,Bewertung_Stammdaten!A$83,IF(BE66&lt;Bewertung_Stammdaten!B$84,Bewertung_Stammdaten!A$84,IF(BE66&lt;Bewertung_Stammdaten!B$85,Bewertung_Stammdaten!A$85,Bewertung_Stammdaten!A$86)))))))))</f>
        <v>#N/A</v>
      </c>
      <c r="BI66" s="41" t="e">
        <f>IF(BF66&lt;Bewertung_Stammdaten!F$77,Bewertung_Stammdaten!E$77,IF(BF66&lt;Bewertung_Stammdaten!F$78,Bewertung_Stammdaten!E$78,IF(BF66&lt;Bewertung_Stammdaten!F$79,Bewertung_Stammdaten!E$79,IF(BF66&lt;Bewertung_Stammdaten!F$80,Bewertung_Stammdaten!E$80,IF(BF66&lt;Bewertung_Stammdaten!F$81,Bewertung_Stammdaten!E$81,IF(BF66&lt;Bewertung_Stammdaten!F$82,Bewertung_Stammdaten!E$82,IF(BF66&lt;Bewertung_Stammdaten!F$83,Bewertung_Stammdaten!E$83,IF(BF66&lt;Bewertung_Stammdaten!F$84,Bewertung_Stammdaten!E$84,IF(BF66&lt;Bewertung_Stammdaten!F$85,Bewertung_Stammdaten!E$85,Bewertung_Stammdaten!E$86)))))))))</f>
        <v>#N/A</v>
      </c>
      <c r="BJ66" s="41" t="e">
        <f>IF(BG66&lt;Bewertung_Stammdaten!J$77,Bewertung_Stammdaten!I$77,IF(BG66&lt;Bewertung_Stammdaten!J$78,Bewertung_Stammdaten!I$78,IF(BG66&lt;Bewertung_Stammdaten!J$79,Bewertung_Stammdaten!I$79,IF(BG66&lt;Bewertung_Stammdaten!J$80,Bewertung_Stammdaten!I$80,IF(BG66&lt;Bewertung_Stammdaten!J$81,Bewertung_Stammdaten!I$81,IF(BG66&lt;Bewertung_Stammdaten!J$82,Bewertung_Stammdaten!I$82,IF(BG66&lt;Bewertung_Stammdaten!J$83,Bewertung_Stammdaten!I$83,IF(BG66&lt;Bewertung_Stammdaten!J$84,Bewertung_Stammdaten!I$84,IF(BG66&lt;Bewertung_Stammdaten!J$85,Bewertung_Stammdaten!I$85,Bewertung_Stammdaten!I$86)))))))))</f>
        <v>#N/A</v>
      </c>
      <c r="BK66" s="43"/>
      <c r="BL66" s="12" t="e">
        <f>VLOOKUP(A66,Ausschüttungsquote!A$3:X$103,23,FALSE)</f>
        <v>#N/A</v>
      </c>
      <c r="BM66" s="12" t="e">
        <f>VLOOKUP(A66,Ausschüttungsquote!A$3:X$103,19,FALSE)</f>
        <v>#N/A</v>
      </c>
      <c r="BN66" s="12" t="e">
        <f>VLOOKUP(A66,Ausschüttungsquote!A$3:X$103,24,FALSE)</f>
        <v>#N/A</v>
      </c>
      <c r="BO66" s="32" t="e">
        <f>IF(BL66&lt;Bewertung_Stammdaten!B$90,Bewertung_Stammdaten!A$90,IF(BL66&lt;Bewertung_Stammdaten!B$91,Bewertung_Stammdaten!A$91,IF(BL66&lt;Bewertung_Stammdaten!B$92,Bewertung_Stammdaten!A$92,IF(BL66&lt;Bewertung_Stammdaten!B$93,Bewertung_Stammdaten!A$93,IF(BL66&lt;Bewertung_Stammdaten!B$94,Bewertung_Stammdaten!A$94,IF(BL66&lt;Bewertung_Stammdaten!B$95,Bewertung_Stammdaten!A$95,IF(BL66&lt;Bewertung_Stammdaten!B$96,Bewertung_Stammdaten!A$96,IF(BL66&lt;Bewertung_Stammdaten!B$97,Bewertung_Stammdaten!A$97,IF(BL66&lt;Bewertung_Stammdaten!B$98,Bewertung_Stammdaten!A$98,Bewertung_Stammdaten!A$99)))))))))</f>
        <v>#N/A</v>
      </c>
      <c r="BP66" s="41" t="e">
        <f>IF(BM66&lt;Bewertung_Stammdaten!F$90,Bewertung_Stammdaten!E$90,IF(BM66&lt;Bewertung_Stammdaten!F$91,Bewertung_Stammdaten!E$91,IF(BM66&lt;Bewertung_Stammdaten!F$92,Bewertung_Stammdaten!E$92,IF(BM66&lt;Bewertung_Stammdaten!F$93,Bewertung_Stammdaten!E$93,IF(BM66&lt;Bewertung_Stammdaten!F$94,Bewertung_Stammdaten!E$94,IF(BM66&lt;Bewertung_Stammdaten!F$95,Bewertung_Stammdaten!E$95,IF(BM66&lt;Bewertung_Stammdaten!F$96,Bewertung_Stammdaten!E$96,IF(BM66&lt;Bewertung_Stammdaten!F$97,Bewertung_Stammdaten!E$97,IF(BM66&lt;Bewertung_Stammdaten!F$98,Bewertung_Stammdaten!E$98,Bewertung_Stammdaten!E$99)))))))))</f>
        <v>#N/A</v>
      </c>
      <c r="BQ66" s="32" t="e">
        <f>IF(BN66&lt;Bewertung_Stammdaten!J$90,Bewertung_Stammdaten!I$90,IF(BN66&lt;Bewertung_Stammdaten!J$91,Bewertung_Stammdaten!I$91,IF(BN66&lt;Bewertung_Stammdaten!J$92,Bewertung_Stammdaten!I$92,IF(BN66&lt;Bewertung_Stammdaten!J$93,Bewertung_Stammdaten!I$93,IF(BN66&lt;Bewertung_Stammdaten!J$94,Bewertung_Stammdaten!I$94,IF(BN66&lt;Bewertung_Stammdaten!J$95,Bewertung_Stammdaten!I$95,IF(BN66&lt;Bewertung_Stammdaten!J$96,Bewertung_Stammdaten!I$96,IF(BN66&lt;Bewertung_Stammdaten!J$97,Bewertung_Stammdaten!I$97,IF(BN66&lt;Bewertung_Stammdaten!J$98,Bewertung_Stammdaten!I$98,Bewertung_Stammdaten!I$99)))))))))</f>
        <v>#N/A</v>
      </c>
    </row>
    <row r="67" spans="3:69" x14ac:dyDescent="0.25">
      <c r="C67" s="55" t="s">
        <v>297</v>
      </c>
      <c r="D67" s="32" t="e">
        <f t="shared" si="11"/>
        <v>#N/A</v>
      </c>
      <c r="E67" s="43"/>
      <c r="F67" s="66">
        <v>1</v>
      </c>
      <c r="G67" s="11" t="e">
        <f>VLOOKUP(A67,KGV!A$3:R$103,17,FALSE)</f>
        <v>#N/A</v>
      </c>
      <c r="H67" s="11" t="e">
        <f>VLOOKUP(A67,KGV!A$3:R$103,16,FALSE)</f>
        <v>#N/A</v>
      </c>
      <c r="I67" s="12" t="e">
        <f>VLOOKUP(A67,KGV!A$3:R$103,18,FALSE)</f>
        <v>#N/A</v>
      </c>
      <c r="J67" s="16" t="e">
        <f t="shared" si="12"/>
        <v>#N/A</v>
      </c>
      <c r="K67" s="12" t="e">
        <f t="shared" si="13"/>
        <v>#N/A</v>
      </c>
      <c r="L67" s="11" t="e">
        <f>VLOOKUP(A67,KBV!A$3:R$103,17,FALSE)</f>
        <v>#N/A</v>
      </c>
      <c r="M67" s="11" t="e">
        <f>VLOOKUP(A67,KBV!A$3:R$103,16,FALSE)</f>
        <v>#N/A</v>
      </c>
      <c r="N67" s="12" t="e">
        <f>VLOOKUP(A67,KBV!A$3:R$103,18,FALSE)</f>
        <v>#N/A</v>
      </c>
      <c r="O67" s="16" t="e">
        <f t="shared" si="9"/>
        <v>#N/A</v>
      </c>
      <c r="P67" s="12" t="e">
        <f t="shared" si="10"/>
        <v>#N/A</v>
      </c>
      <c r="Q67" s="32" t="e">
        <f>IF(F67=1,IF(I67&lt;Bewertung_Stammdaten!B$12,Bewertung_Stammdaten!A$12,IF(I67&lt;Bewertung_Stammdaten!B$13,Bewertung_Stammdaten!A$13,IF(I67&lt;Bewertung_Stammdaten!B$14,Bewertung_Stammdaten!A$14,IF(I67&lt;Bewertung_Stammdaten!B$15,Bewertung_Stammdaten!A$15,IF(I67&lt;Bewertung_Stammdaten!B$16,Bewertung_Stammdaten!A$16,IF(I67&lt;Bewertung_Stammdaten!B$17,Bewertung_Stammdaten!A$17,IF(I67&lt;Bewertung_Stammdaten!B$18,Bewertung_Stammdaten!A$18,IF(I67&lt;Bewertung_Stammdaten!B$19,Bewertung_Stammdaten!A$19,IF(I67&lt;Bewertung_Stammdaten!B$20,Bewertung_Stammdaten!A$20,Bewertung_Stammdaten!A$21))))))))),IF(N67&lt;Bewertung_Stammdaten!C$12,Bewertung_Stammdaten!A$12,IF(N67&lt;Bewertung_Stammdaten!C$13,Bewertung_Stammdaten!A$13,IF(N67&lt;Bewertung_Stammdaten!C$14,Bewertung_Stammdaten!A$14,IF(N67&lt;Bewertung_Stammdaten!C$15,Bewertung_Stammdaten!A$15,IF(N67&lt;Bewertung_Stammdaten!C$16,Bewertung_Stammdaten!A$16,IF(N67&lt;Bewertung_Stammdaten!C$17,Bewertung_Stammdaten!A$17,IF(N67&lt;Bewertung_Stammdaten!C$18,Bewertung_Stammdaten!A$18,IF(N67&lt;Bewertung_Stammdaten!C$19,Bewertung_Stammdaten!A$19,IF(N67&lt;Bewertung_Stammdaten!C$20,Bewertung_Stammdaten!A$20,Bewertung_Stammdaten!A$21))))))))))</f>
        <v>#N/A</v>
      </c>
      <c r="R67" s="32" t="e">
        <f>IF(F67=1,IF(K67&lt;Bewertung_Stammdaten!F$12,Bewertung_Stammdaten!E$12,IF(K67&lt;Bewertung_Stammdaten!F$13,Bewertung_Stammdaten!E$13,IF(K67&lt;Bewertung_Stammdaten!F$14,Bewertung_Stammdaten!E$14,IF(K67&lt;Bewertung_Stammdaten!F$15,Bewertung_Stammdaten!E$15,IF(K67&lt;Bewertung_Stammdaten!F$16,Bewertung_Stammdaten!E$16,IF(K67&lt;Bewertung_Stammdaten!F$17,Bewertung_Stammdaten!E$17,IF(K67&lt;Bewertung_Stammdaten!F$18,Bewertung_Stammdaten!E$18,IF(K67&lt;Bewertung_Stammdaten!F$19,Bewertung_Stammdaten!E$19,IF(K67&lt;Bewertung_Stammdaten!F$20,Bewertung_Stammdaten!E$20,Bewertung_Stammdaten!E$21))))))))),IF(P67&lt;Bewertung_Stammdaten!G$12,Bewertung_Stammdaten!E$12,IF(P67&lt;Bewertung_Stammdaten!G$13,Bewertung_Stammdaten!E$13,IF(P67&lt;Bewertung_Stammdaten!G$14,Bewertung_Stammdaten!E$14,IF(P67&lt;Bewertung_Stammdaten!G$15,Bewertung_Stammdaten!E$15,IF(P67&lt;Bewertung_Stammdaten!G$16,Bewertung_Stammdaten!E$16,IF(P67&lt;Bewertung_Stammdaten!G$17,Bewertung_Stammdaten!E$17,IF(P67&lt;Bewertung_Stammdaten!G$18,Bewertung_Stammdaten!E$18,IF(P67&lt;Bewertung_Stammdaten!G$19,Bewertung_Stammdaten!E$19,IF(P67&lt;Bewertung_Stammdaten!G$20,Bewertung_Stammdaten!E$20,Bewertung_Stammdaten!E$21))))))))))</f>
        <v>#N/A</v>
      </c>
      <c r="S67" s="43"/>
      <c r="T67" s="11" t="e">
        <f>VLOOKUP(A67,Buchwert_je_Aktie!A$3:AK$103,23,FALSE)</f>
        <v>#N/A</v>
      </c>
      <c r="U67" s="11" t="e">
        <f>VLOOKUP(A67,Buchwert_je_Aktie!A$3:AK$103,19,FALSE)</f>
        <v>#N/A</v>
      </c>
      <c r="V67" s="12" t="e">
        <f>VLOOKUP(A67,Buchwert_je_Aktie!A$3:AK$103,24,FALSE)</f>
        <v>#N/A</v>
      </c>
      <c r="W67" s="12" t="e">
        <f>VLOOKUP(A67,Buchwert_je_Aktie!A$3:AK$103,37,FALSE)</f>
        <v>#N/A</v>
      </c>
      <c r="X67" s="16" t="e">
        <f t="shared" si="14"/>
        <v>#N/A</v>
      </c>
      <c r="Y67" s="12" t="e">
        <f t="shared" si="15"/>
        <v>#N/A</v>
      </c>
      <c r="Z67" s="51" t="e">
        <f>IF(V67&lt;Bewertung_Stammdaten!B$25,Bewertung_Stammdaten!A$25,IF(V67&lt;Bewertung_Stammdaten!B$26,Bewertung_Stammdaten!A$26,IF(V67&lt;Bewertung_Stammdaten!B$27,Bewertung_Stammdaten!A$27,IF(V67&lt;Bewertung_Stammdaten!B$28,Bewertung_Stammdaten!A$28,IF(V67&lt;Bewertung_Stammdaten!B$29,Bewertung_Stammdaten!A$29,IF(V67&lt;Bewertung_Stammdaten!B$30,Bewertung_Stammdaten!A$30,IF(V67&lt;Bewertung_Stammdaten!B$31,Bewertung_Stammdaten!A$31,IF(V67&lt;Bewertung_Stammdaten!B$32,Bewertung_Stammdaten!A$32,IF(V67&lt;Bewertung_Stammdaten!B$33,Bewertung_Stammdaten!A$33,Bewertung_Stammdaten!A$34)))))))))</f>
        <v>#N/A</v>
      </c>
      <c r="AA67" s="51" t="e">
        <f>IF(W67&lt;Bewertung_Stammdaten!F$25,Bewertung_Stammdaten!E$25,IF(W67&lt;Bewertung_Stammdaten!F$26,Bewertung_Stammdaten!E$26,IF(W67&lt;Bewertung_Stammdaten!F$27,Bewertung_Stammdaten!E$27,IF(W67&lt;Bewertung_Stammdaten!F$28,Bewertung_Stammdaten!E$28,IF(W67&lt;Bewertung_Stammdaten!F$29,Bewertung_Stammdaten!E$29,IF(W67&lt;Bewertung_Stammdaten!F$30,Bewertung_Stammdaten!E$30,IF(W67&lt;Bewertung_Stammdaten!F$31,Bewertung_Stammdaten!E$31,IF(W67&lt;Bewertung_Stammdaten!F$32,Bewertung_Stammdaten!E$32,IF(W67&lt;Bewertung_Stammdaten!F$33,Bewertung_Stammdaten!E$33,Bewertung_Stammdaten!E$34)))))))))</f>
        <v>#N/A</v>
      </c>
      <c r="AB67" s="51" t="e">
        <f>IF(Y67&lt;Bewertung_Stammdaten!J$25,Bewertung_Stammdaten!I$25,IF(Y67&lt;Bewertung_Stammdaten!J$26,Bewertung_Stammdaten!I$26,IF(Y67&lt;Bewertung_Stammdaten!J$27,Bewertung_Stammdaten!I$27,IF(Y67&lt;Bewertung_Stammdaten!J$28,Bewertung_Stammdaten!I$28,IF(Y67&lt;Bewertung_Stammdaten!J$29,Bewertung_Stammdaten!I$29,IF(Y67&lt;Bewertung_Stammdaten!J$30,Bewertung_Stammdaten!I$30,IF(Y67&lt;Bewertung_Stammdaten!J$31,Bewertung_Stammdaten!I$31,IF(Y67&lt;Bewertung_Stammdaten!J$32,Bewertung_Stammdaten!I$32,IF(Y67&lt;Bewertung_Stammdaten!J$33,Bewertung_Stammdaten!I$33,Bewertung_Stammdaten!I$34)))))))))</f>
        <v>#N/A</v>
      </c>
      <c r="AC67" s="43"/>
      <c r="AD67" s="14" t="e">
        <f>VLOOKUP(A67,Ergebnis_je_Aktie_verwässert!A$3:AK$103,23,FALSE)</f>
        <v>#N/A</v>
      </c>
      <c r="AE67" s="14" t="e">
        <f>VLOOKUP(A67,Ergebnis_je_Aktie_verwässert!A$3:AK$103,19,FALSE)</f>
        <v>#N/A</v>
      </c>
      <c r="AF67" s="12" t="e">
        <f>VLOOKUP(A67,Ergebnis_je_Aktie_verwässert!A$3:AK$103,24,FALSE)</f>
        <v>#N/A</v>
      </c>
      <c r="AG67" s="40" t="e">
        <f>VLOOKUP(A67,Ergebnis_je_Aktie_verwässert!A$3:AK$103,37,FALSE)</f>
        <v>#N/A</v>
      </c>
      <c r="AH67" s="16" t="e">
        <f t="shared" si="16"/>
        <v>#N/A</v>
      </c>
      <c r="AI67" s="12" t="e">
        <f t="shared" si="17"/>
        <v>#N/A</v>
      </c>
      <c r="AJ67" s="32" t="e">
        <f>IF(AF67&lt;Bewertung_Stammdaten!B$38,Bewertung_Stammdaten!A$38,IF(AF67&lt;Bewertung_Stammdaten!B$39,Bewertung_Stammdaten!A$39,IF(AF67&lt;Bewertung_Stammdaten!B$40,Bewertung_Stammdaten!A$40,IF(AF67&lt;Bewertung_Stammdaten!B$41,Bewertung_Stammdaten!A$41,IF(AF67&lt;Bewertung_Stammdaten!B$42,Bewertung_Stammdaten!A$42,IF(AF67&lt;Bewertung_Stammdaten!B$43,Bewertung_Stammdaten!A$43,IF(AF67&lt;Bewertung_Stammdaten!B$44,Bewertung_Stammdaten!A$44,IF(AF67&lt;Bewertung_Stammdaten!B$45,Bewertung_Stammdaten!A$45,IF(AF67&lt;Bewertung_Stammdaten!B$46,Bewertung_Stammdaten!A$46,Bewertung_Stammdaten!A$47)))))))))</f>
        <v>#N/A</v>
      </c>
      <c r="AK67" s="32" t="e">
        <f>IF(AG67&lt;Bewertung_Stammdaten!F$38,Bewertung_Stammdaten!E$38,IF(AG67&lt;Bewertung_Stammdaten!F$39,Bewertung_Stammdaten!E$39,IF(AG67&lt;Bewertung_Stammdaten!F$40,Bewertung_Stammdaten!E$40,IF(AG67&lt;Bewertung_Stammdaten!F$41,Bewertung_Stammdaten!E$41,IF(AG67&lt;Bewertung_Stammdaten!F$42,Bewertung_Stammdaten!E$42,IF(AG67&lt;Bewertung_Stammdaten!F$43,Bewertung_Stammdaten!E$43,IF(AG67&lt;Bewertung_Stammdaten!F$44,Bewertung_Stammdaten!E$44,IF(AG67&lt;Bewertung_Stammdaten!F$45,Bewertung_Stammdaten!E$45,IF(AG67&lt;Bewertung_Stammdaten!F$46,Bewertung_Stammdaten!E$46,Bewertung_Stammdaten!E$47)))))))))</f>
        <v>#N/A</v>
      </c>
      <c r="AL67" s="32" t="e">
        <f>IF(AI67&lt;Bewertung_Stammdaten!J$38,Bewertung_Stammdaten!I$38,IF(AI67&lt;Bewertung_Stammdaten!J$39,Bewertung_Stammdaten!I$39,IF(AI67&lt;Bewertung_Stammdaten!J$40,Bewertung_Stammdaten!I$40,IF(AI67&lt;Bewertung_Stammdaten!J$41,Bewertung_Stammdaten!I$41,IF(AI67&lt;Bewertung_Stammdaten!J$42,Bewertung_Stammdaten!I$42,IF(AI67&lt;Bewertung_Stammdaten!J$43,Bewertung_Stammdaten!I$43,IF(AI67&lt;Bewertung_Stammdaten!J$44,Bewertung_Stammdaten!I$44,IF(AI67&lt;Bewertung_Stammdaten!J$45,Bewertung_Stammdaten!I$45,IF(AI67&lt;Bewertung_Stammdaten!J$46,Bewertung_Stammdaten!I$46,Bewertung_Stammdaten!I$47)))))))))</f>
        <v>#N/A</v>
      </c>
      <c r="AM67" s="43"/>
      <c r="AN67" s="14" t="e">
        <f>VLOOKUP(A67,Dividende_je_Aktie!A$3:AM$103,24,FALSE)</f>
        <v>#N/A</v>
      </c>
      <c r="AO67" s="14" t="e">
        <f>VLOOKUP(A67,Dividende_je_Aktie!A$3:AM$103,20,FALSE)</f>
        <v>#N/A</v>
      </c>
      <c r="AP67" s="12" t="e">
        <f>VLOOKUP(A67,Dividende_je_Aktie!A$3:AM$103,25,FALSE)</f>
        <v>#N/A</v>
      </c>
      <c r="AQ67" s="40" t="e">
        <f>VLOOKUP(A67,Dividende_je_Aktie!A$3:AM$103,39,FALSE)</f>
        <v>#N/A</v>
      </c>
      <c r="AR67" s="16" t="e">
        <f t="shared" si="18"/>
        <v>#N/A</v>
      </c>
      <c r="AS67" s="12" t="e">
        <f t="shared" si="19"/>
        <v>#N/A</v>
      </c>
      <c r="AT67" s="32" t="e">
        <f>IF(AP67&lt;Bewertung_Stammdaten!B$51,Bewertung_Stammdaten!A$51,IF(AP67&lt;Bewertung_Stammdaten!B$52,Bewertung_Stammdaten!A$52,IF(AP67&lt;Bewertung_Stammdaten!B$53,Bewertung_Stammdaten!A$53,IF(AP67&lt;Bewertung_Stammdaten!B$54,Bewertung_Stammdaten!A$54,IF(AP67&lt;Bewertung_Stammdaten!B$55,Bewertung_Stammdaten!A$55,IF(AP67&lt;Bewertung_Stammdaten!B$56,Bewertung_Stammdaten!A$56,IF(AP67&lt;Bewertung_Stammdaten!B$57,Bewertung_Stammdaten!A$57,IF(AP67&lt;Bewertung_Stammdaten!B$58,Bewertung_Stammdaten!A$58,IF(AP67&lt;Bewertung_Stammdaten!B$59,Bewertung_Stammdaten!A$59,Bewertung_Stammdaten!A$60)))))))))</f>
        <v>#N/A</v>
      </c>
      <c r="AU67" s="32" t="e">
        <f>IF(AQ67&lt;Bewertung_Stammdaten!F$51,Bewertung_Stammdaten!E$51,IF(AQ67&lt;Bewertung_Stammdaten!F$52,Bewertung_Stammdaten!E$52,IF(AQ67&lt;Bewertung_Stammdaten!F$53,Bewertung_Stammdaten!E$53,IF(AQ67&lt;Bewertung_Stammdaten!F$54,Bewertung_Stammdaten!E$54,IF(AQ67&lt;Bewertung_Stammdaten!F$55,Bewertung_Stammdaten!E$55,IF(AQ67&lt;Bewertung_Stammdaten!F$56,Bewertung_Stammdaten!E$56,IF(AQ67&lt;Bewertung_Stammdaten!F$57,Bewertung_Stammdaten!E$57,IF(AQ67&lt;Bewertung_Stammdaten!F$58,Bewertung_Stammdaten!E$58,IF(AQ67&lt;Bewertung_Stammdaten!F$59,Bewertung_Stammdaten!E$59,Bewertung_Stammdaten!E$60)))))))))</f>
        <v>#N/A</v>
      </c>
      <c r="AV67" s="32" t="e">
        <f>IF(AS67&lt;Bewertung_Stammdaten!J$51,Bewertung_Stammdaten!I$51,IF(AS67&lt;Bewertung_Stammdaten!J$52,Bewertung_Stammdaten!I$52,IF(AS67&lt;Bewertung_Stammdaten!J$53,Bewertung_Stammdaten!I$53,IF(AS67&lt;Bewertung_Stammdaten!J$54,Bewertung_Stammdaten!I$54,IF(AS67&lt;Bewertung_Stammdaten!J$55,Bewertung_Stammdaten!I$55,IF(AS67&lt;Bewertung_Stammdaten!J$56,Bewertung_Stammdaten!I$56,IF(AS67&lt;Bewertung_Stammdaten!J$57,Bewertung_Stammdaten!I$57,IF(AS67&lt;Bewertung_Stammdaten!J$58,Bewertung_Stammdaten!I$58,IF(AS67&lt;Bewertung_Stammdaten!J$59,Bewertung_Stammdaten!I$59,Bewertung_Stammdaten!I$60)))))))))</f>
        <v>#N/A</v>
      </c>
      <c r="AW67" s="43"/>
      <c r="AX67" s="12" t="e">
        <f>VLOOKUP(A67,Dividendenrendite!A$3:R$103,17,FALSE)</f>
        <v>#N/A</v>
      </c>
      <c r="AY67" s="12" t="e">
        <f>VLOOKUP(A67,Dividendenrendite!A$3:R$103,16,FALSE)</f>
        <v>#N/A</v>
      </c>
      <c r="AZ67" s="12" t="e">
        <f>VLOOKUP(A67,Dividendenrendite!A$3:R$103,18,FALSE)</f>
        <v>#N/A</v>
      </c>
      <c r="BA67" s="32" t="e">
        <f>IF(AX67&lt;Bewertung_Stammdaten!B$64,Bewertung_Stammdaten!A$64,IF(AX67&lt;Bewertung_Stammdaten!B$65,Bewertung_Stammdaten!A$65,IF(AX67&lt;Bewertung_Stammdaten!B$66,Bewertung_Stammdaten!A$66,IF(AX67&lt;Bewertung_Stammdaten!B$67,Bewertung_Stammdaten!A$67,IF(AX67&lt;Bewertung_Stammdaten!B$68,Bewertung_Stammdaten!A$68,IF(AX67&lt;Bewertung_Stammdaten!B$69,Bewertung_Stammdaten!A$69,IF(AX67&lt;Bewertung_Stammdaten!B$70,Bewertung_Stammdaten!A$70,IF(AX67&lt;Bewertung_Stammdaten!B$71,Bewertung_Stammdaten!A$71,IF(AX67&lt;Bewertung_Stammdaten!B$72,Bewertung_Stammdaten!A$72,Bewertung_Stammdaten!A$73)))))))))</f>
        <v>#N/A</v>
      </c>
      <c r="BB67" s="32" t="e">
        <f>IF(AY67&lt;Bewertung_Stammdaten!F$64,Bewertung_Stammdaten!E$64,IF(AY67&lt;Bewertung_Stammdaten!F$65,Bewertung_Stammdaten!E$65,IF(AY67&lt;Bewertung_Stammdaten!F$66,Bewertung_Stammdaten!E$66,IF(AY67&lt;Bewertung_Stammdaten!F$67,Bewertung_Stammdaten!E$67,IF(AY67&lt;Bewertung_Stammdaten!F$68,Bewertung_Stammdaten!E$68,IF(AY67&lt;Bewertung_Stammdaten!F$69,Bewertung_Stammdaten!E$69,IF(AY67&lt;Bewertung_Stammdaten!F$70,Bewertung_Stammdaten!E$70,IF(AY67&lt;Bewertung_Stammdaten!F$71,Bewertung_Stammdaten!E$71,IF(AY67&lt;Bewertung_Stammdaten!F$72,Bewertung_Stammdaten!E$72,Bewertung_Stammdaten!E$73)))))))))</f>
        <v>#N/A</v>
      </c>
      <c r="BC67" s="32" t="e">
        <f>IF(AZ67&lt;Bewertung_Stammdaten!J$64,Bewertung_Stammdaten!I$64,IF(AZ67&lt;Bewertung_Stammdaten!J$65,Bewertung_Stammdaten!I$65,IF(AZ67&lt;Bewertung_Stammdaten!J$66,Bewertung_Stammdaten!I$66,IF(AZ67&lt;Bewertung_Stammdaten!J$67,Bewertung_Stammdaten!I$67,IF(AZ67&lt;Bewertung_Stammdaten!J$68,Bewertung_Stammdaten!I$68,IF(AZ67&lt;Bewertung_Stammdaten!J$69,Bewertung_Stammdaten!I$69,IF(AZ67&lt;Bewertung_Stammdaten!J$70,Bewertung_Stammdaten!I$70,IF(AZ67&lt;Bewertung_Stammdaten!J$71,Bewertung_Stammdaten!I$71,IF(AZ67&lt;Bewertung_Stammdaten!J$72,Bewertung_Stammdaten!I$72,Bewertung_Stammdaten!I$73)))))))))</f>
        <v>#N/A</v>
      </c>
      <c r="BD67" s="43"/>
      <c r="BE67" s="12" t="e">
        <f>VLOOKUP(A67,Aktien_im_Umlauf_splitbereinigt!A$3:Z$103,26,FALSE)</f>
        <v>#N/A</v>
      </c>
      <c r="BF67" s="12" t="e">
        <f>VLOOKUP(A67,Aktien_im_Umlauf_splitbereinigt!A$3:Y$103,24,FALSE)</f>
        <v>#N/A</v>
      </c>
      <c r="BG67" s="12" t="e">
        <f>VLOOKUP(A67,Aktien_im_Umlauf_splitbereinigt!A$3:Y$103,25,FALSE)</f>
        <v>#N/A</v>
      </c>
      <c r="BH67" s="41" t="e">
        <f>IF(BE67&lt;Bewertung_Stammdaten!B$77,Bewertung_Stammdaten!A$77,IF(BE67&lt;Bewertung_Stammdaten!B$78,Bewertung_Stammdaten!A$78,IF(BE67&lt;Bewertung_Stammdaten!B$79,Bewertung_Stammdaten!A$79,IF(BE67&lt;Bewertung_Stammdaten!B$80,Bewertung_Stammdaten!A$80,IF(BE67&lt;Bewertung_Stammdaten!B$81,Bewertung_Stammdaten!A$81,IF(BE67&lt;Bewertung_Stammdaten!B$82,Bewertung_Stammdaten!A$82,IF(BE67&lt;Bewertung_Stammdaten!B$83,Bewertung_Stammdaten!A$83,IF(BE67&lt;Bewertung_Stammdaten!B$84,Bewertung_Stammdaten!A$84,IF(BE67&lt;Bewertung_Stammdaten!B$85,Bewertung_Stammdaten!A$85,Bewertung_Stammdaten!A$86)))))))))</f>
        <v>#N/A</v>
      </c>
      <c r="BI67" s="41" t="e">
        <f>IF(BF67&lt;Bewertung_Stammdaten!F$77,Bewertung_Stammdaten!E$77,IF(BF67&lt;Bewertung_Stammdaten!F$78,Bewertung_Stammdaten!E$78,IF(BF67&lt;Bewertung_Stammdaten!F$79,Bewertung_Stammdaten!E$79,IF(BF67&lt;Bewertung_Stammdaten!F$80,Bewertung_Stammdaten!E$80,IF(BF67&lt;Bewertung_Stammdaten!F$81,Bewertung_Stammdaten!E$81,IF(BF67&lt;Bewertung_Stammdaten!F$82,Bewertung_Stammdaten!E$82,IF(BF67&lt;Bewertung_Stammdaten!F$83,Bewertung_Stammdaten!E$83,IF(BF67&lt;Bewertung_Stammdaten!F$84,Bewertung_Stammdaten!E$84,IF(BF67&lt;Bewertung_Stammdaten!F$85,Bewertung_Stammdaten!E$85,Bewertung_Stammdaten!E$86)))))))))</f>
        <v>#N/A</v>
      </c>
      <c r="BJ67" s="41" t="e">
        <f>IF(BG67&lt;Bewertung_Stammdaten!J$77,Bewertung_Stammdaten!I$77,IF(BG67&lt;Bewertung_Stammdaten!J$78,Bewertung_Stammdaten!I$78,IF(BG67&lt;Bewertung_Stammdaten!J$79,Bewertung_Stammdaten!I$79,IF(BG67&lt;Bewertung_Stammdaten!J$80,Bewertung_Stammdaten!I$80,IF(BG67&lt;Bewertung_Stammdaten!J$81,Bewertung_Stammdaten!I$81,IF(BG67&lt;Bewertung_Stammdaten!J$82,Bewertung_Stammdaten!I$82,IF(BG67&lt;Bewertung_Stammdaten!J$83,Bewertung_Stammdaten!I$83,IF(BG67&lt;Bewertung_Stammdaten!J$84,Bewertung_Stammdaten!I$84,IF(BG67&lt;Bewertung_Stammdaten!J$85,Bewertung_Stammdaten!I$85,Bewertung_Stammdaten!I$86)))))))))</f>
        <v>#N/A</v>
      </c>
      <c r="BK67" s="43"/>
      <c r="BL67" s="12" t="e">
        <f>VLOOKUP(A67,Ausschüttungsquote!A$3:X$103,23,FALSE)</f>
        <v>#N/A</v>
      </c>
      <c r="BM67" s="12" t="e">
        <f>VLOOKUP(A67,Ausschüttungsquote!A$3:X$103,19,FALSE)</f>
        <v>#N/A</v>
      </c>
      <c r="BN67" s="12" t="e">
        <f>VLOOKUP(A67,Ausschüttungsquote!A$3:X$103,24,FALSE)</f>
        <v>#N/A</v>
      </c>
      <c r="BO67" s="32" t="e">
        <f>IF(BL67&lt;Bewertung_Stammdaten!B$90,Bewertung_Stammdaten!A$90,IF(BL67&lt;Bewertung_Stammdaten!B$91,Bewertung_Stammdaten!A$91,IF(BL67&lt;Bewertung_Stammdaten!B$92,Bewertung_Stammdaten!A$92,IF(BL67&lt;Bewertung_Stammdaten!B$93,Bewertung_Stammdaten!A$93,IF(BL67&lt;Bewertung_Stammdaten!B$94,Bewertung_Stammdaten!A$94,IF(BL67&lt;Bewertung_Stammdaten!B$95,Bewertung_Stammdaten!A$95,IF(BL67&lt;Bewertung_Stammdaten!B$96,Bewertung_Stammdaten!A$96,IF(BL67&lt;Bewertung_Stammdaten!B$97,Bewertung_Stammdaten!A$97,IF(BL67&lt;Bewertung_Stammdaten!B$98,Bewertung_Stammdaten!A$98,Bewertung_Stammdaten!A$99)))))))))</f>
        <v>#N/A</v>
      </c>
      <c r="BP67" s="41" t="e">
        <f>IF(BM67&lt;Bewertung_Stammdaten!F$90,Bewertung_Stammdaten!E$90,IF(BM67&lt;Bewertung_Stammdaten!F$91,Bewertung_Stammdaten!E$91,IF(BM67&lt;Bewertung_Stammdaten!F$92,Bewertung_Stammdaten!E$92,IF(BM67&lt;Bewertung_Stammdaten!F$93,Bewertung_Stammdaten!E$93,IF(BM67&lt;Bewertung_Stammdaten!F$94,Bewertung_Stammdaten!E$94,IF(BM67&lt;Bewertung_Stammdaten!F$95,Bewertung_Stammdaten!E$95,IF(BM67&lt;Bewertung_Stammdaten!F$96,Bewertung_Stammdaten!E$96,IF(BM67&lt;Bewertung_Stammdaten!F$97,Bewertung_Stammdaten!E$97,IF(BM67&lt;Bewertung_Stammdaten!F$98,Bewertung_Stammdaten!E$98,Bewertung_Stammdaten!E$99)))))))))</f>
        <v>#N/A</v>
      </c>
      <c r="BQ67" s="32" t="e">
        <f>IF(BN67&lt;Bewertung_Stammdaten!J$90,Bewertung_Stammdaten!I$90,IF(BN67&lt;Bewertung_Stammdaten!J$91,Bewertung_Stammdaten!I$91,IF(BN67&lt;Bewertung_Stammdaten!J$92,Bewertung_Stammdaten!I$92,IF(BN67&lt;Bewertung_Stammdaten!J$93,Bewertung_Stammdaten!I$93,IF(BN67&lt;Bewertung_Stammdaten!J$94,Bewertung_Stammdaten!I$94,IF(BN67&lt;Bewertung_Stammdaten!J$95,Bewertung_Stammdaten!I$95,IF(BN67&lt;Bewertung_Stammdaten!J$96,Bewertung_Stammdaten!I$96,IF(BN67&lt;Bewertung_Stammdaten!J$97,Bewertung_Stammdaten!I$97,IF(BN67&lt;Bewertung_Stammdaten!J$98,Bewertung_Stammdaten!I$98,Bewertung_Stammdaten!I$99)))))))))</f>
        <v>#N/A</v>
      </c>
    </row>
    <row r="68" spans="3:69" x14ac:dyDescent="0.25">
      <c r="C68" s="55" t="s">
        <v>297</v>
      </c>
      <c r="D68" s="32" t="e">
        <f t="shared" si="11"/>
        <v>#N/A</v>
      </c>
      <c r="E68" s="43"/>
      <c r="F68" s="66">
        <v>1</v>
      </c>
      <c r="G68" s="11" t="e">
        <f>VLOOKUP(A68,KGV!A$3:R$103,17,FALSE)</f>
        <v>#N/A</v>
      </c>
      <c r="H68" s="11" t="e">
        <f>VLOOKUP(A68,KGV!A$3:R$103,16,FALSE)</f>
        <v>#N/A</v>
      </c>
      <c r="I68" s="12" t="e">
        <f>VLOOKUP(A68,KGV!A$3:R$103,18,FALSE)</f>
        <v>#N/A</v>
      </c>
      <c r="J68" s="16" t="e">
        <f t="shared" si="12"/>
        <v>#N/A</v>
      </c>
      <c r="K68" s="12" t="e">
        <f t="shared" si="13"/>
        <v>#N/A</v>
      </c>
      <c r="L68" s="11" t="e">
        <f>VLOOKUP(A68,KBV!A$3:R$103,17,FALSE)</f>
        <v>#N/A</v>
      </c>
      <c r="M68" s="11" t="e">
        <f>VLOOKUP(A68,KBV!A$3:R$103,16,FALSE)</f>
        <v>#N/A</v>
      </c>
      <c r="N68" s="12" t="e">
        <f>VLOOKUP(A68,KBV!A$3:R$103,18,FALSE)</f>
        <v>#N/A</v>
      </c>
      <c r="O68" s="16" t="e">
        <f t="shared" ref="O68:O102" si="20">IF(W68&gt;0,L68,IF(L68/(1+W68)&lt;0,99,L68/(1+W68)))</f>
        <v>#N/A</v>
      </c>
      <c r="P68" s="12" t="e">
        <f t="shared" ref="P68:P102" si="21">(O68/M68)-1</f>
        <v>#N/A</v>
      </c>
      <c r="Q68" s="32" t="e">
        <f>IF(F68=1,IF(I68&lt;Bewertung_Stammdaten!B$12,Bewertung_Stammdaten!A$12,IF(I68&lt;Bewertung_Stammdaten!B$13,Bewertung_Stammdaten!A$13,IF(I68&lt;Bewertung_Stammdaten!B$14,Bewertung_Stammdaten!A$14,IF(I68&lt;Bewertung_Stammdaten!B$15,Bewertung_Stammdaten!A$15,IF(I68&lt;Bewertung_Stammdaten!B$16,Bewertung_Stammdaten!A$16,IF(I68&lt;Bewertung_Stammdaten!B$17,Bewertung_Stammdaten!A$17,IF(I68&lt;Bewertung_Stammdaten!B$18,Bewertung_Stammdaten!A$18,IF(I68&lt;Bewertung_Stammdaten!B$19,Bewertung_Stammdaten!A$19,IF(I68&lt;Bewertung_Stammdaten!B$20,Bewertung_Stammdaten!A$20,Bewertung_Stammdaten!A$21))))))))),IF(N68&lt;Bewertung_Stammdaten!C$12,Bewertung_Stammdaten!A$12,IF(N68&lt;Bewertung_Stammdaten!C$13,Bewertung_Stammdaten!A$13,IF(N68&lt;Bewertung_Stammdaten!C$14,Bewertung_Stammdaten!A$14,IF(N68&lt;Bewertung_Stammdaten!C$15,Bewertung_Stammdaten!A$15,IF(N68&lt;Bewertung_Stammdaten!C$16,Bewertung_Stammdaten!A$16,IF(N68&lt;Bewertung_Stammdaten!C$17,Bewertung_Stammdaten!A$17,IF(N68&lt;Bewertung_Stammdaten!C$18,Bewertung_Stammdaten!A$18,IF(N68&lt;Bewertung_Stammdaten!C$19,Bewertung_Stammdaten!A$19,IF(N68&lt;Bewertung_Stammdaten!C$20,Bewertung_Stammdaten!A$20,Bewertung_Stammdaten!A$21))))))))))</f>
        <v>#N/A</v>
      </c>
      <c r="R68" s="32" t="e">
        <f>IF(F68=1,IF(K68&lt;Bewertung_Stammdaten!F$12,Bewertung_Stammdaten!E$12,IF(K68&lt;Bewertung_Stammdaten!F$13,Bewertung_Stammdaten!E$13,IF(K68&lt;Bewertung_Stammdaten!F$14,Bewertung_Stammdaten!E$14,IF(K68&lt;Bewertung_Stammdaten!F$15,Bewertung_Stammdaten!E$15,IF(K68&lt;Bewertung_Stammdaten!F$16,Bewertung_Stammdaten!E$16,IF(K68&lt;Bewertung_Stammdaten!F$17,Bewertung_Stammdaten!E$17,IF(K68&lt;Bewertung_Stammdaten!F$18,Bewertung_Stammdaten!E$18,IF(K68&lt;Bewertung_Stammdaten!F$19,Bewertung_Stammdaten!E$19,IF(K68&lt;Bewertung_Stammdaten!F$20,Bewertung_Stammdaten!E$20,Bewertung_Stammdaten!E$21))))))))),IF(P68&lt;Bewertung_Stammdaten!G$12,Bewertung_Stammdaten!E$12,IF(P68&lt;Bewertung_Stammdaten!G$13,Bewertung_Stammdaten!E$13,IF(P68&lt;Bewertung_Stammdaten!G$14,Bewertung_Stammdaten!E$14,IF(P68&lt;Bewertung_Stammdaten!G$15,Bewertung_Stammdaten!E$15,IF(P68&lt;Bewertung_Stammdaten!G$16,Bewertung_Stammdaten!E$16,IF(P68&lt;Bewertung_Stammdaten!G$17,Bewertung_Stammdaten!E$17,IF(P68&lt;Bewertung_Stammdaten!G$18,Bewertung_Stammdaten!E$18,IF(P68&lt;Bewertung_Stammdaten!G$19,Bewertung_Stammdaten!E$19,IF(P68&lt;Bewertung_Stammdaten!G$20,Bewertung_Stammdaten!E$20,Bewertung_Stammdaten!E$21))))))))))</f>
        <v>#N/A</v>
      </c>
      <c r="S68" s="43"/>
      <c r="T68" s="11" t="e">
        <f>VLOOKUP(A68,Buchwert_je_Aktie!A$3:AK$103,23,FALSE)</f>
        <v>#N/A</v>
      </c>
      <c r="U68" s="11" t="e">
        <f>VLOOKUP(A68,Buchwert_je_Aktie!A$3:AK$103,19,FALSE)</f>
        <v>#N/A</v>
      </c>
      <c r="V68" s="12" t="e">
        <f>VLOOKUP(A68,Buchwert_je_Aktie!A$3:AK$103,24,FALSE)</f>
        <v>#N/A</v>
      </c>
      <c r="W68" s="12" t="e">
        <f>VLOOKUP(A68,Buchwert_je_Aktie!A$3:AK$103,37,FALSE)</f>
        <v>#N/A</v>
      </c>
      <c r="X68" s="16" t="e">
        <f t="shared" si="14"/>
        <v>#N/A</v>
      </c>
      <c r="Y68" s="12" t="e">
        <f t="shared" si="15"/>
        <v>#N/A</v>
      </c>
      <c r="Z68" s="51" t="e">
        <f>IF(V68&lt;Bewertung_Stammdaten!B$25,Bewertung_Stammdaten!A$25,IF(V68&lt;Bewertung_Stammdaten!B$26,Bewertung_Stammdaten!A$26,IF(V68&lt;Bewertung_Stammdaten!B$27,Bewertung_Stammdaten!A$27,IF(V68&lt;Bewertung_Stammdaten!B$28,Bewertung_Stammdaten!A$28,IF(V68&lt;Bewertung_Stammdaten!B$29,Bewertung_Stammdaten!A$29,IF(V68&lt;Bewertung_Stammdaten!B$30,Bewertung_Stammdaten!A$30,IF(V68&lt;Bewertung_Stammdaten!B$31,Bewertung_Stammdaten!A$31,IF(V68&lt;Bewertung_Stammdaten!B$32,Bewertung_Stammdaten!A$32,IF(V68&lt;Bewertung_Stammdaten!B$33,Bewertung_Stammdaten!A$33,Bewertung_Stammdaten!A$34)))))))))</f>
        <v>#N/A</v>
      </c>
      <c r="AA68" s="51" t="e">
        <f>IF(W68&lt;Bewertung_Stammdaten!F$25,Bewertung_Stammdaten!E$25,IF(W68&lt;Bewertung_Stammdaten!F$26,Bewertung_Stammdaten!E$26,IF(W68&lt;Bewertung_Stammdaten!F$27,Bewertung_Stammdaten!E$27,IF(W68&lt;Bewertung_Stammdaten!F$28,Bewertung_Stammdaten!E$28,IF(W68&lt;Bewertung_Stammdaten!F$29,Bewertung_Stammdaten!E$29,IF(W68&lt;Bewertung_Stammdaten!F$30,Bewertung_Stammdaten!E$30,IF(W68&lt;Bewertung_Stammdaten!F$31,Bewertung_Stammdaten!E$31,IF(W68&lt;Bewertung_Stammdaten!F$32,Bewertung_Stammdaten!E$32,IF(W68&lt;Bewertung_Stammdaten!F$33,Bewertung_Stammdaten!E$33,Bewertung_Stammdaten!E$34)))))))))</f>
        <v>#N/A</v>
      </c>
      <c r="AB68" s="51" t="e">
        <f>IF(Y68&lt;Bewertung_Stammdaten!J$25,Bewertung_Stammdaten!I$25,IF(Y68&lt;Bewertung_Stammdaten!J$26,Bewertung_Stammdaten!I$26,IF(Y68&lt;Bewertung_Stammdaten!J$27,Bewertung_Stammdaten!I$27,IF(Y68&lt;Bewertung_Stammdaten!J$28,Bewertung_Stammdaten!I$28,IF(Y68&lt;Bewertung_Stammdaten!J$29,Bewertung_Stammdaten!I$29,IF(Y68&lt;Bewertung_Stammdaten!J$30,Bewertung_Stammdaten!I$30,IF(Y68&lt;Bewertung_Stammdaten!J$31,Bewertung_Stammdaten!I$31,IF(Y68&lt;Bewertung_Stammdaten!J$32,Bewertung_Stammdaten!I$32,IF(Y68&lt;Bewertung_Stammdaten!J$33,Bewertung_Stammdaten!I$33,Bewertung_Stammdaten!I$34)))))))))</f>
        <v>#N/A</v>
      </c>
      <c r="AC68" s="43"/>
      <c r="AD68" s="14" t="e">
        <f>VLOOKUP(A68,Ergebnis_je_Aktie_verwässert!A$3:AK$103,23,FALSE)</f>
        <v>#N/A</v>
      </c>
      <c r="AE68" s="14" t="e">
        <f>VLOOKUP(A68,Ergebnis_je_Aktie_verwässert!A$3:AK$103,19,FALSE)</f>
        <v>#N/A</v>
      </c>
      <c r="AF68" s="12" t="e">
        <f>VLOOKUP(A68,Ergebnis_je_Aktie_verwässert!A$3:AK$103,24,FALSE)</f>
        <v>#N/A</v>
      </c>
      <c r="AG68" s="40" t="e">
        <f>VLOOKUP(A68,Ergebnis_je_Aktie_verwässert!A$3:AK$103,37,FALSE)</f>
        <v>#N/A</v>
      </c>
      <c r="AH68" s="16" t="e">
        <f t="shared" si="16"/>
        <v>#N/A</v>
      </c>
      <c r="AI68" s="12" t="e">
        <f t="shared" si="17"/>
        <v>#N/A</v>
      </c>
      <c r="AJ68" s="32" t="e">
        <f>IF(AF68&lt;Bewertung_Stammdaten!B$38,Bewertung_Stammdaten!A$38,IF(AF68&lt;Bewertung_Stammdaten!B$39,Bewertung_Stammdaten!A$39,IF(AF68&lt;Bewertung_Stammdaten!B$40,Bewertung_Stammdaten!A$40,IF(AF68&lt;Bewertung_Stammdaten!B$41,Bewertung_Stammdaten!A$41,IF(AF68&lt;Bewertung_Stammdaten!B$42,Bewertung_Stammdaten!A$42,IF(AF68&lt;Bewertung_Stammdaten!B$43,Bewertung_Stammdaten!A$43,IF(AF68&lt;Bewertung_Stammdaten!B$44,Bewertung_Stammdaten!A$44,IF(AF68&lt;Bewertung_Stammdaten!B$45,Bewertung_Stammdaten!A$45,IF(AF68&lt;Bewertung_Stammdaten!B$46,Bewertung_Stammdaten!A$46,Bewertung_Stammdaten!A$47)))))))))</f>
        <v>#N/A</v>
      </c>
      <c r="AK68" s="32" t="e">
        <f>IF(AG68&lt;Bewertung_Stammdaten!F$38,Bewertung_Stammdaten!E$38,IF(AG68&lt;Bewertung_Stammdaten!F$39,Bewertung_Stammdaten!E$39,IF(AG68&lt;Bewertung_Stammdaten!F$40,Bewertung_Stammdaten!E$40,IF(AG68&lt;Bewertung_Stammdaten!F$41,Bewertung_Stammdaten!E$41,IF(AG68&lt;Bewertung_Stammdaten!F$42,Bewertung_Stammdaten!E$42,IF(AG68&lt;Bewertung_Stammdaten!F$43,Bewertung_Stammdaten!E$43,IF(AG68&lt;Bewertung_Stammdaten!F$44,Bewertung_Stammdaten!E$44,IF(AG68&lt;Bewertung_Stammdaten!F$45,Bewertung_Stammdaten!E$45,IF(AG68&lt;Bewertung_Stammdaten!F$46,Bewertung_Stammdaten!E$46,Bewertung_Stammdaten!E$47)))))))))</f>
        <v>#N/A</v>
      </c>
      <c r="AL68" s="32" t="e">
        <f>IF(AI68&lt;Bewertung_Stammdaten!J$38,Bewertung_Stammdaten!I$38,IF(AI68&lt;Bewertung_Stammdaten!J$39,Bewertung_Stammdaten!I$39,IF(AI68&lt;Bewertung_Stammdaten!J$40,Bewertung_Stammdaten!I$40,IF(AI68&lt;Bewertung_Stammdaten!J$41,Bewertung_Stammdaten!I$41,IF(AI68&lt;Bewertung_Stammdaten!J$42,Bewertung_Stammdaten!I$42,IF(AI68&lt;Bewertung_Stammdaten!J$43,Bewertung_Stammdaten!I$43,IF(AI68&lt;Bewertung_Stammdaten!J$44,Bewertung_Stammdaten!I$44,IF(AI68&lt;Bewertung_Stammdaten!J$45,Bewertung_Stammdaten!I$45,IF(AI68&lt;Bewertung_Stammdaten!J$46,Bewertung_Stammdaten!I$46,Bewertung_Stammdaten!I$47)))))))))</f>
        <v>#N/A</v>
      </c>
      <c r="AM68" s="43"/>
      <c r="AN68" s="14" t="e">
        <f>VLOOKUP(A68,Dividende_je_Aktie!A$3:AM$103,24,FALSE)</f>
        <v>#N/A</v>
      </c>
      <c r="AO68" s="14" t="e">
        <f>VLOOKUP(A68,Dividende_je_Aktie!A$3:AM$103,20,FALSE)</f>
        <v>#N/A</v>
      </c>
      <c r="AP68" s="12" t="e">
        <f>VLOOKUP(A68,Dividende_je_Aktie!A$3:AM$103,25,FALSE)</f>
        <v>#N/A</v>
      </c>
      <c r="AQ68" s="40" t="e">
        <f>VLOOKUP(A68,Dividende_je_Aktie!A$3:AM$103,39,FALSE)</f>
        <v>#N/A</v>
      </c>
      <c r="AR68" s="16" t="e">
        <f t="shared" si="18"/>
        <v>#N/A</v>
      </c>
      <c r="AS68" s="12" t="e">
        <f t="shared" si="19"/>
        <v>#N/A</v>
      </c>
      <c r="AT68" s="32" t="e">
        <f>IF(AP68&lt;Bewertung_Stammdaten!B$51,Bewertung_Stammdaten!A$51,IF(AP68&lt;Bewertung_Stammdaten!B$52,Bewertung_Stammdaten!A$52,IF(AP68&lt;Bewertung_Stammdaten!B$53,Bewertung_Stammdaten!A$53,IF(AP68&lt;Bewertung_Stammdaten!B$54,Bewertung_Stammdaten!A$54,IF(AP68&lt;Bewertung_Stammdaten!B$55,Bewertung_Stammdaten!A$55,IF(AP68&lt;Bewertung_Stammdaten!B$56,Bewertung_Stammdaten!A$56,IF(AP68&lt;Bewertung_Stammdaten!B$57,Bewertung_Stammdaten!A$57,IF(AP68&lt;Bewertung_Stammdaten!B$58,Bewertung_Stammdaten!A$58,IF(AP68&lt;Bewertung_Stammdaten!B$59,Bewertung_Stammdaten!A$59,Bewertung_Stammdaten!A$60)))))))))</f>
        <v>#N/A</v>
      </c>
      <c r="AU68" s="32" t="e">
        <f>IF(AQ68&lt;Bewertung_Stammdaten!F$51,Bewertung_Stammdaten!E$51,IF(AQ68&lt;Bewertung_Stammdaten!F$52,Bewertung_Stammdaten!E$52,IF(AQ68&lt;Bewertung_Stammdaten!F$53,Bewertung_Stammdaten!E$53,IF(AQ68&lt;Bewertung_Stammdaten!F$54,Bewertung_Stammdaten!E$54,IF(AQ68&lt;Bewertung_Stammdaten!F$55,Bewertung_Stammdaten!E$55,IF(AQ68&lt;Bewertung_Stammdaten!F$56,Bewertung_Stammdaten!E$56,IF(AQ68&lt;Bewertung_Stammdaten!F$57,Bewertung_Stammdaten!E$57,IF(AQ68&lt;Bewertung_Stammdaten!F$58,Bewertung_Stammdaten!E$58,IF(AQ68&lt;Bewertung_Stammdaten!F$59,Bewertung_Stammdaten!E$59,Bewertung_Stammdaten!E$60)))))))))</f>
        <v>#N/A</v>
      </c>
      <c r="AV68" s="32" t="e">
        <f>IF(AS68&lt;Bewertung_Stammdaten!J$51,Bewertung_Stammdaten!I$51,IF(AS68&lt;Bewertung_Stammdaten!J$52,Bewertung_Stammdaten!I$52,IF(AS68&lt;Bewertung_Stammdaten!J$53,Bewertung_Stammdaten!I$53,IF(AS68&lt;Bewertung_Stammdaten!J$54,Bewertung_Stammdaten!I$54,IF(AS68&lt;Bewertung_Stammdaten!J$55,Bewertung_Stammdaten!I$55,IF(AS68&lt;Bewertung_Stammdaten!J$56,Bewertung_Stammdaten!I$56,IF(AS68&lt;Bewertung_Stammdaten!J$57,Bewertung_Stammdaten!I$57,IF(AS68&lt;Bewertung_Stammdaten!J$58,Bewertung_Stammdaten!I$58,IF(AS68&lt;Bewertung_Stammdaten!J$59,Bewertung_Stammdaten!I$59,Bewertung_Stammdaten!I$60)))))))))</f>
        <v>#N/A</v>
      </c>
      <c r="AW68" s="43"/>
      <c r="AX68" s="12" t="e">
        <f>VLOOKUP(A68,Dividendenrendite!A$3:R$103,17,FALSE)</f>
        <v>#N/A</v>
      </c>
      <c r="AY68" s="12" t="e">
        <f>VLOOKUP(A68,Dividendenrendite!A$3:R$103,16,FALSE)</f>
        <v>#N/A</v>
      </c>
      <c r="AZ68" s="12" t="e">
        <f>VLOOKUP(A68,Dividendenrendite!A$3:R$103,18,FALSE)</f>
        <v>#N/A</v>
      </c>
      <c r="BA68" s="32" t="e">
        <f>IF(AX68&lt;Bewertung_Stammdaten!B$64,Bewertung_Stammdaten!A$64,IF(AX68&lt;Bewertung_Stammdaten!B$65,Bewertung_Stammdaten!A$65,IF(AX68&lt;Bewertung_Stammdaten!B$66,Bewertung_Stammdaten!A$66,IF(AX68&lt;Bewertung_Stammdaten!B$67,Bewertung_Stammdaten!A$67,IF(AX68&lt;Bewertung_Stammdaten!B$68,Bewertung_Stammdaten!A$68,IF(AX68&lt;Bewertung_Stammdaten!B$69,Bewertung_Stammdaten!A$69,IF(AX68&lt;Bewertung_Stammdaten!B$70,Bewertung_Stammdaten!A$70,IF(AX68&lt;Bewertung_Stammdaten!B$71,Bewertung_Stammdaten!A$71,IF(AX68&lt;Bewertung_Stammdaten!B$72,Bewertung_Stammdaten!A$72,Bewertung_Stammdaten!A$73)))))))))</f>
        <v>#N/A</v>
      </c>
      <c r="BB68" s="32" t="e">
        <f>IF(AY68&lt;Bewertung_Stammdaten!F$64,Bewertung_Stammdaten!E$64,IF(AY68&lt;Bewertung_Stammdaten!F$65,Bewertung_Stammdaten!E$65,IF(AY68&lt;Bewertung_Stammdaten!F$66,Bewertung_Stammdaten!E$66,IF(AY68&lt;Bewertung_Stammdaten!F$67,Bewertung_Stammdaten!E$67,IF(AY68&lt;Bewertung_Stammdaten!F$68,Bewertung_Stammdaten!E$68,IF(AY68&lt;Bewertung_Stammdaten!F$69,Bewertung_Stammdaten!E$69,IF(AY68&lt;Bewertung_Stammdaten!F$70,Bewertung_Stammdaten!E$70,IF(AY68&lt;Bewertung_Stammdaten!F$71,Bewertung_Stammdaten!E$71,IF(AY68&lt;Bewertung_Stammdaten!F$72,Bewertung_Stammdaten!E$72,Bewertung_Stammdaten!E$73)))))))))</f>
        <v>#N/A</v>
      </c>
      <c r="BC68" s="32" t="e">
        <f>IF(AZ68&lt;Bewertung_Stammdaten!J$64,Bewertung_Stammdaten!I$64,IF(AZ68&lt;Bewertung_Stammdaten!J$65,Bewertung_Stammdaten!I$65,IF(AZ68&lt;Bewertung_Stammdaten!J$66,Bewertung_Stammdaten!I$66,IF(AZ68&lt;Bewertung_Stammdaten!J$67,Bewertung_Stammdaten!I$67,IF(AZ68&lt;Bewertung_Stammdaten!J$68,Bewertung_Stammdaten!I$68,IF(AZ68&lt;Bewertung_Stammdaten!J$69,Bewertung_Stammdaten!I$69,IF(AZ68&lt;Bewertung_Stammdaten!J$70,Bewertung_Stammdaten!I$70,IF(AZ68&lt;Bewertung_Stammdaten!J$71,Bewertung_Stammdaten!I$71,IF(AZ68&lt;Bewertung_Stammdaten!J$72,Bewertung_Stammdaten!I$72,Bewertung_Stammdaten!I$73)))))))))</f>
        <v>#N/A</v>
      </c>
      <c r="BD68" s="43"/>
      <c r="BE68" s="12" t="e">
        <f>VLOOKUP(A68,Aktien_im_Umlauf_splitbereinigt!A$3:Z$103,26,FALSE)</f>
        <v>#N/A</v>
      </c>
      <c r="BF68" s="12" t="e">
        <f>VLOOKUP(A68,Aktien_im_Umlauf_splitbereinigt!A$3:Y$103,24,FALSE)</f>
        <v>#N/A</v>
      </c>
      <c r="BG68" s="12" t="e">
        <f>VLOOKUP(A68,Aktien_im_Umlauf_splitbereinigt!A$3:Y$103,25,FALSE)</f>
        <v>#N/A</v>
      </c>
      <c r="BH68" s="41" t="e">
        <f>IF(BE68&lt;Bewertung_Stammdaten!B$77,Bewertung_Stammdaten!A$77,IF(BE68&lt;Bewertung_Stammdaten!B$78,Bewertung_Stammdaten!A$78,IF(BE68&lt;Bewertung_Stammdaten!B$79,Bewertung_Stammdaten!A$79,IF(BE68&lt;Bewertung_Stammdaten!B$80,Bewertung_Stammdaten!A$80,IF(BE68&lt;Bewertung_Stammdaten!B$81,Bewertung_Stammdaten!A$81,IF(BE68&lt;Bewertung_Stammdaten!B$82,Bewertung_Stammdaten!A$82,IF(BE68&lt;Bewertung_Stammdaten!B$83,Bewertung_Stammdaten!A$83,IF(BE68&lt;Bewertung_Stammdaten!B$84,Bewertung_Stammdaten!A$84,IF(BE68&lt;Bewertung_Stammdaten!B$85,Bewertung_Stammdaten!A$85,Bewertung_Stammdaten!A$86)))))))))</f>
        <v>#N/A</v>
      </c>
      <c r="BI68" s="41" t="e">
        <f>IF(BF68&lt;Bewertung_Stammdaten!F$77,Bewertung_Stammdaten!E$77,IF(BF68&lt;Bewertung_Stammdaten!F$78,Bewertung_Stammdaten!E$78,IF(BF68&lt;Bewertung_Stammdaten!F$79,Bewertung_Stammdaten!E$79,IF(BF68&lt;Bewertung_Stammdaten!F$80,Bewertung_Stammdaten!E$80,IF(BF68&lt;Bewertung_Stammdaten!F$81,Bewertung_Stammdaten!E$81,IF(BF68&lt;Bewertung_Stammdaten!F$82,Bewertung_Stammdaten!E$82,IF(BF68&lt;Bewertung_Stammdaten!F$83,Bewertung_Stammdaten!E$83,IF(BF68&lt;Bewertung_Stammdaten!F$84,Bewertung_Stammdaten!E$84,IF(BF68&lt;Bewertung_Stammdaten!F$85,Bewertung_Stammdaten!E$85,Bewertung_Stammdaten!E$86)))))))))</f>
        <v>#N/A</v>
      </c>
      <c r="BJ68" s="41" t="e">
        <f>IF(BG68&lt;Bewertung_Stammdaten!J$77,Bewertung_Stammdaten!I$77,IF(BG68&lt;Bewertung_Stammdaten!J$78,Bewertung_Stammdaten!I$78,IF(BG68&lt;Bewertung_Stammdaten!J$79,Bewertung_Stammdaten!I$79,IF(BG68&lt;Bewertung_Stammdaten!J$80,Bewertung_Stammdaten!I$80,IF(BG68&lt;Bewertung_Stammdaten!J$81,Bewertung_Stammdaten!I$81,IF(BG68&lt;Bewertung_Stammdaten!J$82,Bewertung_Stammdaten!I$82,IF(BG68&lt;Bewertung_Stammdaten!J$83,Bewertung_Stammdaten!I$83,IF(BG68&lt;Bewertung_Stammdaten!J$84,Bewertung_Stammdaten!I$84,IF(BG68&lt;Bewertung_Stammdaten!J$85,Bewertung_Stammdaten!I$85,Bewertung_Stammdaten!I$86)))))))))</f>
        <v>#N/A</v>
      </c>
      <c r="BK68" s="43"/>
      <c r="BL68" s="12" t="e">
        <f>VLOOKUP(A68,Ausschüttungsquote!A$3:X$103,23,FALSE)</f>
        <v>#N/A</v>
      </c>
      <c r="BM68" s="12" t="e">
        <f>VLOOKUP(A68,Ausschüttungsquote!A$3:X$103,19,FALSE)</f>
        <v>#N/A</v>
      </c>
      <c r="BN68" s="12" t="e">
        <f>VLOOKUP(A68,Ausschüttungsquote!A$3:X$103,24,FALSE)</f>
        <v>#N/A</v>
      </c>
      <c r="BO68" s="32" t="e">
        <f>IF(BL68&lt;Bewertung_Stammdaten!B$90,Bewertung_Stammdaten!A$90,IF(BL68&lt;Bewertung_Stammdaten!B$91,Bewertung_Stammdaten!A$91,IF(BL68&lt;Bewertung_Stammdaten!B$92,Bewertung_Stammdaten!A$92,IF(BL68&lt;Bewertung_Stammdaten!B$93,Bewertung_Stammdaten!A$93,IF(BL68&lt;Bewertung_Stammdaten!B$94,Bewertung_Stammdaten!A$94,IF(BL68&lt;Bewertung_Stammdaten!B$95,Bewertung_Stammdaten!A$95,IF(BL68&lt;Bewertung_Stammdaten!B$96,Bewertung_Stammdaten!A$96,IF(BL68&lt;Bewertung_Stammdaten!B$97,Bewertung_Stammdaten!A$97,IF(BL68&lt;Bewertung_Stammdaten!B$98,Bewertung_Stammdaten!A$98,Bewertung_Stammdaten!A$99)))))))))</f>
        <v>#N/A</v>
      </c>
      <c r="BP68" s="41" t="e">
        <f>IF(BM68&lt;Bewertung_Stammdaten!F$90,Bewertung_Stammdaten!E$90,IF(BM68&lt;Bewertung_Stammdaten!F$91,Bewertung_Stammdaten!E$91,IF(BM68&lt;Bewertung_Stammdaten!F$92,Bewertung_Stammdaten!E$92,IF(BM68&lt;Bewertung_Stammdaten!F$93,Bewertung_Stammdaten!E$93,IF(BM68&lt;Bewertung_Stammdaten!F$94,Bewertung_Stammdaten!E$94,IF(BM68&lt;Bewertung_Stammdaten!F$95,Bewertung_Stammdaten!E$95,IF(BM68&lt;Bewertung_Stammdaten!F$96,Bewertung_Stammdaten!E$96,IF(BM68&lt;Bewertung_Stammdaten!F$97,Bewertung_Stammdaten!E$97,IF(BM68&lt;Bewertung_Stammdaten!F$98,Bewertung_Stammdaten!E$98,Bewertung_Stammdaten!E$99)))))))))</f>
        <v>#N/A</v>
      </c>
      <c r="BQ68" s="32" t="e">
        <f>IF(BN68&lt;Bewertung_Stammdaten!J$90,Bewertung_Stammdaten!I$90,IF(BN68&lt;Bewertung_Stammdaten!J$91,Bewertung_Stammdaten!I$91,IF(BN68&lt;Bewertung_Stammdaten!J$92,Bewertung_Stammdaten!I$92,IF(BN68&lt;Bewertung_Stammdaten!J$93,Bewertung_Stammdaten!I$93,IF(BN68&lt;Bewertung_Stammdaten!J$94,Bewertung_Stammdaten!I$94,IF(BN68&lt;Bewertung_Stammdaten!J$95,Bewertung_Stammdaten!I$95,IF(BN68&lt;Bewertung_Stammdaten!J$96,Bewertung_Stammdaten!I$96,IF(BN68&lt;Bewertung_Stammdaten!J$97,Bewertung_Stammdaten!I$97,IF(BN68&lt;Bewertung_Stammdaten!J$98,Bewertung_Stammdaten!I$98,Bewertung_Stammdaten!I$99)))))))))</f>
        <v>#N/A</v>
      </c>
    </row>
    <row r="69" spans="3:69" x14ac:dyDescent="0.25">
      <c r="C69" s="55" t="s">
        <v>297</v>
      </c>
      <c r="D69" s="32" t="e">
        <f t="shared" si="11"/>
        <v>#N/A</v>
      </c>
      <c r="E69" s="43"/>
      <c r="F69" s="66">
        <v>1</v>
      </c>
      <c r="G69" s="11" t="e">
        <f>VLOOKUP(A69,KGV!A$3:R$103,17,FALSE)</f>
        <v>#N/A</v>
      </c>
      <c r="H69" s="11" t="e">
        <f>VLOOKUP(A69,KGV!A$3:R$103,16,FALSE)</f>
        <v>#N/A</v>
      </c>
      <c r="I69" s="12" t="e">
        <f>VLOOKUP(A69,KGV!A$3:R$103,18,FALSE)</f>
        <v>#N/A</v>
      </c>
      <c r="J69" s="16" t="e">
        <f t="shared" si="12"/>
        <v>#N/A</v>
      </c>
      <c r="K69" s="12" t="e">
        <f t="shared" si="13"/>
        <v>#N/A</v>
      </c>
      <c r="L69" s="11" t="e">
        <f>VLOOKUP(A69,KBV!A$3:R$103,17,FALSE)</f>
        <v>#N/A</v>
      </c>
      <c r="M69" s="11" t="e">
        <f>VLOOKUP(A69,KBV!A$3:R$103,16,FALSE)</f>
        <v>#N/A</v>
      </c>
      <c r="N69" s="12" t="e">
        <f>VLOOKUP(A69,KBV!A$3:R$103,18,FALSE)</f>
        <v>#N/A</v>
      </c>
      <c r="O69" s="16" t="e">
        <f t="shared" si="20"/>
        <v>#N/A</v>
      </c>
      <c r="P69" s="12" t="e">
        <f t="shared" si="21"/>
        <v>#N/A</v>
      </c>
      <c r="Q69" s="32" t="e">
        <f>IF(F69=1,IF(I69&lt;Bewertung_Stammdaten!B$12,Bewertung_Stammdaten!A$12,IF(I69&lt;Bewertung_Stammdaten!B$13,Bewertung_Stammdaten!A$13,IF(I69&lt;Bewertung_Stammdaten!B$14,Bewertung_Stammdaten!A$14,IF(I69&lt;Bewertung_Stammdaten!B$15,Bewertung_Stammdaten!A$15,IF(I69&lt;Bewertung_Stammdaten!B$16,Bewertung_Stammdaten!A$16,IF(I69&lt;Bewertung_Stammdaten!B$17,Bewertung_Stammdaten!A$17,IF(I69&lt;Bewertung_Stammdaten!B$18,Bewertung_Stammdaten!A$18,IF(I69&lt;Bewertung_Stammdaten!B$19,Bewertung_Stammdaten!A$19,IF(I69&lt;Bewertung_Stammdaten!B$20,Bewertung_Stammdaten!A$20,Bewertung_Stammdaten!A$21))))))))),IF(N69&lt;Bewertung_Stammdaten!C$12,Bewertung_Stammdaten!A$12,IF(N69&lt;Bewertung_Stammdaten!C$13,Bewertung_Stammdaten!A$13,IF(N69&lt;Bewertung_Stammdaten!C$14,Bewertung_Stammdaten!A$14,IF(N69&lt;Bewertung_Stammdaten!C$15,Bewertung_Stammdaten!A$15,IF(N69&lt;Bewertung_Stammdaten!C$16,Bewertung_Stammdaten!A$16,IF(N69&lt;Bewertung_Stammdaten!C$17,Bewertung_Stammdaten!A$17,IF(N69&lt;Bewertung_Stammdaten!C$18,Bewertung_Stammdaten!A$18,IF(N69&lt;Bewertung_Stammdaten!C$19,Bewertung_Stammdaten!A$19,IF(N69&lt;Bewertung_Stammdaten!C$20,Bewertung_Stammdaten!A$20,Bewertung_Stammdaten!A$21))))))))))</f>
        <v>#N/A</v>
      </c>
      <c r="R69" s="32" t="e">
        <f>IF(F69=1,IF(K69&lt;Bewertung_Stammdaten!F$12,Bewertung_Stammdaten!E$12,IF(K69&lt;Bewertung_Stammdaten!F$13,Bewertung_Stammdaten!E$13,IF(K69&lt;Bewertung_Stammdaten!F$14,Bewertung_Stammdaten!E$14,IF(K69&lt;Bewertung_Stammdaten!F$15,Bewertung_Stammdaten!E$15,IF(K69&lt;Bewertung_Stammdaten!F$16,Bewertung_Stammdaten!E$16,IF(K69&lt;Bewertung_Stammdaten!F$17,Bewertung_Stammdaten!E$17,IF(K69&lt;Bewertung_Stammdaten!F$18,Bewertung_Stammdaten!E$18,IF(K69&lt;Bewertung_Stammdaten!F$19,Bewertung_Stammdaten!E$19,IF(K69&lt;Bewertung_Stammdaten!F$20,Bewertung_Stammdaten!E$20,Bewertung_Stammdaten!E$21))))))))),IF(P69&lt;Bewertung_Stammdaten!G$12,Bewertung_Stammdaten!E$12,IF(P69&lt;Bewertung_Stammdaten!G$13,Bewertung_Stammdaten!E$13,IF(P69&lt;Bewertung_Stammdaten!G$14,Bewertung_Stammdaten!E$14,IF(P69&lt;Bewertung_Stammdaten!G$15,Bewertung_Stammdaten!E$15,IF(P69&lt;Bewertung_Stammdaten!G$16,Bewertung_Stammdaten!E$16,IF(P69&lt;Bewertung_Stammdaten!G$17,Bewertung_Stammdaten!E$17,IF(P69&lt;Bewertung_Stammdaten!G$18,Bewertung_Stammdaten!E$18,IF(P69&lt;Bewertung_Stammdaten!G$19,Bewertung_Stammdaten!E$19,IF(P69&lt;Bewertung_Stammdaten!G$20,Bewertung_Stammdaten!E$20,Bewertung_Stammdaten!E$21))))))))))</f>
        <v>#N/A</v>
      </c>
      <c r="S69" s="43"/>
      <c r="T69" s="11" t="e">
        <f>VLOOKUP(A69,Buchwert_je_Aktie!A$3:AK$103,23,FALSE)</f>
        <v>#N/A</v>
      </c>
      <c r="U69" s="11" t="e">
        <f>VLOOKUP(A69,Buchwert_je_Aktie!A$3:AK$103,19,FALSE)</f>
        <v>#N/A</v>
      </c>
      <c r="V69" s="12" t="e">
        <f>VLOOKUP(A69,Buchwert_je_Aktie!A$3:AK$103,24,FALSE)</f>
        <v>#N/A</v>
      </c>
      <c r="W69" s="12" t="e">
        <f>VLOOKUP(A69,Buchwert_je_Aktie!A$3:AK$103,37,FALSE)</f>
        <v>#N/A</v>
      </c>
      <c r="X69" s="16" t="e">
        <f t="shared" si="14"/>
        <v>#N/A</v>
      </c>
      <c r="Y69" s="12" t="e">
        <f t="shared" si="15"/>
        <v>#N/A</v>
      </c>
      <c r="Z69" s="51" t="e">
        <f>IF(V69&lt;Bewertung_Stammdaten!B$25,Bewertung_Stammdaten!A$25,IF(V69&lt;Bewertung_Stammdaten!B$26,Bewertung_Stammdaten!A$26,IF(V69&lt;Bewertung_Stammdaten!B$27,Bewertung_Stammdaten!A$27,IF(V69&lt;Bewertung_Stammdaten!B$28,Bewertung_Stammdaten!A$28,IF(V69&lt;Bewertung_Stammdaten!B$29,Bewertung_Stammdaten!A$29,IF(V69&lt;Bewertung_Stammdaten!B$30,Bewertung_Stammdaten!A$30,IF(V69&lt;Bewertung_Stammdaten!B$31,Bewertung_Stammdaten!A$31,IF(V69&lt;Bewertung_Stammdaten!B$32,Bewertung_Stammdaten!A$32,IF(V69&lt;Bewertung_Stammdaten!B$33,Bewertung_Stammdaten!A$33,Bewertung_Stammdaten!A$34)))))))))</f>
        <v>#N/A</v>
      </c>
      <c r="AA69" s="51" t="e">
        <f>IF(W69&lt;Bewertung_Stammdaten!F$25,Bewertung_Stammdaten!E$25,IF(W69&lt;Bewertung_Stammdaten!F$26,Bewertung_Stammdaten!E$26,IF(W69&lt;Bewertung_Stammdaten!F$27,Bewertung_Stammdaten!E$27,IF(W69&lt;Bewertung_Stammdaten!F$28,Bewertung_Stammdaten!E$28,IF(W69&lt;Bewertung_Stammdaten!F$29,Bewertung_Stammdaten!E$29,IF(W69&lt;Bewertung_Stammdaten!F$30,Bewertung_Stammdaten!E$30,IF(W69&lt;Bewertung_Stammdaten!F$31,Bewertung_Stammdaten!E$31,IF(W69&lt;Bewertung_Stammdaten!F$32,Bewertung_Stammdaten!E$32,IF(W69&lt;Bewertung_Stammdaten!F$33,Bewertung_Stammdaten!E$33,Bewertung_Stammdaten!E$34)))))))))</f>
        <v>#N/A</v>
      </c>
      <c r="AB69" s="51" t="e">
        <f>IF(Y69&lt;Bewertung_Stammdaten!J$25,Bewertung_Stammdaten!I$25,IF(Y69&lt;Bewertung_Stammdaten!J$26,Bewertung_Stammdaten!I$26,IF(Y69&lt;Bewertung_Stammdaten!J$27,Bewertung_Stammdaten!I$27,IF(Y69&lt;Bewertung_Stammdaten!J$28,Bewertung_Stammdaten!I$28,IF(Y69&lt;Bewertung_Stammdaten!J$29,Bewertung_Stammdaten!I$29,IF(Y69&lt;Bewertung_Stammdaten!J$30,Bewertung_Stammdaten!I$30,IF(Y69&lt;Bewertung_Stammdaten!J$31,Bewertung_Stammdaten!I$31,IF(Y69&lt;Bewertung_Stammdaten!J$32,Bewertung_Stammdaten!I$32,IF(Y69&lt;Bewertung_Stammdaten!J$33,Bewertung_Stammdaten!I$33,Bewertung_Stammdaten!I$34)))))))))</f>
        <v>#N/A</v>
      </c>
      <c r="AC69" s="43"/>
      <c r="AD69" s="14" t="e">
        <f>VLOOKUP(A69,Ergebnis_je_Aktie_verwässert!A$3:AK$103,23,FALSE)</f>
        <v>#N/A</v>
      </c>
      <c r="AE69" s="14" t="e">
        <f>VLOOKUP(A69,Ergebnis_je_Aktie_verwässert!A$3:AK$103,19,FALSE)</f>
        <v>#N/A</v>
      </c>
      <c r="AF69" s="12" t="e">
        <f>VLOOKUP(A69,Ergebnis_je_Aktie_verwässert!A$3:AK$103,24,FALSE)</f>
        <v>#N/A</v>
      </c>
      <c r="AG69" s="40" t="e">
        <f>VLOOKUP(A69,Ergebnis_je_Aktie_verwässert!A$3:AK$103,37,FALSE)</f>
        <v>#N/A</v>
      </c>
      <c r="AH69" s="16" t="e">
        <f t="shared" si="16"/>
        <v>#N/A</v>
      </c>
      <c r="AI69" s="12" t="e">
        <f t="shared" si="17"/>
        <v>#N/A</v>
      </c>
      <c r="AJ69" s="32" t="e">
        <f>IF(AF69&lt;Bewertung_Stammdaten!B$38,Bewertung_Stammdaten!A$38,IF(AF69&lt;Bewertung_Stammdaten!B$39,Bewertung_Stammdaten!A$39,IF(AF69&lt;Bewertung_Stammdaten!B$40,Bewertung_Stammdaten!A$40,IF(AF69&lt;Bewertung_Stammdaten!B$41,Bewertung_Stammdaten!A$41,IF(AF69&lt;Bewertung_Stammdaten!B$42,Bewertung_Stammdaten!A$42,IF(AF69&lt;Bewertung_Stammdaten!B$43,Bewertung_Stammdaten!A$43,IF(AF69&lt;Bewertung_Stammdaten!B$44,Bewertung_Stammdaten!A$44,IF(AF69&lt;Bewertung_Stammdaten!B$45,Bewertung_Stammdaten!A$45,IF(AF69&lt;Bewertung_Stammdaten!B$46,Bewertung_Stammdaten!A$46,Bewertung_Stammdaten!A$47)))))))))</f>
        <v>#N/A</v>
      </c>
      <c r="AK69" s="32" t="e">
        <f>IF(AG69&lt;Bewertung_Stammdaten!F$38,Bewertung_Stammdaten!E$38,IF(AG69&lt;Bewertung_Stammdaten!F$39,Bewertung_Stammdaten!E$39,IF(AG69&lt;Bewertung_Stammdaten!F$40,Bewertung_Stammdaten!E$40,IF(AG69&lt;Bewertung_Stammdaten!F$41,Bewertung_Stammdaten!E$41,IF(AG69&lt;Bewertung_Stammdaten!F$42,Bewertung_Stammdaten!E$42,IF(AG69&lt;Bewertung_Stammdaten!F$43,Bewertung_Stammdaten!E$43,IF(AG69&lt;Bewertung_Stammdaten!F$44,Bewertung_Stammdaten!E$44,IF(AG69&lt;Bewertung_Stammdaten!F$45,Bewertung_Stammdaten!E$45,IF(AG69&lt;Bewertung_Stammdaten!F$46,Bewertung_Stammdaten!E$46,Bewertung_Stammdaten!E$47)))))))))</f>
        <v>#N/A</v>
      </c>
      <c r="AL69" s="32" t="e">
        <f>IF(AI69&lt;Bewertung_Stammdaten!J$38,Bewertung_Stammdaten!I$38,IF(AI69&lt;Bewertung_Stammdaten!J$39,Bewertung_Stammdaten!I$39,IF(AI69&lt;Bewertung_Stammdaten!J$40,Bewertung_Stammdaten!I$40,IF(AI69&lt;Bewertung_Stammdaten!J$41,Bewertung_Stammdaten!I$41,IF(AI69&lt;Bewertung_Stammdaten!J$42,Bewertung_Stammdaten!I$42,IF(AI69&lt;Bewertung_Stammdaten!J$43,Bewertung_Stammdaten!I$43,IF(AI69&lt;Bewertung_Stammdaten!J$44,Bewertung_Stammdaten!I$44,IF(AI69&lt;Bewertung_Stammdaten!J$45,Bewertung_Stammdaten!I$45,IF(AI69&lt;Bewertung_Stammdaten!J$46,Bewertung_Stammdaten!I$46,Bewertung_Stammdaten!I$47)))))))))</f>
        <v>#N/A</v>
      </c>
      <c r="AM69" s="43"/>
      <c r="AN69" s="14" t="e">
        <f>VLOOKUP(A69,Dividende_je_Aktie!A$3:AM$103,24,FALSE)</f>
        <v>#N/A</v>
      </c>
      <c r="AO69" s="14" t="e">
        <f>VLOOKUP(A69,Dividende_je_Aktie!A$3:AM$103,20,FALSE)</f>
        <v>#N/A</v>
      </c>
      <c r="AP69" s="12" t="e">
        <f>VLOOKUP(A69,Dividende_je_Aktie!A$3:AM$103,25,FALSE)</f>
        <v>#N/A</v>
      </c>
      <c r="AQ69" s="40" t="e">
        <f>VLOOKUP(A69,Dividende_je_Aktie!A$3:AM$103,39,FALSE)</f>
        <v>#N/A</v>
      </c>
      <c r="AR69" s="16" t="e">
        <f t="shared" si="18"/>
        <v>#N/A</v>
      </c>
      <c r="AS69" s="12" t="e">
        <f t="shared" si="19"/>
        <v>#N/A</v>
      </c>
      <c r="AT69" s="32" t="e">
        <f>IF(AP69&lt;Bewertung_Stammdaten!B$51,Bewertung_Stammdaten!A$51,IF(AP69&lt;Bewertung_Stammdaten!B$52,Bewertung_Stammdaten!A$52,IF(AP69&lt;Bewertung_Stammdaten!B$53,Bewertung_Stammdaten!A$53,IF(AP69&lt;Bewertung_Stammdaten!B$54,Bewertung_Stammdaten!A$54,IF(AP69&lt;Bewertung_Stammdaten!B$55,Bewertung_Stammdaten!A$55,IF(AP69&lt;Bewertung_Stammdaten!B$56,Bewertung_Stammdaten!A$56,IF(AP69&lt;Bewertung_Stammdaten!B$57,Bewertung_Stammdaten!A$57,IF(AP69&lt;Bewertung_Stammdaten!B$58,Bewertung_Stammdaten!A$58,IF(AP69&lt;Bewertung_Stammdaten!B$59,Bewertung_Stammdaten!A$59,Bewertung_Stammdaten!A$60)))))))))</f>
        <v>#N/A</v>
      </c>
      <c r="AU69" s="32" t="e">
        <f>IF(AQ69&lt;Bewertung_Stammdaten!F$51,Bewertung_Stammdaten!E$51,IF(AQ69&lt;Bewertung_Stammdaten!F$52,Bewertung_Stammdaten!E$52,IF(AQ69&lt;Bewertung_Stammdaten!F$53,Bewertung_Stammdaten!E$53,IF(AQ69&lt;Bewertung_Stammdaten!F$54,Bewertung_Stammdaten!E$54,IF(AQ69&lt;Bewertung_Stammdaten!F$55,Bewertung_Stammdaten!E$55,IF(AQ69&lt;Bewertung_Stammdaten!F$56,Bewertung_Stammdaten!E$56,IF(AQ69&lt;Bewertung_Stammdaten!F$57,Bewertung_Stammdaten!E$57,IF(AQ69&lt;Bewertung_Stammdaten!F$58,Bewertung_Stammdaten!E$58,IF(AQ69&lt;Bewertung_Stammdaten!F$59,Bewertung_Stammdaten!E$59,Bewertung_Stammdaten!E$60)))))))))</f>
        <v>#N/A</v>
      </c>
      <c r="AV69" s="32" t="e">
        <f>IF(AS69&lt;Bewertung_Stammdaten!J$51,Bewertung_Stammdaten!I$51,IF(AS69&lt;Bewertung_Stammdaten!J$52,Bewertung_Stammdaten!I$52,IF(AS69&lt;Bewertung_Stammdaten!J$53,Bewertung_Stammdaten!I$53,IF(AS69&lt;Bewertung_Stammdaten!J$54,Bewertung_Stammdaten!I$54,IF(AS69&lt;Bewertung_Stammdaten!J$55,Bewertung_Stammdaten!I$55,IF(AS69&lt;Bewertung_Stammdaten!J$56,Bewertung_Stammdaten!I$56,IF(AS69&lt;Bewertung_Stammdaten!J$57,Bewertung_Stammdaten!I$57,IF(AS69&lt;Bewertung_Stammdaten!J$58,Bewertung_Stammdaten!I$58,IF(AS69&lt;Bewertung_Stammdaten!J$59,Bewertung_Stammdaten!I$59,Bewertung_Stammdaten!I$60)))))))))</f>
        <v>#N/A</v>
      </c>
      <c r="AW69" s="43"/>
      <c r="AX69" s="12" t="e">
        <f>VLOOKUP(A69,Dividendenrendite!A$3:R$103,17,FALSE)</f>
        <v>#N/A</v>
      </c>
      <c r="AY69" s="12" t="e">
        <f>VLOOKUP(A69,Dividendenrendite!A$3:R$103,16,FALSE)</f>
        <v>#N/A</v>
      </c>
      <c r="AZ69" s="12" t="e">
        <f>VLOOKUP(A69,Dividendenrendite!A$3:R$103,18,FALSE)</f>
        <v>#N/A</v>
      </c>
      <c r="BA69" s="32" t="e">
        <f>IF(AX69&lt;Bewertung_Stammdaten!B$64,Bewertung_Stammdaten!A$64,IF(AX69&lt;Bewertung_Stammdaten!B$65,Bewertung_Stammdaten!A$65,IF(AX69&lt;Bewertung_Stammdaten!B$66,Bewertung_Stammdaten!A$66,IF(AX69&lt;Bewertung_Stammdaten!B$67,Bewertung_Stammdaten!A$67,IF(AX69&lt;Bewertung_Stammdaten!B$68,Bewertung_Stammdaten!A$68,IF(AX69&lt;Bewertung_Stammdaten!B$69,Bewertung_Stammdaten!A$69,IF(AX69&lt;Bewertung_Stammdaten!B$70,Bewertung_Stammdaten!A$70,IF(AX69&lt;Bewertung_Stammdaten!B$71,Bewertung_Stammdaten!A$71,IF(AX69&lt;Bewertung_Stammdaten!B$72,Bewertung_Stammdaten!A$72,Bewertung_Stammdaten!A$73)))))))))</f>
        <v>#N/A</v>
      </c>
      <c r="BB69" s="32" t="e">
        <f>IF(AY69&lt;Bewertung_Stammdaten!F$64,Bewertung_Stammdaten!E$64,IF(AY69&lt;Bewertung_Stammdaten!F$65,Bewertung_Stammdaten!E$65,IF(AY69&lt;Bewertung_Stammdaten!F$66,Bewertung_Stammdaten!E$66,IF(AY69&lt;Bewertung_Stammdaten!F$67,Bewertung_Stammdaten!E$67,IF(AY69&lt;Bewertung_Stammdaten!F$68,Bewertung_Stammdaten!E$68,IF(AY69&lt;Bewertung_Stammdaten!F$69,Bewertung_Stammdaten!E$69,IF(AY69&lt;Bewertung_Stammdaten!F$70,Bewertung_Stammdaten!E$70,IF(AY69&lt;Bewertung_Stammdaten!F$71,Bewertung_Stammdaten!E$71,IF(AY69&lt;Bewertung_Stammdaten!F$72,Bewertung_Stammdaten!E$72,Bewertung_Stammdaten!E$73)))))))))</f>
        <v>#N/A</v>
      </c>
      <c r="BC69" s="32" t="e">
        <f>IF(AZ69&lt;Bewertung_Stammdaten!J$64,Bewertung_Stammdaten!I$64,IF(AZ69&lt;Bewertung_Stammdaten!J$65,Bewertung_Stammdaten!I$65,IF(AZ69&lt;Bewertung_Stammdaten!J$66,Bewertung_Stammdaten!I$66,IF(AZ69&lt;Bewertung_Stammdaten!J$67,Bewertung_Stammdaten!I$67,IF(AZ69&lt;Bewertung_Stammdaten!J$68,Bewertung_Stammdaten!I$68,IF(AZ69&lt;Bewertung_Stammdaten!J$69,Bewertung_Stammdaten!I$69,IF(AZ69&lt;Bewertung_Stammdaten!J$70,Bewertung_Stammdaten!I$70,IF(AZ69&lt;Bewertung_Stammdaten!J$71,Bewertung_Stammdaten!I$71,IF(AZ69&lt;Bewertung_Stammdaten!J$72,Bewertung_Stammdaten!I$72,Bewertung_Stammdaten!I$73)))))))))</f>
        <v>#N/A</v>
      </c>
      <c r="BD69" s="43"/>
      <c r="BE69" s="12" t="e">
        <f>VLOOKUP(A69,Aktien_im_Umlauf_splitbereinigt!A$3:Z$103,26,FALSE)</f>
        <v>#N/A</v>
      </c>
      <c r="BF69" s="12" t="e">
        <f>VLOOKUP(A69,Aktien_im_Umlauf_splitbereinigt!A$3:Y$103,24,FALSE)</f>
        <v>#N/A</v>
      </c>
      <c r="BG69" s="12" t="e">
        <f>VLOOKUP(A69,Aktien_im_Umlauf_splitbereinigt!A$3:Y$103,25,FALSE)</f>
        <v>#N/A</v>
      </c>
      <c r="BH69" s="41" t="e">
        <f>IF(BE69&lt;Bewertung_Stammdaten!B$77,Bewertung_Stammdaten!A$77,IF(BE69&lt;Bewertung_Stammdaten!B$78,Bewertung_Stammdaten!A$78,IF(BE69&lt;Bewertung_Stammdaten!B$79,Bewertung_Stammdaten!A$79,IF(BE69&lt;Bewertung_Stammdaten!B$80,Bewertung_Stammdaten!A$80,IF(BE69&lt;Bewertung_Stammdaten!B$81,Bewertung_Stammdaten!A$81,IF(BE69&lt;Bewertung_Stammdaten!B$82,Bewertung_Stammdaten!A$82,IF(BE69&lt;Bewertung_Stammdaten!B$83,Bewertung_Stammdaten!A$83,IF(BE69&lt;Bewertung_Stammdaten!B$84,Bewertung_Stammdaten!A$84,IF(BE69&lt;Bewertung_Stammdaten!B$85,Bewertung_Stammdaten!A$85,Bewertung_Stammdaten!A$86)))))))))</f>
        <v>#N/A</v>
      </c>
      <c r="BI69" s="41" t="e">
        <f>IF(BF69&lt;Bewertung_Stammdaten!F$77,Bewertung_Stammdaten!E$77,IF(BF69&lt;Bewertung_Stammdaten!F$78,Bewertung_Stammdaten!E$78,IF(BF69&lt;Bewertung_Stammdaten!F$79,Bewertung_Stammdaten!E$79,IF(BF69&lt;Bewertung_Stammdaten!F$80,Bewertung_Stammdaten!E$80,IF(BF69&lt;Bewertung_Stammdaten!F$81,Bewertung_Stammdaten!E$81,IF(BF69&lt;Bewertung_Stammdaten!F$82,Bewertung_Stammdaten!E$82,IF(BF69&lt;Bewertung_Stammdaten!F$83,Bewertung_Stammdaten!E$83,IF(BF69&lt;Bewertung_Stammdaten!F$84,Bewertung_Stammdaten!E$84,IF(BF69&lt;Bewertung_Stammdaten!F$85,Bewertung_Stammdaten!E$85,Bewertung_Stammdaten!E$86)))))))))</f>
        <v>#N/A</v>
      </c>
      <c r="BJ69" s="41" t="e">
        <f>IF(BG69&lt;Bewertung_Stammdaten!J$77,Bewertung_Stammdaten!I$77,IF(BG69&lt;Bewertung_Stammdaten!J$78,Bewertung_Stammdaten!I$78,IF(BG69&lt;Bewertung_Stammdaten!J$79,Bewertung_Stammdaten!I$79,IF(BG69&lt;Bewertung_Stammdaten!J$80,Bewertung_Stammdaten!I$80,IF(BG69&lt;Bewertung_Stammdaten!J$81,Bewertung_Stammdaten!I$81,IF(BG69&lt;Bewertung_Stammdaten!J$82,Bewertung_Stammdaten!I$82,IF(BG69&lt;Bewertung_Stammdaten!J$83,Bewertung_Stammdaten!I$83,IF(BG69&lt;Bewertung_Stammdaten!J$84,Bewertung_Stammdaten!I$84,IF(BG69&lt;Bewertung_Stammdaten!J$85,Bewertung_Stammdaten!I$85,Bewertung_Stammdaten!I$86)))))))))</f>
        <v>#N/A</v>
      </c>
      <c r="BK69" s="43"/>
      <c r="BL69" s="12" t="e">
        <f>VLOOKUP(A69,Ausschüttungsquote!A$3:X$103,23,FALSE)</f>
        <v>#N/A</v>
      </c>
      <c r="BM69" s="12" t="e">
        <f>VLOOKUP(A69,Ausschüttungsquote!A$3:X$103,19,FALSE)</f>
        <v>#N/A</v>
      </c>
      <c r="BN69" s="12" t="e">
        <f>VLOOKUP(A69,Ausschüttungsquote!A$3:X$103,24,FALSE)</f>
        <v>#N/A</v>
      </c>
      <c r="BO69" s="32" t="e">
        <f>IF(BL69&lt;Bewertung_Stammdaten!B$90,Bewertung_Stammdaten!A$90,IF(BL69&lt;Bewertung_Stammdaten!B$91,Bewertung_Stammdaten!A$91,IF(BL69&lt;Bewertung_Stammdaten!B$92,Bewertung_Stammdaten!A$92,IF(BL69&lt;Bewertung_Stammdaten!B$93,Bewertung_Stammdaten!A$93,IF(BL69&lt;Bewertung_Stammdaten!B$94,Bewertung_Stammdaten!A$94,IF(BL69&lt;Bewertung_Stammdaten!B$95,Bewertung_Stammdaten!A$95,IF(BL69&lt;Bewertung_Stammdaten!B$96,Bewertung_Stammdaten!A$96,IF(BL69&lt;Bewertung_Stammdaten!B$97,Bewertung_Stammdaten!A$97,IF(BL69&lt;Bewertung_Stammdaten!B$98,Bewertung_Stammdaten!A$98,Bewertung_Stammdaten!A$99)))))))))</f>
        <v>#N/A</v>
      </c>
      <c r="BP69" s="41" t="e">
        <f>IF(BM69&lt;Bewertung_Stammdaten!F$90,Bewertung_Stammdaten!E$90,IF(BM69&lt;Bewertung_Stammdaten!F$91,Bewertung_Stammdaten!E$91,IF(BM69&lt;Bewertung_Stammdaten!F$92,Bewertung_Stammdaten!E$92,IF(BM69&lt;Bewertung_Stammdaten!F$93,Bewertung_Stammdaten!E$93,IF(BM69&lt;Bewertung_Stammdaten!F$94,Bewertung_Stammdaten!E$94,IF(BM69&lt;Bewertung_Stammdaten!F$95,Bewertung_Stammdaten!E$95,IF(BM69&lt;Bewertung_Stammdaten!F$96,Bewertung_Stammdaten!E$96,IF(BM69&lt;Bewertung_Stammdaten!F$97,Bewertung_Stammdaten!E$97,IF(BM69&lt;Bewertung_Stammdaten!F$98,Bewertung_Stammdaten!E$98,Bewertung_Stammdaten!E$99)))))))))</f>
        <v>#N/A</v>
      </c>
      <c r="BQ69" s="32" t="e">
        <f>IF(BN69&lt;Bewertung_Stammdaten!J$90,Bewertung_Stammdaten!I$90,IF(BN69&lt;Bewertung_Stammdaten!J$91,Bewertung_Stammdaten!I$91,IF(BN69&lt;Bewertung_Stammdaten!J$92,Bewertung_Stammdaten!I$92,IF(BN69&lt;Bewertung_Stammdaten!J$93,Bewertung_Stammdaten!I$93,IF(BN69&lt;Bewertung_Stammdaten!J$94,Bewertung_Stammdaten!I$94,IF(BN69&lt;Bewertung_Stammdaten!J$95,Bewertung_Stammdaten!I$95,IF(BN69&lt;Bewertung_Stammdaten!J$96,Bewertung_Stammdaten!I$96,IF(BN69&lt;Bewertung_Stammdaten!J$97,Bewertung_Stammdaten!I$97,IF(BN69&lt;Bewertung_Stammdaten!J$98,Bewertung_Stammdaten!I$98,Bewertung_Stammdaten!I$99)))))))))</f>
        <v>#N/A</v>
      </c>
    </row>
    <row r="70" spans="3:69" x14ac:dyDescent="0.25">
      <c r="C70" s="55" t="s">
        <v>297</v>
      </c>
      <c r="D70" s="32" t="e">
        <f t="shared" si="11"/>
        <v>#N/A</v>
      </c>
      <c r="E70" s="43"/>
      <c r="F70" s="66">
        <v>1</v>
      </c>
      <c r="G70" s="11" t="e">
        <f>VLOOKUP(A70,KGV!A$3:R$103,17,FALSE)</f>
        <v>#N/A</v>
      </c>
      <c r="H70" s="11" t="e">
        <f>VLOOKUP(A70,KGV!A$3:R$103,16,FALSE)</f>
        <v>#N/A</v>
      </c>
      <c r="I70" s="12" t="e">
        <f>VLOOKUP(A70,KGV!A$3:R$103,18,FALSE)</f>
        <v>#N/A</v>
      </c>
      <c r="J70" s="16" t="e">
        <f t="shared" si="12"/>
        <v>#N/A</v>
      </c>
      <c r="K70" s="12" t="e">
        <f t="shared" si="13"/>
        <v>#N/A</v>
      </c>
      <c r="L70" s="11" t="e">
        <f>VLOOKUP(A70,KBV!A$3:R$103,17,FALSE)</f>
        <v>#N/A</v>
      </c>
      <c r="M70" s="11" t="e">
        <f>VLOOKUP(A70,KBV!A$3:R$103,16,FALSE)</f>
        <v>#N/A</v>
      </c>
      <c r="N70" s="12" t="e">
        <f>VLOOKUP(A70,KBV!A$3:R$103,18,FALSE)</f>
        <v>#N/A</v>
      </c>
      <c r="O70" s="16" t="e">
        <f t="shared" si="20"/>
        <v>#N/A</v>
      </c>
      <c r="P70" s="12" t="e">
        <f t="shared" si="21"/>
        <v>#N/A</v>
      </c>
      <c r="Q70" s="32" t="e">
        <f>IF(F70=1,IF(I70&lt;Bewertung_Stammdaten!B$12,Bewertung_Stammdaten!A$12,IF(I70&lt;Bewertung_Stammdaten!B$13,Bewertung_Stammdaten!A$13,IF(I70&lt;Bewertung_Stammdaten!B$14,Bewertung_Stammdaten!A$14,IF(I70&lt;Bewertung_Stammdaten!B$15,Bewertung_Stammdaten!A$15,IF(I70&lt;Bewertung_Stammdaten!B$16,Bewertung_Stammdaten!A$16,IF(I70&lt;Bewertung_Stammdaten!B$17,Bewertung_Stammdaten!A$17,IF(I70&lt;Bewertung_Stammdaten!B$18,Bewertung_Stammdaten!A$18,IF(I70&lt;Bewertung_Stammdaten!B$19,Bewertung_Stammdaten!A$19,IF(I70&lt;Bewertung_Stammdaten!B$20,Bewertung_Stammdaten!A$20,Bewertung_Stammdaten!A$21))))))))),IF(N70&lt;Bewertung_Stammdaten!C$12,Bewertung_Stammdaten!A$12,IF(N70&lt;Bewertung_Stammdaten!C$13,Bewertung_Stammdaten!A$13,IF(N70&lt;Bewertung_Stammdaten!C$14,Bewertung_Stammdaten!A$14,IF(N70&lt;Bewertung_Stammdaten!C$15,Bewertung_Stammdaten!A$15,IF(N70&lt;Bewertung_Stammdaten!C$16,Bewertung_Stammdaten!A$16,IF(N70&lt;Bewertung_Stammdaten!C$17,Bewertung_Stammdaten!A$17,IF(N70&lt;Bewertung_Stammdaten!C$18,Bewertung_Stammdaten!A$18,IF(N70&lt;Bewertung_Stammdaten!C$19,Bewertung_Stammdaten!A$19,IF(N70&lt;Bewertung_Stammdaten!C$20,Bewertung_Stammdaten!A$20,Bewertung_Stammdaten!A$21))))))))))</f>
        <v>#N/A</v>
      </c>
      <c r="R70" s="32" t="e">
        <f>IF(F70=1,IF(K70&lt;Bewertung_Stammdaten!F$12,Bewertung_Stammdaten!E$12,IF(K70&lt;Bewertung_Stammdaten!F$13,Bewertung_Stammdaten!E$13,IF(K70&lt;Bewertung_Stammdaten!F$14,Bewertung_Stammdaten!E$14,IF(K70&lt;Bewertung_Stammdaten!F$15,Bewertung_Stammdaten!E$15,IF(K70&lt;Bewertung_Stammdaten!F$16,Bewertung_Stammdaten!E$16,IF(K70&lt;Bewertung_Stammdaten!F$17,Bewertung_Stammdaten!E$17,IF(K70&lt;Bewertung_Stammdaten!F$18,Bewertung_Stammdaten!E$18,IF(K70&lt;Bewertung_Stammdaten!F$19,Bewertung_Stammdaten!E$19,IF(K70&lt;Bewertung_Stammdaten!F$20,Bewertung_Stammdaten!E$20,Bewertung_Stammdaten!E$21))))))))),IF(P70&lt;Bewertung_Stammdaten!G$12,Bewertung_Stammdaten!E$12,IF(P70&lt;Bewertung_Stammdaten!G$13,Bewertung_Stammdaten!E$13,IF(P70&lt;Bewertung_Stammdaten!G$14,Bewertung_Stammdaten!E$14,IF(P70&lt;Bewertung_Stammdaten!G$15,Bewertung_Stammdaten!E$15,IF(P70&lt;Bewertung_Stammdaten!G$16,Bewertung_Stammdaten!E$16,IF(P70&lt;Bewertung_Stammdaten!G$17,Bewertung_Stammdaten!E$17,IF(P70&lt;Bewertung_Stammdaten!G$18,Bewertung_Stammdaten!E$18,IF(P70&lt;Bewertung_Stammdaten!G$19,Bewertung_Stammdaten!E$19,IF(P70&lt;Bewertung_Stammdaten!G$20,Bewertung_Stammdaten!E$20,Bewertung_Stammdaten!E$21))))))))))</f>
        <v>#N/A</v>
      </c>
      <c r="S70" s="43"/>
      <c r="T70" s="11" t="e">
        <f>VLOOKUP(A70,Buchwert_je_Aktie!A$3:AK$103,23,FALSE)</f>
        <v>#N/A</v>
      </c>
      <c r="U70" s="11" t="e">
        <f>VLOOKUP(A70,Buchwert_je_Aktie!A$3:AK$103,19,FALSE)</f>
        <v>#N/A</v>
      </c>
      <c r="V70" s="12" t="e">
        <f>VLOOKUP(A70,Buchwert_je_Aktie!A$3:AK$103,24,FALSE)</f>
        <v>#N/A</v>
      </c>
      <c r="W70" s="12" t="e">
        <f>VLOOKUP(A70,Buchwert_je_Aktie!A$3:AK$103,37,FALSE)</f>
        <v>#N/A</v>
      </c>
      <c r="X70" s="16" t="e">
        <f t="shared" si="14"/>
        <v>#N/A</v>
      </c>
      <c r="Y70" s="12" t="e">
        <f t="shared" si="15"/>
        <v>#N/A</v>
      </c>
      <c r="Z70" s="51" t="e">
        <f>IF(V70&lt;Bewertung_Stammdaten!B$25,Bewertung_Stammdaten!A$25,IF(V70&lt;Bewertung_Stammdaten!B$26,Bewertung_Stammdaten!A$26,IF(V70&lt;Bewertung_Stammdaten!B$27,Bewertung_Stammdaten!A$27,IF(V70&lt;Bewertung_Stammdaten!B$28,Bewertung_Stammdaten!A$28,IF(V70&lt;Bewertung_Stammdaten!B$29,Bewertung_Stammdaten!A$29,IF(V70&lt;Bewertung_Stammdaten!B$30,Bewertung_Stammdaten!A$30,IF(V70&lt;Bewertung_Stammdaten!B$31,Bewertung_Stammdaten!A$31,IF(V70&lt;Bewertung_Stammdaten!B$32,Bewertung_Stammdaten!A$32,IF(V70&lt;Bewertung_Stammdaten!B$33,Bewertung_Stammdaten!A$33,Bewertung_Stammdaten!A$34)))))))))</f>
        <v>#N/A</v>
      </c>
      <c r="AA70" s="51" t="e">
        <f>IF(W70&lt;Bewertung_Stammdaten!F$25,Bewertung_Stammdaten!E$25,IF(W70&lt;Bewertung_Stammdaten!F$26,Bewertung_Stammdaten!E$26,IF(W70&lt;Bewertung_Stammdaten!F$27,Bewertung_Stammdaten!E$27,IF(W70&lt;Bewertung_Stammdaten!F$28,Bewertung_Stammdaten!E$28,IF(W70&lt;Bewertung_Stammdaten!F$29,Bewertung_Stammdaten!E$29,IF(W70&lt;Bewertung_Stammdaten!F$30,Bewertung_Stammdaten!E$30,IF(W70&lt;Bewertung_Stammdaten!F$31,Bewertung_Stammdaten!E$31,IF(W70&lt;Bewertung_Stammdaten!F$32,Bewertung_Stammdaten!E$32,IF(W70&lt;Bewertung_Stammdaten!F$33,Bewertung_Stammdaten!E$33,Bewertung_Stammdaten!E$34)))))))))</f>
        <v>#N/A</v>
      </c>
      <c r="AB70" s="51" t="e">
        <f>IF(Y70&lt;Bewertung_Stammdaten!J$25,Bewertung_Stammdaten!I$25,IF(Y70&lt;Bewertung_Stammdaten!J$26,Bewertung_Stammdaten!I$26,IF(Y70&lt;Bewertung_Stammdaten!J$27,Bewertung_Stammdaten!I$27,IF(Y70&lt;Bewertung_Stammdaten!J$28,Bewertung_Stammdaten!I$28,IF(Y70&lt;Bewertung_Stammdaten!J$29,Bewertung_Stammdaten!I$29,IF(Y70&lt;Bewertung_Stammdaten!J$30,Bewertung_Stammdaten!I$30,IF(Y70&lt;Bewertung_Stammdaten!J$31,Bewertung_Stammdaten!I$31,IF(Y70&lt;Bewertung_Stammdaten!J$32,Bewertung_Stammdaten!I$32,IF(Y70&lt;Bewertung_Stammdaten!J$33,Bewertung_Stammdaten!I$33,Bewertung_Stammdaten!I$34)))))))))</f>
        <v>#N/A</v>
      </c>
      <c r="AC70" s="43"/>
      <c r="AD70" s="14" t="e">
        <f>VLOOKUP(A70,Ergebnis_je_Aktie_verwässert!A$3:AK$103,23,FALSE)</f>
        <v>#N/A</v>
      </c>
      <c r="AE70" s="14" t="e">
        <f>VLOOKUP(A70,Ergebnis_je_Aktie_verwässert!A$3:AK$103,19,FALSE)</f>
        <v>#N/A</v>
      </c>
      <c r="AF70" s="12" t="e">
        <f>VLOOKUP(A70,Ergebnis_je_Aktie_verwässert!A$3:AK$103,24,FALSE)</f>
        <v>#N/A</v>
      </c>
      <c r="AG70" s="40" t="e">
        <f>VLOOKUP(A70,Ergebnis_je_Aktie_verwässert!A$3:AK$103,37,FALSE)</f>
        <v>#N/A</v>
      </c>
      <c r="AH70" s="16" t="e">
        <f t="shared" si="16"/>
        <v>#N/A</v>
      </c>
      <c r="AI70" s="12" t="e">
        <f t="shared" si="17"/>
        <v>#N/A</v>
      </c>
      <c r="AJ70" s="32" t="e">
        <f>IF(AF70&lt;Bewertung_Stammdaten!B$38,Bewertung_Stammdaten!A$38,IF(AF70&lt;Bewertung_Stammdaten!B$39,Bewertung_Stammdaten!A$39,IF(AF70&lt;Bewertung_Stammdaten!B$40,Bewertung_Stammdaten!A$40,IF(AF70&lt;Bewertung_Stammdaten!B$41,Bewertung_Stammdaten!A$41,IF(AF70&lt;Bewertung_Stammdaten!B$42,Bewertung_Stammdaten!A$42,IF(AF70&lt;Bewertung_Stammdaten!B$43,Bewertung_Stammdaten!A$43,IF(AF70&lt;Bewertung_Stammdaten!B$44,Bewertung_Stammdaten!A$44,IF(AF70&lt;Bewertung_Stammdaten!B$45,Bewertung_Stammdaten!A$45,IF(AF70&lt;Bewertung_Stammdaten!B$46,Bewertung_Stammdaten!A$46,Bewertung_Stammdaten!A$47)))))))))</f>
        <v>#N/A</v>
      </c>
      <c r="AK70" s="32" t="e">
        <f>IF(AG70&lt;Bewertung_Stammdaten!F$38,Bewertung_Stammdaten!E$38,IF(AG70&lt;Bewertung_Stammdaten!F$39,Bewertung_Stammdaten!E$39,IF(AG70&lt;Bewertung_Stammdaten!F$40,Bewertung_Stammdaten!E$40,IF(AG70&lt;Bewertung_Stammdaten!F$41,Bewertung_Stammdaten!E$41,IF(AG70&lt;Bewertung_Stammdaten!F$42,Bewertung_Stammdaten!E$42,IF(AG70&lt;Bewertung_Stammdaten!F$43,Bewertung_Stammdaten!E$43,IF(AG70&lt;Bewertung_Stammdaten!F$44,Bewertung_Stammdaten!E$44,IF(AG70&lt;Bewertung_Stammdaten!F$45,Bewertung_Stammdaten!E$45,IF(AG70&lt;Bewertung_Stammdaten!F$46,Bewertung_Stammdaten!E$46,Bewertung_Stammdaten!E$47)))))))))</f>
        <v>#N/A</v>
      </c>
      <c r="AL70" s="32" t="e">
        <f>IF(AI70&lt;Bewertung_Stammdaten!J$38,Bewertung_Stammdaten!I$38,IF(AI70&lt;Bewertung_Stammdaten!J$39,Bewertung_Stammdaten!I$39,IF(AI70&lt;Bewertung_Stammdaten!J$40,Bewertung_Stammdaten!I$40,IF(AI70&lt;Bewertung_Stammdaten!J$41,Bewertung_Stammdaten!I$41,IF(AI70&lt;Bewertung_Stammdaten!J$42,Bewertung_Stammdaten!I$42,IF(AI70&lt;Bewertung_Stammdaten!J$43,Bewertung_Stammdaten!I$43,IF(AI70&lt;Bewertung_Stammdaten!J$44,Bewertung_Stammdaten!I$44,IF(AI70&lt;Bewertung_Stammdaten!J$45,Bewertung_Stammdaten!I$45,IF(AI70&lt;Bewertung_Stammdaten!J$46,Bewertung_Stammdaten!I$46,Bewertung_Stammdaten!I$47)))))))))</f>
        <v>#N/A</v>
      </c>
      <c r="AM70" s="43"/>
      <c r="AN70" s="14" t="e">
        <f>VLOOKUP(A70,Dividende_je_Aktie!A$3:AM$103,24,FALSE)</f>
        <v>#N/A</v>
      </c>
      <c r="AO70" s="14" t="e">
        <f>VLOOKUP(A70,Dividende_je_Aktie!A$3:AM$103,20,FALSE)</f>
        <v>#N/A</v>
      </c>
      <c r="AP70" s="12" t="e">
        <f>VLOOKUP(A70,Dividende_je_Aktie!A$3:AM$103,25,FALSE)</f>
        <v>#N/A</v>
      </c>
      <c r="AQ70" s="40" t="e">
        <f>VLOOKUP(A70,Dividende_je_Aktie!A$3:AM$103,39,FALSE)</f>
        <v>#N/A</v>
      </c>
      <c r="AR70" s="16" t="e">
        <f t="shared" si="18"/>
        <v>#N/A</v>
      </c>
      <c r="AS70" s="12" t="e">
        <f t="shared" si="19"/>
        <v>#N/A</v>
      </c>
      <c r="AT70" s="32" t="e">
        <f>IF(AP70&lt;Bewertung_Stammdaten!B$51,Bewertung_Stammdaten!A$51,IF(AP70&lt;Bewertung_Stammdaten!B$52,Bewertung_Stammdaten!A$52,IF(AP70&lt;Bewertung_Stammdaten!B$53,Bewertung_Stammdaten!A$53,IF(AP70&lt;Bewertung_Stammdaten!B$54,Bewertung_Stammdaten!A$54,IF(AP70&lt;Bewertung_Stammdaten!B$55,Bewertung_Stammdaten!A$55,IF(AP70&lt;Bewertung_Stammdaten!B$56,Bewertung_Stammdaten!A$56,IF(AP70&lt;Bewertung_Stammdaten!B$57,Bewertung_Stammdaten!A$57,IF(AP70&lt;Bewertung_Stammdaten!B$58,Bewertung_Stammdaten!A$58,IF(AP70&lt;Bewertung_Stammdaten!B$59,Bewertung_Stammdaten!A$59,Bewertung_Stammdaten!A$60)))))))))</f>
        <v>#N/A</v>
      </c>
      <c r="AU70" s="32" t="e">
        <f>IF(AQ70&lt;Bewertung_Stammdaten!F$51,Bewertung_Stammdaten!E$51,IF(AQ70&lt;Bewertung_Stammdaten!F$52,Bewertung_Stammdaten!E$52,IF(AQ70&lt;Bewertung_Stammdaten!F$53,Bewertung_Stammdaten!E$53,IF(AQ70&lt;Bewertung_Stammdaten!F$54,Bewertung_Stammdaten!E$54,IF(AQ70&lt;Bewertung_Stammdaten!F$55,Bewertung_Stammdaten!E$55,IF(AQ70&lt;Bewertung_Stammdaten!F$56,Bewertung_Stammdaten!E$56,IF(AQ70&lt;Bewertung_Stammdaten!F$57,Bewertung_Stammdaten!E$57,IF(AQ70&lt;Bewertung_Stammdaten!F$58,Bewertung_Stammdaten!E$58,IF(AQ70&lt;Bewertung_Stammdaten!F$59,Bewertung_Stammdaten!E$59,Bewertung_Stammdaten!E$60)))))))))</f>
        <v>#N/A</v>
      </c>
      <c r="AV70" s="32" t="e">
        <f>IF(AS70&lt;Bewertung_Stammdaten!J$51,Bewertung_Stammdaten!I$51,IF(AS70&lt;Bewertung_Stammdaten!J$52,Bewertung_Stammdaten!I$52,IF(AS70&lt;Bewertung_Stammdaten!J$53,Bewertung_Stammdaten!I$53,IF(AS70&lt;Bewertung_Stammdaten!J$54,Bewertung_Stammdaten!I$54,IF(AS70&lt;Bewertung_Stammdaten!J$55,Bewertung_Stammdaten!I$55,IF(AS70&lt;Bewertung_Stammdaten!J$56,Bewertung_Stammdaten!I$56,IF(AS70&lt;Bewertung_Stammdaten!J$57,Bewertung_Stammdaten!I$57,IF(AS70&lt;Bewertung_Stammdaten!J$58,Bewertung_Stammdaten!I$58,IF(AS70&lt;Bewertung_Stammdaten!J$59,Bewertung_Stammdaten!I$59,Bewertung_Stammdaten!I$60)))))))))</f>
        <v>#N/A</v>
      </c>
      <c r="AW70" s="43"/>
      <c r="AX70" s="12" t="e">
        <f>VLOOKUP(A70,Dividendenrendite!A$3:R$103,17,FALSE)</f>
        <v>#N/A</v>
      </c>
      <c r="AY70" s="12" t="e">
        <f>VLOOKUP(A70,Dividendenrendite!A$3:R$103,16,FALSE)</f>
        <v>#N/A</v>
      </c>
      <c r="AZ70" s="12" t="e">
        <f>VLOOKUP(A70,Dividendenrendite!A$3:R$103,18,FALSE)</f>
        <v>#N/A</v>
      </c>
      <c r="BA70" s="32" t="e">
        <f>IF(AX70&lt;Bewertung_Stammdaten!B$64,Bewertung_Stammdaten!A$64,IF(AX70&lt;Bewertung_Stammdaten!B$65,Bewertung_Stammdaten!A$65,IF(AX70&lt;Bewertung_Stammdaten!B$66,Bewertung_Stammdaten!A$66,IF(AX70&lt;Bewertung_Stammdaten!B$67,Bewertung_Stammdaten!A$67,IF(AX70&lt;Bewertung_Stammdaten!B$68,Bewertung_Stammdaten!A$68,IF(AX70&lt;Bewertung_Stammdaten!B$69,Bewertung_Stammdaten!A$69,IF(AX70&lt;Bewertung_Stammdaten!B$70,Bewertung_Stammdaten!A$70,IF(AX70&lt;Bewertung_Stammdaten!B$71,Bewertung_Stammdaten!A$71,IF(AX70&lt;Bewertung_Stammdaten!B$72,Bewertung_Stammdaten!A$72,Bewertung_Stammdaten!A$73)))))))))</f>
        <v>#N/A</v>
      </c>
      <c r="BB70" s="32" t="e">
        <f>IF(AY70&lt;Bewertung_Stammdaten!F$64,Bewertung_Stammdaten!E$64,IF(AY70&lt;Bewertung_Stammdaten!F$65,Bewertung_Stammdaten!E$65,IF(AY70&lt;Bewertung_Stammdaten!F$66,Bewertung_Stammdaten!E$66,IF(AY70&lt;Bewertung_Stammdaten!F$67,Bewertung_Stammdaten!E$67,IF(AY70&lt;Bewertung_Stammdaten!F$68,Bewertung_Stammdaten!E$68,IF(AY70&lt;Bewertung_Stammdaten!F$69,Bewertung_Stammdaten!E$69,IF(AY70&lt;Bewertung_Stammdaten!F$70,Bewertung_Stammdaten!E$70,IF(AY70&lt;Bewertung_Stammdaten!F$71,Bewertung_Stammdaten!E$71,IF(AY70&lt;Bewertung_Stammdaten!F$72,Bewertung_Stammdaten!E$72,Bewertung_Stammdaten!E$73)))))))))</f>
        <v>#N/A</v>
      </c>
      <c r="BC70" s="32" t="e">
        <f>IF(AZ70&lt;Bewertung_Stammdaten!J$64,Bewertung_Stammdaten!I$64,IF(AZ70&lt;Bewertung_Stammdaten!J$65,Bewertung_Stammdaten!I$65,IF(AZ70&lt;Bewertung_Stammdaten!J$66,Bewertung_Stammdaten!I$66,IF(AZ70&lt;Bewertung_Stammdaten!J$67,Bewertung_Stammdaten!I$67,IF(AZ70&lt;Bewertung_Stammdaten!J$68,Bewertung_Stammdaten!I$68,IF(AZ70&lt;Bewertung_Stammdaten!J$69,Bewertung_Stammdaten!I$69,IF(AZ70&lt;Bewertung_Stammdaten!J$70,Bewertung_Stammdaten!I$70,IF(AZ70&lt;Bewertung_Stammdaten!J$71,Bewertung_Stammdaten!I$71,IF(AZ70&lt;Bewertung_Stammdaten!J$72,Bewertung_Stammdaten!I$72,Bewertung_Stammdaten!I$73)))))))))</f>
        <v>#N/A</v>
      </c>
      <c r="BD70" s="43"/>
      <c r="BE70" s="12" t="e">
        <f>VLOOKUP(A70,Aktien_im_Umlauf_splitbereinigt!A$3:Z$103,26,FALSE)</f>
        <v>#N/A</v>
      </c>
      <c r="BF70" s="12" t="e">
        <f>VLOOKUP(A70,Aktien_im_Umlauf_splitbereinigt!A$3:Y$103,24,FALSE)</f>
        <v>#N/A</v>
      </c>
      <c r="BG70" s="12" t="e">
        <f>VLOOKUP(A70,Aktien_im_Umlauf_splitbereinigt!A$3:Y$103,25,FALSE)</f>
        <v>#N/A</v>
      </c>
      <c r="BH70" s="41" t="e">
        <f>IF(BE70&lt;Bewertung_Stammdaten!B$77,Bewertung_Stammdaten!A$77,IF(BE70&lt;Bewertung_Stammdaten!B$78,Bewertung_Stammdaten!A$78,IF(BE70&lt;Bewertung_Stammdaten!B$79,Bewertung_Stammdaten!A$79,IF(BE70&lt;Bewertung_Stammdaten!B$80,Bewertung_Stammdaten!A$80,IF(BE70&lt;Bewertung_Stammdaten!B$81,Bewertung_Stammdaten!A$81,IF(BE70&lt;Bewertung_Stammdaten!B$82,Bewertung_Stammdaten!A$82,IF(BE70&lt;Bewertung_Stammdaten!B$83,Bewertung_Stammdaten!A$83,IF(BE70&lt;Bewertung_Stammdaten!B$84,Bewertung_Stammdaten!A$84,IF(BE70&lt;Bewertung_Stammdaten!B$85,Bewertung_Stammdaten!A$85,Bewertung_Stammdaten!A$86)))))))))</f>
        <v>#N/A</v>
      </c>
      <c r="BI70" s="41" t="e">
        <f>IF(BF70&lt;Bewertung_Stammdaten!F$77,Bewertung_Stammdaten!E$77,IF(BF70&lt;Bewertung_Stammdaten!F$78,Bewertung_Stammdaten!E$78,IF(BF70&lt;Bewertung_Stammdaten!F$79,Bewertung_Stammdaten!E$79,IF(BF70&lt;Bewertung_Stammdaten!F$80,Bewertung_Stammdaten!E$80,IF(BF70&lt;Bewertung_Stammdaten!F$81,Bewertung_Stammdaten!E$81,IF(BF70&lt;Bewertung_Stammdaten!F$82,Bewertung_Stammdaten!E$82,IF(BF70&lt;Bewertung_Stammdaten!F$83,Bewertung_Stammdaten!E$83,IF(BF70&lt;Bewertung_Stammdaten!F$84,Bewertung_Stammdaten!E$84,IF(BF70&lt;Bewertung_Stammdaten!F$85,Bewertung_Stammdaten!E$85,Bewertung_Stammdaten!E$86)))))))))</f>
        <v>#N/A</v>
      </c>
      <c r="BJ70" s="41" t="e">
        <f>IF(BG70&lt;Bewertung_Stammdaten!J$77,Bewertung_Stammdaten!I$77,IF(BG70&lt;Bewertung_Stammdaten!J$78,Bewertung_Stammdaten!I$78,IF(BG70&lt;Bewertung_Stammdaten!J$79,Bewertung_Stammdaten!I$79,IF(BG70&lt;Bewertung_Stammdaten!J$80,Bewertung_Stammdaten!I$80,IF(BG70&lt;Bewertung_Stammdaten!J$81,Bewertung_Stammdaten!I$81,IF(BG70&lt;Bewertung_Stammdaten!J$82,Bewertung_Stammdaten!I$82,IF(BG70&lt;Bewertung_Stammdaten!J$83,Bewertung_Stammdaten!I$83,IF(BG70&lt;Bewertung_Stammdaten!J$84,Bewertung_Stammdaten!I$84,IF(BG70&lt;Bewertung_Stammdaten!J$85,Bewertung_Stammdaten!I$85,Bewertung_Stammdaten!I$86)))))))))</f>
        <v>#N/A</v>
      </c>
      <c r="BK70" s="43"/>
      <c r="BL70" s="12" t="e">
        <f>VLOOKUP(A70,Ausschüttungsquote!A$3:X$103,23,FALSE)</f>
        <v>#N/A</v>
      </c>
      <c r="BM70" s="12" t="e">
        <f>VLOOKUP(A70,Ausschüttungsquote!A$3:X$103,19,FALSE)</f>
        <v>#N/A</v>
      </c>
      <c r="BN70" s="12" t="e">
        <f>VLOOKUP(A70,Ausschüttungsquote!A$3:X$103,24,FALSE)</f>
        <v>#N/A</v>
      </c>
      <c r="BO70" s="32" t="e">
        <f>IF(BL70&lt;Bewertung_Stammdaten!B$90,Bewertung_Stammdaten!A$90,IF(BL70&lt;Bewertung_Stammdaten!B$91,Bewertung_Stammdaten!A$91,IF(BL70&lt;Bewertung_Stammdaten!B$92,Bewertung_Stammdaten!A$92,IF(BL70&lt;Bewertung_Stammdaten!B$93,Bewertung_Stammdaten!A$93,IF(BL70&lt;Bewertung_Stammdaten!B$94,Bewertung_Stammdaten!A$94,IF(BL70&lt;Bewertung_Stammdaten!B$95,Bewertung_Stammdaten!A$95,IF(BL70&lt;Bewertung_Stammdaten!B$96,Bewertung_Stammdaten!A$96,IF(BL70&lt;Bewertung_Stammdaten!B$97,Bewertung_Stammdaten!A$97,IF(BL70&lt;Bewertung_Stammdaten!B$98,Bewertung_Stammdaten!A$98,Bewertung_Stammdaten!A$99)))))))))</f>
        <v>#N/A</v>
      </c>
      <c r="BP70" s="41" t="e">
        <f>IF(BM70&lt;Bewertung_Stammdaten!F$90,Bewertung_Stammdaten!E$90,IF(BM70&lt;Bewertung_Stammdaten!F$91,Bewertung_Stammdaten!E$91,IF(BM70&lt;Bewertung_Stammdaten!F$92,Bewertung_Stammdaten!E$92,IF(BM70&lt;Bewertung_Stammdaten!F$93,Bewertung_Stammdaten!E$93,IF(BM70&lt;Bewertung_Stammdaten!F$94,Bewertung_Stammdaten!E$94,IF(BM70&lt;Bewertung_Stammdaten!F$95,Bewertung_Stammdaten!E$95,IF(BM70&lt;Bewertung_Stammdaten!F$96,Bewertung_Stammdaten!E$96,IF(BM70&lt;Bewertung_Stammdaten!F$97,Bewertung_Stammdaten!E$97,IF(BM70&lt;Bewertung_Stammdaten!F$98,Bewertung_Stammdaten!E$98,Bewertung_Stammdaten!E$99)))))))))</f>
        <v>#N/A</v>
      </c>
      <c r="BQ70" s="32" t="e">
        <f>IF(BN70&lt;Bewertung_Stammdaten!J$90,Bewertung_Stammdaten!I$90,IF(BN70&lt;Bewertung_Stammdaten!J$91,Bewertung_Stammdaten!I$91,IF(BN70&lt;Bewertung_Stammdaten!J$92,Bewertung_Stammdaten!I$92,IF(BN70&lt;Bewertung_Stammdaten!J$93,Bewertung_Stammdaten!I$93,IF(BN70&lt;Bewertung_Stammdaten!J$94,Bewertung_Stammdaten!I$94,IF(BN70&lt;Bewertung_Stammdaten!J$95,Bewertung_Stammdaten!I$95,IF(BN70&lt;Bewertung_Stammdaten!J$96,Bewertung_Stammdaten!I$96,IF(BN70&lt;Bewertung_Stammdaten!J$97,Bewertung_Stammdaten!I$97,IF(BN70&lt;Bewertung_Stammdaten!J$98,Bewertung_Stammdaten!I$98,Bewertung_Stammdaten!I$99)))))))))</f>
        <v>#N/A</v>
      </c>
    </row>
    <row r="71" spans="3:69" x14ac:dyDescent="0.25">
      <c r="C71" s="55" t="s">
        <v>297</v>
      </c>
      <c r="D71" s="32" t="e">
        <f t="shared" si="11"/>
        <v>#N/A</v>
      </c>
      <c r="E71" s="43"/>
      <c r="F71" s="66">
        <v>1</v>
      </c>
      <c r="G71" s="11" t="e">
        <f>VLOOKUP(A71,KGV!A$3:R$103,17,FALSE)</f>
        <v>#N/A</v>
      </c>
      <c r="H71" s="11" t="e">
        <f>VLOOKUP(A71,KGV!A$3:R$103,16,FALSE)</f>
        <v>#N/A</v>
      </c>
      <c r="I71" s="12" t="e">
        <f>VLOOKUP(A71,KGV!A$3:R$103,18,FALSE)</f>
        <v>#N/A</v>
      </c>
      <c r="J71" s="16" t="e">
        <f t="shared" si="12"/>
        <v>#N/A</v>
      </c>
      <c r="K71" s="12" t="e">
        <f t="shared" si="13"/>
        <v>#N/A</v>
      </c>
      <c r="L71" s="11" t="e">
        <f>VLOOKUP(A71,KBV!A$3:R$103,17,FALSE)</f>
        <v>#N/A</v>
      </c>
      <c r="M71" s="11" t="e">
        <f>VLOOKUP(A71,KBV!A$3:R$103,16,FALSE)</f>
        <v>#N/A</v>
      </c>
      <c r="N71" s="12" t="e">
        <f>VLOOKUP(A71,KBV!A$3:R$103,18,FALSE)</f>
        <v>#N/A</v>
      </c>
      <c r="O71" s="16" t="e">
        <f t="shared" si="20"/>
        <v>#N/A</v>
      </c>
      <c r="P71" s="12" t="e">
        <f t="shared" si="21"/>
        <v>#N/A</v>
      </c>
      <c r="Q71" s="32" t="e">
        <f>IF(F71=1,IF(I71&lt;Bewertung_Stammdaten!B$12,Bewertung_Stammdaten!A$12,IF(I71&lt;Bewertung_Stammdaten!B$13,Bewertung_Stammdaten!A$13,IF(I71&lt;Bewertung_Stammdaten!B$14,Bewertung_Stammdaten!A$14,IF(I71&lt;Bewertung_Stammdaten!B$15,Bewertung_Stammdaten!A$15,IF(I71&lt;Bewertung_Stammdaten!B$16,Bewertung_Stammdaten!A$16,IF(I71&lt;Bewertung_Stammdaten!B$17,Bewertung_Stammdaten!A$17,IF(I71&lt;Bewertung_Stammdaten!B$18,Bewertung_Stammdaten!A$18,IF(I71&lt;Bewertung_Stammdaten!B$19,Bewertung_Stammdaten!A$19,IF(I71&lt;Bewertung_Stammdaten!B$20,Bewertung_Stammdaten!A$20,Bewertung_Stammdaten!A$21))))))))),IF(N71&lt;Bewertung_Stammdaten!C$12,Bewertung_Stammdaten!A$12,IF(N71&lt;Bewertung_Stammdaten!C$13,Bewertung_Stammdaten!A$13,IF(N71&lt;Bewertung_Stammdaten!C$14,Bewertung_Stammdaten!A$14,IF(N71&lt;Bewertung_Stammdaten!C$15,Bewertung_Stammdaten!A$15,IF(N71&lt;Bewertung_Stammdaten!C$16,Bewertung_Stammdaten!A$16,IF(N71&lt;Bewertung_Stammdaten!C$17,Bewertung_Stammdaten!A$17,IF(N71&lt;Bewertung_Stammdaten!C$18,Bewertung_Stammdaten!A$18,IF(N71&lt;Bewertung_Stammdaten!C$19,Bewertung_Stammdaten!A$19,IF(N71&lt;Bewertung_Stammdaten!C$20,Bewertung_Stammdaten!A$20,Bewertung_Stammdaten!A$21))))))))))</f>
        <v>#N/A</v>
      </c>
      <c r="R71" s="32" t="e">
        <f>IF(F71=1,IF(K71&lt;Bewertung_Stammdaten!F$12,Bewertung_Stammdaten!E$12,IF(K71&lt;Bewertung_Stammdaten!F$13,Bewertung_Stammdaten!E$13,IF(K71&lt;Bewertung_Stammdaten!F$14,Bewertung_Stammdaten!E$14,IF(K71&lt;Bewertung_Stammdaten!F$15,Bewertung_Stammdaten!E$15,IF(K71&lt;Bewertung_Stammdaten!F$16,Bewertung_Stammdaten!E$16,IF(K71&lt;Bewertung_Stammdaten!F$17,Bewertung_Stammdaten!E$17,IF(K71&lt;Bewertung_Stammdaten!F$18,Bewertung_Stammdaten!E$18,IF(K71&lt;Bewertung_Stammdaten!F$19,Bewertung_Stammdaten!E$19,IF(K71&lt;Bewertung_Stammdaten!F$20,Bewertung_Stammdaten!E$20,Bewertung_Stammdaten!E$21))))))))),IF(P71&lt;Bewertung_Stammdaten!G$12,Bewertung_Stammdaten!E$12,IF(P71&lt;Bewertung_Stammdaten!G$13,Bewertung_Stammdaten!E$13,IF(P71&lt;Bewertung_Stammdaten!G$14,Bewertung_Stammdaten!E$14,IF(P71&lt;Bewertung_Stammdaten!G$15,Bewertung_Stammdaten!E$15,IF(P71&lt;Bewertung_Stammdaten!G$16,Bewertung_Stammdaten!E$16,IF(P71&lt;Bewertung_Stammdaten!G$17,Bewertung_Stammdaten!E$17,IF(P71&lt;Bewertung_Stammdaten!G$18,Bewertung_Stammdaten!E$18,IF(P71&lt;Bewertung_Stammdaten!G$19,Bewertung_Stammdaten!E$19,IF(P71&lt;Bewertung_Stammdaten!G$20,Bewertung_Stammdaten!E$20,Bewertung_Stammdaten!E$21))))))))))</f>
        <v>#N/A</v>
      </c>
      <c r="S71" s="43"/>
      <c r="T71" s="11" t="e">
        <f>VLOOKUP(A71,Buchwert_je_Aktie!A$3:AK$103,23,FALSE)</f>
        <v>#N/A</v>
      </c>
      <c r="U71" s="11" t="e">
        <f>VLOOKUP(A71,Buchwert_je_Aktie!A$3:AK$103,19,FALSE)</f>
        <v>#N/A</v>
      </c>
      <c r="V71" s="12" t="e">
        <f>VLOOKUP(A71,Buchwert_je_Aktie!A$3:AK$103,24,FALSE)</f>
        <v>#N/A</v>
      </c>
      <c r="W71" s="12" t="e">
        <f>VLOOKUP(A71,Buchwert_je_Aktie!A$3:AK$103,37,FALSE)</f>
        <v>#N/A</v>
      </c>
      <c r="X71" s="16" t="e">
        <f t="shared" si="14"/>
        <v>#N/A</v>
      </c>
      <c r="Y71" s="12" t="e">
        <f t="shared" si="15"/>
        <v>#N/A</v>
      </c>
      <c r="Z71" s="51" t="e">
        <f>IF(V71&lt;Bewertung_Stammdaten!B$25,Bewertung_Stammdaten!A$25,IF(V71&lt;Bewertung_Stammdaten!B$26,Bewertung_Stammdaten!A$26,IF(V71&lt;Bewertung_Stammdaten!B$27,Bewertung_Stammdaten!A$27,IF(V71&lt;Bewertung_Stammdaten!B$28,Bewertung_Stammdaten!A$28,IF(V71&lt;Bewertung_Stammdaten!B$29,Bewertung_Stammdaten!A$29,IF(V71&lt;Bewertung_Stammdaten!B$30,Bewertung_Stammdaten!A$30,IF(V71&lt;Bewertung_Stammdaten!B$31,Bewertung_Stammdaten!A$31,IF(V71&lt;Bewertung_Stammdaten!B$32,Bewertung_Stammdaten!A$32,IF(V71&lt;Bewertung_Stammdaten!B$33,Bewertung_Stammdaten!A$33,Bewertung_Stammdaten!A$34)))))))))</f>
        <v>#N/A</v>
      </c>
      <c r="AA71" s="51" t="e">
        <f>IF(W71&lt;Bewertung_Stammdaten!F$25,Bewertung_Stammdaten!E$25,IF(W71&lt;Bewertung_Stammdaten!F$26,Bewertung_Stammdaten!E$26,IF(W71&lt;Bewertung_Stammdaten!F$27,Bewertung_Stammdaten!E$27,IF(W71&lt;Bewertung_Stammdaten!F$28,Bewertung_Stammdaten!E$28,IF(W71&lt;Bewertung_Stammdaten!F$29,Bewertung_Stammdaten!E$29,IF(W71&lt;Bewertung_Stammdaten!F$30,Bewertung_Stammdaten!E$30,IF(W71&lt;Bewertung_Stammdaten!F$31,Bewertung_Stammdaten!E$31,IF(W71&lt;Bewertung_Stammdaten!F$32,Bewertung_Stammdaten!E$32,IF(W71&lt;Bewertung_Stammdaten!F$33,Bewertung_Stammdaten!E$33,Bewertung_Stammdaten!E$34)))))))))</f>
        <v>#N/A</v>
      </c>
      <c r="AB71" s="51" t="e">
        <f>IF(Y71&lt;Bewertung_Stammdaten!J$25,Bewertung_Stammdaten!I$25,IF(Y71&lt;Bewertung_Stammdaten!J$26,Bewertung_Stammdaten!I$26,IF(Y71&lt;Bewertung_Stammdaten!J$27,Bewertung_Stammdaten!I$27,IF(Y71&lt;Bewertung_Stammdaten!J$28,Bewertung_Stammdaten!I$28,IF(Y71&lt;Bewertung_Stammdaten!J$29,Bewertung_Stammdaten!I$29,IF(Y71&lt;Bewertung_Stammdaten!J$30,Bewertung_Stammdaten!I$30,IF(Y71&lt;Bewertung_Stammdaten!J$31,Bewertung_Stammdaten!I$31,IF(Y71&lt;Bewertung_Stammdaten!J$32,Bewertung_Stammdaten!I$32,IF(Y71&lt;Bewertung_Stammdaten!J$33,Bewertung_Stammdaten!I$33,Bewertung_Stammdaten!I$34)))))))))</f>
        <v>#N/A</v>
      </c>
      <c r="AC71" s="43"/>
      <c r="AD71" s="14" t="e">
        <f>VLOOKUP(A71,Ergebnis_je_Aktie_verwässert!A$3:AK$103,23,FALSE)</f>
        <v>#N/A</v>
      </c>
      <c r="AE71" s="14" t="e">
        <f>VLOOKUP(A71,Ergebnis_je_Aktie_verwässert!A$3:AK$103,19,FALSE)</f>
        <v>#N/A</v>
      </c>
      <c r="AF71" s="12" t="e">
        <f>VLOOKUP(A71,Ergebnis_je_Aktie_verwässert!A$3:AK$103,24,FALSE)</f>
        <v>#N/A</v>
      </c>
      <c r="AG71" s="40" t="e">
        <f>VLOOKUP(A71,Ergebnis_je_Aktie_verwässert!A$3:AK$103,37,FALSE)</f>
        <v>#N/A</v>
      </c>
      <c r="AH71" s="16" t="e">
        <f t="shared" si="16"/>
        <v>#N/A</v>
      </c>
      <c r="AI71" s="12" t="e">
        <f t="shared" si="17"/>
        <v>#N/A</v>
      </c>
      <c r="AJ71" s="32" t="e">
        <f>IF(AF71&lt;Bewertung_Stammdaten!B$38,Bewertung_Stammdaten!A$38,IF(AF71&lt;Bewertung_Stammdaten!B$39,Bewertung_Stammdaten!A$39,IF(AF71&lt;Bewertung_Stammdaten!B$40,Bewertung_Stammdaten!A$40,IF(AF71&lt;Bewertung_Stammdaten!B$41,Bewertung_Stammdaten!A$41,IF(AF71&lt;Bewertung_Stammdaten!B$42,Bewertung_Stammdaten!A$42,IF(AF71&lt;Bewertung_Stammdaten!B$43,Bewertung_Stammdaten!A$43,IF(AF71&lt;Bewertung_Stammdaten!B$44,Bewertung_Stammdaten!A$44,IF(AF71&lt;Bewertung_Stammdaten!B$45,Bewertung_Stammdaten!A$45,IF(AF71&lt;Bewertung_Stammdaten!B$46,Bewertung_Stammdaten!A$46,Bewertung_Stammdaten!A$47)))))))))</f>
        <v>#N/A</v>
      </c>
      <c r="AK71" s="32" t="e">
        <f>IF(AG71&lt;Bewertung_Stammdaten!F$38,Bewertung_Stammdaten!E$38,IF(AG71&lt;Bewertung_Stammdaten!F$39,Bewertung_Stammdaten!E$39,IF(AG71&lt;Bewertung_Stammdaten!F$40,Bewertung_Stammdaten!E$40,IF(AG71&lt;Bewertung_Stammdaten!F$41,Bewertung_Stammdaten!E$41,IF(AG71&lt;Bewertung_Stammdaten!F$42,Bewertung_Stammdaten!E$42,IF(AG71&lt;Bewertung_Stammdaten!F$43,Bewertung_Stammdaten!E$43,IF(AG71&lt;Bewertung_Stammdaten!F$44,Bewertung_Stammdaten!E$44,IF(AG71&lt;Bewertung_Stammdaten!F$45,Bewertung_Stammdaten!E$45,IF(AG71&lt;Bewertung_Stammdaten!F$46,Bewertung_Stammdaten!E$46,Bewertung_Stammdaten!E$47)))))))))</f>
        <v>#N/A</v>
      </c>
      <c r="AL71" s="32" t="e">
        <f>IF(AI71&lt;Bewertung_Stammdaten!J$38,Bewertung_Stammdaten!I$38,IF(AI71&lt;Bewertung_Stammdaten!J$39,Bewertung_Stammdaten!I$39,IF(AI71&lt;Bewertung_Stammdaten!J$40,Bewertung_Stammdaten!I$40,IF(AI71&lt;Bewertung_Stammdaten!J$41,Bewertung_Stammdaten!I$41,IF(AI71&lt;Bewertung_Stammdaten!J$42,Bewertung_Stammdaten!I$42,IF(AI71&lt;Bewertung_Stammdaten!J$43,Bewertung_Stammdaten!I$43,IF(AI71&lt;Bewertung_Stammdaten!J$44,Bewertung_Stammdaten!I$44,IF(AI71&lt;Bewertung_Stammdaten!J$45,Bewertung_Stammdaten!I$45,IF(AI71&lt;Bewertung_Stammdaten!J$46,Bewertung_Stammdaten!I$46,Bewertung_Stammdaten!I$47)))))))))</f>
        <v>#N/A</v>
      </c>
      <c r="AM71" s="43"/>
      <c r="AN71" s="14" t="e">
        <f>VLOOKUP(A71,Dividende_je_Aktie!A$3:AM$103,24,FALSE)</f>
        <v>#N/A</v>
      </c>
      <c r="AO71" s="14" t="e">
        <f>VLOOKUP(A71,Dividende_je_Aktie!A$3:AM$103,20,FALSE)</f>
        <v>#N/A</v>
      </c>
      <c r="AP71" s="12" t="e">
        <f>VLOOKUP(A71,Dividende_je_Aktie!A$3:AM$103,25,FALSE)</f>
        <v>#N/A</v>
      </c>
      <c r="AQ71" s="40" t="e">
        <f>VLOOKUP(A71,Dividende_je_Aktie!A$3:AM$103,39,FALSE)</f>
        <v>#N/A</v>
      </c>
      <c r="AR71" s="16" t="e">
        <f t="shared" si="18"/>
        <v>#N/A</v>
      </c>
      <c r="AS71" s="12" t="e">
        <f t="shared" si="19"/>
        <v>#N/A</v>
      </c>
      <c r="AT71" s="32" t="e">
        <f>IF(AP71&lt;Bewertung_Stammdaten!B$51,Bewertung_Stammdaten!A$51,IF(AP71&lt;Bewertung_Stammdaten!B$52,Bewertung_Stammdaten!A$52,IF(AP71&lt;Bewertung_Stammdaten!B$53,Bewertung_Stammdaten!A$53,IF(AP71&lt;Bewertung_Stammdaten!B$54,Bewertung_Stammdaten!A$54,IF(AP71&lt;Bewertung_Stammdaten!B$55,Bewertung_Stammdaten!A$55,IF(AP71&lt;Bewertung_Stammdaten!B$56,Bewertung_Stammdaten!A$56,IF(AP71&lt;Bewertung_Stammdaten!B$57,Bewertung_Stammdaten!A$57,IF(AP71&lt;Bewertung_Stammdaten!B$58,Bewertung_Stammdaten!A$58,IF(AP71&lt;Bewertung_Stammdaten!B$59,Bewertung_Stammdaten!A$59,Bewertung_Stammdaten!A$60)))))))))</f>
        <v>#N/A</v>
      </c>
      <c r="AU71" s="32" t="e">
        <f>IF(AQ71&lt;Bewertung_Stammdaten!F$51,Bewertung_Stammdaten!E$51,IF(AQ71&lt;Bewertung_Stammdaten!F$52,Bewertung_Stammdaten!E$52,IF(AQ71&lt;Bewertung_Stammdaten!F$53,Bewertung_Stammdaten!E$53,IF(AQ71&lt;Bewertung_Stammdaten!F$54,Bewertung_Stammdaten!E$54,IF(AQ71&lt;Bewertung_Stammdaten!F$55,Bewertung_Stammdaten!E$55,IF(AQ71&lt;Bewertung_Stammdaten!F$56,Bewertung_Stammdaten!E$56,IF(AQ71&lt;Bewertung_Stammdaten!F$57,Bewertung_Stammdaten!E$57,IF(AQ71&lt;Bewertung_Stammdaten!F$58,Bewertung_Stammdaten!E$58,IF(AQ71&lt;Bewertung_Stammdaten!F$59,Bewertung_Stammdaten!E$59,Bewertung_Stammdaten!E$60)))))))))</f>
        <v>#N/A</v>
      </c>
      <c r="AV71" s="32" t="e">
        <f>IF(AS71&lt;Bewertung_Stammdaten!J$51,Bewertung_Stammdaten!I$51,IF(AS71&lt;Bewertung_Stammdaten!J$52,Bewertung_Stammdaten!I$52,IF(AS71&lt;Bewertung_Stammdaten!J$53,Bewertung_Stammdaten!I$53,IF(AS71&lt;Bewertung_Stammdaten!J$54,Bewertung_Stammdaten!I$54,IF(AS71&lt;Bewertung_Stammdaten!J$55,Bewertung_Stammdaten!I$55,IF(AS71&lt;Bewertung_Stammdaten!J$56,Bewertung_Stammdaten!I$56,IF(AS71&lt;Bewertung_Stammdaten!J$57,Bewertung_Stammdaten!I$57,IF(AS71&lt;Bewertung_Stammdaten!J$58,Bewertung_Stammdaten!I$58,IF(AS71&lt;Bewertung_Stammdaten!J$59,Bewertung_Stammdaten!I$59,Bewertung_Stammdaten!I$60)))))))))</f>
        <v>#N/A</v>
      </c>
      <c r="AW71" s="43"/>
      <c r="AX71" s="12" t="e">
        <f>VLOOKUP(A71,Dividendenrendite!A$3:R$103,17,FALSE)</f>
        <v>#N/A</v>
      </c>
      <c r="AY71" s="12" t="e">
        <f>VLOOKUP(A71,Dividendenrendite!A$3:R$103,16,FALSE)</f>
        <v>#N/A</v>
      </c>
      <c r="AZ71" s="12" t="e">
        <f>VLOOKUP(A71,Dividendenrendite!A$3:R$103,18,FALSE)</f>
        <v>#N/A</v>
      </c>
      <c r="BA71" s="32" t="e">
        <f>IF(AX71&lt;Bewertung_Stammdaten!B$64,Bewertung_Stammdaten!A$64,IF(AX71&lt;Bewertung_Stammdaten!B$65,Bewertung_Stammdaten!A$65,IF(AX71&lt;Bewertung_Stammdaten!B$66,Bewertung_Stammdaten!A$66,IF(AX71&lt;Bewertung_Stammdaten!B$67,Bewertung_Stammdaten!A$67,IF(AX71&lt;Bewertung_Stammdaten!B$68,Bewertung_Stammdaten!A$68,IF(AX71&lt;Bewertung_Stammdaten!B$69,Bewertung_Stammdaten!A$69,IF(AX71&lt;Bewertung_Stammdaten!B$70,Bewertung_Stammdaten!A$70,IF(AX71&lt;Bewertung_Stammdaten!B$71,Bewertung_Stammdaten!A$71,IF(AX71&lt;Bewertung_Stammdaten!B$72,Bewertung_Stammdaten!A$72,Bewertung_Stammdaten!A$73)))))))))</f>
        <v>#N/A</v>
      </c>
      <c r="BB71" s="32" t="e">
        <f>IF(AY71&lt;Bewertung_Stammdaten!F$64,Bewertung_Stammdaten!E$64,IF(AY71&lt;Bewertung_Stammdaten!F$65,Bewertung_Stammdaten!E$65,IF(AY71&lt;Bewertung_Stammdaten!F$66,Bewertung_Stammdaten!E$66,IF(AY71&lt;Bewertung_Stammdaten!F$67,Bewertung_Stammdaten!E$67,IF(AY71&lt;Bewertung_Stammdaten!F$68,Bewertung_Stammdaten!E$68,IF(AY71&lt;Bewertung_Stammdaten!F$69,Bewertung_Stammdaten!E$69,IF(AY71&lt;Bewertung_Stammdaten!F$70,Bewertung_Stammdaten!E$70,IF(AY71&lt;Bewertung_Stammdaten!F$71,Bewertung_Stammdaten!E$71,IF(AY71&lt;Bewertung_Stammdaten!F$72,Bewertung_Stammdaten!E$72,Bewertung_Stammdaten!E$73)))))))))</f>
        <v>#N/A</v>
      </c>
      <c r="BC71" s="32" t="e">
        <f>IF(AZ71&lt;Bewertung_Stammdaten!J$64,Bewertung_Stammdaten!I$64,IF(AZ71&lt;Bewertung_Stammdaten!J$65,Bewertung_Stammdaten!I$65,IF(AZ71&lt;Bewertung_Stammdaten!J$66,Bewertung_Stammdaten!I$66,IF(AZ71&lt;Bewertung_Stammdaten!J$67,Bewertung_Stammdaten!I$67,IF(AZ71&lt;Bewertung_Stammdaten!J$68,Bewertung_Stammdaten!I$68,IF(AZ71&lt;Bewertung_Stammdaten!J$69,Bewertung_Stammdaten!I$69,IF(AZ71&lt;Bewertung_Stammdaten!J$70,Bewertung_Stammdaten!I$70,IF(AZ71&lt;Bewertung_Stammdaten!J$71,Bewertung_Stammdaten!I$71,IF(AZ71&lt;Bewertung_Stammdaten!J$72,Bewertung_Stammdaten!I$72,Bewertung_Stammdaten!I$73)))))))))</f>
        <v>#N/A</v>
      </c>
      <c r="BD71" s="43"/>
      <c r="BE71" s="12" t="e">
        <f>VLOOKUP(A71,Aktien_im_Umlauf_splitbereinigt!A$3:Z$103,26,FALSE)</f>
        <v>#N/A</v>
      </c>
      <c r="BF71" s="12" t="e">
        <f>VLOOKUP(A71,Aktien_im_Umlauf_splitbereinigt!A$3:Y$103,24,FALSE)</f>
        <v>#N/A</v>
      </c>
      <c r="BG71" s="12" t="e">
        <f>VLOOKUP(A71,Aktien_im_Umlauf_splitbereinigt!A$3:Y$103,25,FALSE)</f>
        <v>#N/A</v>
      </c>
      <c r="BH71" s="41" t="e">
        <f>IF(BE71&lt;Bewertung_Stammdaten!B$77,Bewertung_Stammdaten!A$77,IF(BE71&lt;Bewertung_Stammdaten!B$78,Bewertung_Stammdaten!A$78,IF(BE71&lt;Bewertung_Stammdaten!B$79,Bewertung_Stammdaten!A$79,IF(BE71&lt;Bewertung_Stammdaten!B$80,Bewertung_Stammdaten!A$80,IF(BE71&lt;Bewertung_Stammdaten!B$81,Bewertung_Stammdaten!A$81,IF(BE71&lt;Bewertung_Stammdaten!B$82,Bewertung_Stammdaten!A$82,IF(BE71&lt;Bewertung_Stammdaten!B$83,Bewertung_Stammdaten!A$83,IF(BE71&lt;Bewertung_Stammdaten!B$84,Bewertung_Stammdaten!A$84,IF(BE71&lt;Bewertung_Stammdaten!B$85,Bewertung_Stammdaten!A$85,Bewertung_Stammdaten!A$86)))))))))</f>
        <v>#N/A</v>
      </c>
      <c r="BI71" s="41" t="e">
        <f>IF(BF71&lt;Bewertung_Stammdaten!F$77,Bewertung_Stammdaten!E$77,IF(BF71&lt;Bewertung_Stammdaten!F$78,Bewertung_Stammdaten!E$78,IF(BF71&lt;Bewertung_Stammdaten!F$79,Bewertung_Stammdaten!E$79,IF(BF71&lt;Bewertung_Stammdaten!F$80,Bewertung_Stammdaten!E$80,IF(BF71&lt;Bewertung_Stammdaten!F$81,Bewertung_Stammdaten!E$81,IF(BF71&lt;Bewertung_Stammdaten!F$82,Bewertung_Stammdaten!E$82,IF(BF71&lt;Bewertung_Stammdaten!F$83,Bewertung_Stammdaten!E$83,IF(BF71&lt;Bewertung_Stammdaten!F$84,Bewertung_Stammdaten!E$84,IF(BF71&lt;Bewertung_Stammdaten!F$85,Bewertung_Stammdaten!E$85,Bewertung_Stammdaten!E$86)))))))))</f>
        <v>#N/A</v>
      </c>
      <c r="BJ71" s="41" t="e">
        <f>IF(BG71&lt;Bewertung_Stammdaten!J$77,Bewertung_Stammdaten!I$77,IF(BG71&lt;Bewertung_Stammdaten!J$78,Bewertung_Stammdaten!I$78,IF(BG71&lt;Bewertung_Stammdaten!J$79,Bewertung_Stammdaten!I$79,IF(BG71&lt;Bewertung_Stammdaten!J$80,Bewertung_Stammdaten!I$80,IF(BG71&lt;Bewertung_Stammdaten!J$81,Bewertung_Stammdaten!I$81,IF(BG71&lt;Bewertung_Stammdaten!J$82,Bewertung_Stammdaten!I$82,IF(BG71&lt;Bewertung_Stammdaten!J$83,Bewertung_Stammdaten!I$83,IF(BG71&lt;Bewertung_Stammdaten!J$84,Bewertung_Stammdaten!I$84,IF(BG71&lt;Bewertung_Stammdaten!J$85,Bewertung_Stammdaten!I$85,Bewertung_Stammdaten!I$86)))))))))</f>
        <v>#N/A</v>
      </c>
      <c r="BK71" s="43"/>
      <c r="BL71" s="12" t="e">
        <f>VLOOKUP(A71,Ausschüttungsquote!A$3:X$103,23,FALSE)</f>
        <v>#N/A</v>
      </c>
      <c r="BM71" s="12" t="e">
        <f>VLOOKUP(A71,Ausschüttungsquote!A$3:X$103,19,FALSE)</f>
        <v>#N/A</v>
      </c>
      <c r="BN71" s="12" t="e">
        <f>VLOOKUP(A71,Ausschüttungsquote!A$3:X$103,24,FALSE)</f>
        <v>#N/A</v>
      </c>
      <c r="BO71" s="32" t="e">
        <f>IF(BL71&lt;Bewertung_Stammdaten!B$90,Bewertung_Stammdaten!A$90,IF(BL71&lt;Bewertung_Stammdaten!B$91,Bewertung_Stammdaten!A$91,IF(BL71&lt;Bewertung_Stammdaten!B$92,Bewertung_Stammdaten!A$92,IF(BL71&lt;Bewertung_Stammdaten!B$93,Bewertung_Stammdaten!A$93,IF(BL71&lt;Bewertung_Stammdaten!B$94,Bewertung_Stammdaten!A$94,IF(BL71&lt;Bewertung_Stammdaten!B$95,Bewertung_Stammdaten!A$95,IF(BL71&lt;Bewertung_Stammdaten!B$96,Bewertung_Stammdaten!A$96,IF(BL71&lt;Bewertung_Stammdaten!B$97,Bewertung_Stammdaten!A$97,IF(BL71&lt;Bewertung_Stammdaten!B$98,Bewertung_Stammdaten!A$98,Bewertung_Stammdaten!A$99)))))))))</f>
        <v>#N/A</v>
      </c>
      <c r="BP71" s="41" t="e">
        <f>IF(BM71&lt;Bewertung_Stammdaten!F$90,Bewertung_Stammdaten!E$90,IF(BM71&lt;Bewertung_Stammdaten!F$91,Bewertung_Stammdaten!E$91,IF(BM71&lt;Bewertung_Stammdaten!F$92,Bewertung_Stammdaten!E$92,IF(BM71&lt;Bewertung_Stammdaten!F$93,Bewertung_Stammdaten!E$93,IF(BM71&lt;Bewertung_Stammdaten!F$94,Bewertung_Stammdaten!E$94,IF(BM71&lt;Bewertung_Stammdaten!F$95,Bewertung_Stammdaten!E$95,IF(BM71&lt;Bewertung_Stammdaten!F$96,Bewertung_Stammdaten!E$96,IF(BM71&lt;Bewertung_Stammdaten!F$97,Bewertung_Stammdaten!E$97,IF(BM71&lt;Bewertung_Stammdaten!F$98,Bewertung_Stammdaten!E$98,Bewertung_Stammdaten!E$99)))))))))</f>
        <v>#N/A</v>
      </c>
      <c r="BQ71" s="32" t="e">
        <f>IF(BN71&lt;Bewertung_Stammdaten!J$90,Bewertung_Stammdaten!I$90,IF(BN71&lt;Bewertung_Stammdaten!J$91,Bewertung_Stammdaten!I$91,IF(BN71&lt;Bewertung_Stammdaten!J$92,Bewertung_Stammdaten!I$92,IF(BN71&lt;Bewertung_Stammdaten!J$93,Bewertung_Stammdaten!I$93,IF(BN71&lt;Bewertung_Stammdaten!J$94,Bewertung_Stammdaten!I$94,IF(BN71&lt;Bewertung_Stammdaten!J$95,Bewertung_Stammdaten!I$95,IF(BN71&lt;Bewertung_Stammdaten!J$96,Bewertung_Stammdaten!I$96,IF(BN71&lt;Bewertung_Stammdaten!J$97,Bewertung_Stammdaten!I$97,IF(BN71&lt;Bewertung_Stammdaten!J$98,Bewertung_Stammdaten!I$98,Bewertung_Stammdaten!I$99)))))))))</f>
        <v>#N/A</v>
      </c>
    </row>
    <row r="72" spans="3:69" x14ac:dyDescent="0.25">
      <c r="C72" s="55" t="s">
        <v>297</v>
      </c>
      <c r="D72" s="32" t="e">
        <f t="shared" si="11"/>
        <v>#N/A</v>
      </c>
      <c r="E72" s="43"/>
      <c r="F72" s="66">
        <v>1</v>
      </c>
      <c r="G72" s="11" t="e">
        <f>VLOOKUP(A72,KGV!A$3:R$103,17,FALSE)</f>
        <v>#N/A</v>
      </c>
      <c r="H72" s="11" t="e">
        <f>VLOOKUP(A72,KGV!A$3:R$103,16,FALSE)</f>
        <v>#N/A</v>
      </c>
      <c r="I72" s="12" t="e">
        <f>VLOOKUP(A72,KGV!A$3:R$103,18,FALSE)</f>
        <v>#N/A</v>
      </c>
      <c r="J72" s="16" t="e">
        <f t="shared" si="12"/>
        <v>#N/A</v>
      </c>
      <c r="K72" s="12" t="e">
        <f t="shared" si="13"/>
        <v>#N/A</v>
      </c>
      <c r="L72" s="11" t="e">
        <f>VLOOKUP(A72,KBV!A$3:R$103,17,FALSE)</f>
        <v>#N/A</v>
      </c>
      <c r="M72" s="11" t="e">
        <f>VLOOKUP(A72,KBV!A$3:R$103,16,FALSE)</f>
        <v>#N/A</v>
      </c>
      <c r="N72" s="12" t="e">
        <f>VLOOKUP(A72,KBV!A$3:R$103,18,FALSE)</f>
        <v>#N/A</v>
      </c>
      <c r="O72" s="16" t="e">
        <f t="shared" si="20"/>
        <v>#N/A</v>
      </c>
      <c r="P72" s="12" t="e">
        <f t="shared" si="21"/>
        <v>#N/A</v>
      </c>
      <c r="Q72" s="32" t="e">
        <f>IF(F72=1,IF(I72&lt;Bewertung_Stammdaten!B$12,Bewertung_Stammdaten!A$12,IF(I72&lt;Bewertung_Stammdaten!B$13,Bewertung_Stammdaten!A$13,IF(I72&lt;Bewertung_Stammdaten!B$14,Bewertung_Stammdaten!A$14,IF(I72&lt;Bewertung_Stammdaten!B$15,Bewertung_Stammdaten!A$15,IF(I72&lt;Bewertung_Stammdaten!B$16,Bewertung_Stammdaten!A$16,IF(I72&lt;Bewertung_Stammdaten!B$17,Bewertung_Stammdaten!A$17,IF(I72&lt;Bewertung_Stammdaten!B$18,Bewertung_Stammdaten!A$18,IF(I72&lt;Bewertung_Stammdaten!B$19,Bewertung_Stammdaten!A$19,IF(I72&lt;Bewertung_Stammdaten!B$20,Bewertung_Stammdaten!A$20,Bewertung_Stammdaten!A$21))))))))),IF(N72&lt;Bewertung_Stammdaten!C$12,Bewertung_Stammdaten!A$12,IF(N72&lt;Bewertung_Stammdaten!C$13,Bewertung_Stammdaten!A$13,IF(N72&lt;Bewertung_Stammdaten!C$14,Bewertung_Stammdaten!A$14,IF(N72&lt;Bewertung_Stammdaten!C$15,Bewertung_Stammdaten!A$15,IF(N72&lt;Bewertung_Stammdaten!C$16,Bewertung_Stammdaten!A$16,IF(N72&lt;Bewertung_Stammdaten!C$17,Bewertung_Stammdaten!A$17,IF(N72&lt;Bewertung_Stammdaten!C$18,Bewertung_Stammdaten!A$18,IF(N72&lt;Bewertung_Stammdaten!C$19,Bewertung_Stammdaten!A$19,IF(N72&lt;Bewertung_Stammdaten!C$20,Bewertung_Stammdaten!A$20,Bewertung_Stammdaten!A$21))))))))))</f>
        <v>#N/A</v>
      </c>
      <c r="R72" s="32" t="e">
        <f>IF(F72=1,IF(K72&lt;Bewertung_Stammdaten!F$12,Bewertung_Stammdaten!E$12,IF(K72&lt;Bewertung_Stammdaten!F$13,Bewertung_Stammdaten!E$13,IF(K72&lt;Bewertung_Stammdaten!F$14,Bewertung_Stammdaten!E$14,IF(K72&lt;Bewertung_Stammdaten!F$15,Bewertung_Stammdaten!E$15,IF(K72&lt;Bewertung_Stammdaten!F$16,Bewertung_Stammdaten!E$16,IF(K72&lt;Bewertung_Stammdaten!F$17,Bewertung_Stammdaten!E$17,IF(K72&lt;Bewertung_Stammdaten!F$18,Bewertung_Stammdaten!E$18,IF(K72&lt;Bewertung_Stammdaten!F$19,Bewertung_Stammdaten!E$19,IF(K72&lt;Bewertung_Stammdaten!F$20,Bewertung_Stammdaten!E$20,Bewertung_Stammdaten!E$21))))))))),IF(P72&lt;Bewertung_Stammdaten!G$12,Bewertung_Stammdaten!E$12,IF(P72&lt;Bewertung_Stammdaten!G$13,Bewertung_Stammdaten!E$13,IF(P72&lt;Bewertung_Stammdaten!G$14,Bewertung_Stammdaten!E$14,IF(P72&lt;Bewertung_Stammdaten!G$15,Bewertung_Stammdaten!E$15,IF(P72&lt;Bewertung_Stammdaten!G$16,Bewertung_Stammdaten!E$16,IF(P72&lt;Bewertung_Stammdaten!G$17,Bewertung_Stammdaten!E$17,IF(P72&lt;Bewertung_Stammdaten!G$18,Bewertung_Stammdaten!E$18,IF(P72&lt;Bewertung_Stammdaten!G$19,Bewertung_Stammdaten!E$19,IF(P72&lt;Bewertung_Stammdaten!G$20,Bewertung_Stammdaten!E$20,Bewertung_Stammdaten!E$21))))))))))</f>
        <v>#N/A</v>
      </c>
      <c r="S72" s="43"/>
      <c r="T72" s="11" t="e">
        <f>VLOOKUP(A72,Buchwert_je_Aktie!A$3:AK$103,23,FALSE)</f>
        <v>#N/A</v>
      </c>
      <c r="U72" s="11" t="e">
        <f>VLOOKUP(A72,Buchwert_je_Aktie!A$3:AK$103,19,FALSE)</f>
        <v>#N/A</v>
      </c>
      <c r="V72" s="12" t="e">
        <f>VLOOKUP(A72,Buchwert_je_Aktie!A$3:AK$103,24,FALSE)</f>
        <v>#N/A</v>
      </c>
      <c r="W72" s="12" t="e">
        <f>VLOOKUP(A72,Buchwert_je_Aktie!A$3:AK$103,37,FALSE)</f>
        <v>#N/A</v>
      </c>
      <c r="X72" s="16" t="e">
        <f t="shared" si="14"/>
        <v>#N/A</v>
      </c>
      <c r="Y72" s="12" t="e">
        <f t="shared" si="15"/>
        <v>#N/A</v>
      </c>
      <c r="Z72" s="51" t="e">
        <f>IF(V72&lt;Bewertung_Stammdaten!B$25,Bewertung_Stammdaten!A$25,IF(V72&lt;Bewertung_Stammdaten!B$26,Bewertung_Stammdaten!A$26,IF(V72&lt;Bewertung_Stammdaten!B$27,Bewertung_Stammdaten!A$27,IF(V72&lt;Bewertung_Stammdaten!B$28,Bewertung_Stammdaten!A$28,IF(V72&lt;Bewertung_Stammdaten!B$29,Bewertung_Stammdaten!A$29,IF(V72&lt;Bewertung_Stammdaten!B$30,Bewertung_Stammdaten!A$30,IF(V72&lt;Bewertung_Stammdaten!B$31,Bewertung_Stammdaten!A$31,IF(V72&lt;Bewertung_Stammdaten!B$32,Bewertung_Stammdaten!A$32,IF(V72&lt;Bewertung_Stammdaten!B$33,Bewertung_Stammdaten!A$33,Bewertung_Stammdaten!A$34)))))))))</f>
        <v>#N/A</v>
      </c>
      <c r="AA72" s="51" t="e">
        <f>IF(W72&lt;Bewertung_Stammdaten!F$25,Bewertung_Stammdaten!E$25,IF(W72&lt;Bewertung_Stammdaten!F$26,Bewertung_Stammdaten!E$26,IF(W72&lt;Bewertung_Stammdaten!F$27,Bewertung_Stammdaten!E$27,IF(W72&lt;Bewertung_Stammdaten!F$28,Bewertung_Stammdaten!E$28,IF(W72&lt;Bewertung_Stammdaten!F$29,Bewertung_Stammdaten!E$29,IF(W72&lt;Bewertung_Stammdaten!F$30,Bewertung_Stammdaten!E$30,IF(W72&lt;Bewertung_Stammdaten!F$31,Bewertung_Stammdaten!E$31,IF(W72&lt;Bewertung_Stammdaten!F$32,Bewertung_Stammdaten!E$32,IF(W72&lt;Bewertung_Stammdaten!F$33,Bewertung_Stammdaten!E$33,Bewertung_Stammdaten!E$34)))))))))</f>
        <v>#N/A</v>
      </c>
      <c r="AB72" s="51" t="e">
        <f>IF(Y72&lt;Bewertung_Stammdaten!J$25,Bewertung_Stammdaten!I$25,IF(Y72&lt;Bewertung_Stammdaten!J$26,Bewertung_Stammdaten!I$26,IF(Y72&lt;Bewertung_Stammdaten!J$27,Bewertung_Stammdaten!I$27,IF(Y72&lt;Bewertung_Stammdaten!J$28,Bewertung_Stammdaten!I$28,IF(Y72&lt;Bewertung_Stammdaten!J$29,Bewertung_Stammdaten!I$29,IF(Y72&lt;Bewertung_Stammdaten!J$30,Bewertung_Stammdaten!I$30,IF(Y72&lt;Bewertung_Stammdaten!J$31,Bewertung_Stammdaten!I$31,IF(Y72&lt;Bewertung_Stammdaten!J$32,Bewertung_Stammdaten!I$32,IF(Y72&lt;Bewertung_Stammdaten!J$33,Bewertung_Stammdaten!I$33,Bewertung_Stammdaten!I$34)))))))))</f>
        <v>#N/A</v>
      </c>
      <c r="AC72" s="43"/>
      <c r="AD72" s="14" t="e">
        <f>VLOOKUP(A72,Ergebnis_je_Aktie_verwässert!A$3:AK$103,23,FALSE)</f>
        <v>#N/A</v>
      </c>
      <c r="AE72" s="14" t="e">
        <f>VLOOKUP(A72,Ergebnis_je_Aktie_verwässert!A$3:AK$103,19,FALSE)</f>
        <v>#N/A</v>
      </c>
      <c r="AF72" s="12" t="e">
        <f>VLOOKUP(A72,Ergebnis_je_Aktie_verwässert!A$3:AK$103,24,FALSE)</f>
        <v>#N/A</v>
      </c>
      <c r="AG72" s="40" t="e">
        <f>VLOOKUP(A72,Ergebnis_je_Aktie_verwässert!A$3:AK$103,37,FALSE)</f>
        <v>#N/A</v>
      </c>
      <c r="AH72" s="16" t="e">
        <f t="shared" si="16"/>
        <v>#N/A</v>
      </c>
      <c r="AI72" s="12" t="e">
        <f t="shared" si="17"/>
        <v>#N/A</v>
      </c>
      <c r="AJ72" s="32" t="e">
        <f>IF(AF72&lt;Bewertung_Stammdaten!B$38,Bewertung_Stammdaten!A$38,IF(AF72&lt;Bewertung_Stammdaten!B$39,Bewertung_Stammdaten!A$39,IF(AF72&lt;Bewertung_Stammdaten!B$40,Bewertung_Stammdaten!A$40,IF(AF72&lt;Bewertung_Stammdaten!B$41,Bewertung_Stammdaten!A$41,IF(AF72&lt;Bewertung_Stammdaten!B$42,Bewertung_Stammdaten!A$42,IF(AF72&lt;Bewertung_Stammdaten!B$43,Bewertung_Stammdaten!A$43,IF(AF72&lt;Bewertung_Stammdaten!B$44,Bewertung_Stammdaten!A$44,IF(AF72&lt;Bewertung_Stammdaten!B$45,Bewertung_Stammdaten!A$45,IF(AF72&lt;Bewertung_Stammdaten!B$46,Bewertung_Stammdaten!A$46,Bewertung_Stammdaten!A$47)))))))))</f>
        <v>#N/A</v>
      </c>
      <c r="AK72" s="32" t="e">
        <f>IF(AG72&lt;Bewertung_Stammdaten!F$38,Bewertung_Stammdaten!E$38,IF(AG72&lt;Bewertung_Stammdaten!F$39,Bewertung_Stammdaten!E$39,IF(AG72&lt;Bewertung_Stammdaten!F$40,Bewertung_Stammdaten!E$40,IF(AG72&lt;Bewertung_Stammdaten!F$41,Bewertung_Stammdaten!E$41,IF(AG72&lt;Bewertung_Stammdaten!F$42,Bewertung_Stammdaten!E$42,IF(AG72&lt;Bewertung_Stammdaten!F$43,Bewertung_Stammdaten!E$43,IF(AG72&lt;Bewertung_Stammdaten!F$44,Bewertung_Stammdaten!E$44,IF(AG72&lt;Bewertung_Stammdaten!F$45,Bewertung_Stammdaten!E$45,IF(AG72&lt;Bewertung_Stammdaten!F$46,Bewertung_Stammdaten!E$46,Bewertung_Stammdaten!E$47)))))))))</f>
        <v>#N/A</v>
      </c>
      <c r="AL72" s="32" t="e">
        <f>IF(AI72&lt;Bewertung_Stammdaten!J$38,Bewertung_Stammdaten!I$38,IF(AI72&lt;Bewertung_Stammdaten!J$39,Bewertung_Stammdaten!I$39,IF(AI72&lt;Bewertung_Stammdaten!J$40,Bewertung_Stammdaten!I$40,IF(AI72&lt;Bewertung_Stammdaten!J$41,Bewertung_Stammdaten!I$41,IF(AI72&lt;Bewertung_Stammdaten!J$42,Bewertung_Stammdaten!I$42,IF(AI72&lt;Bewertung_Stammdaten!J$43,Bewertung_Stammdaten!I$43,IF(AI72&lt;Bewertung_Stammdaten!J$44,Bewertung_Stammdaten!I$44,IF(AI72&lt;Bewertung_Stammdaten!J$45,Bewertung_Stammdaten!I$45,IF(AI72&lt;Bewertung_Stammdaten!J$46,Bewertung_Stammdaten!I$46,Bewertung_Stammdaten!I$47)))))))))</f>
        <v>#N/A</v>
      </c>
      <c r="AM72" s="43"/>
      <c r="AN72" s="14" t="e">
        <f>VLOOKUP(A72,Dividende_je_Aktie!A$3:AM$103,24,FALSE)</f>
        <v>#N/A</v>
      </c>
      <c r="AO72" s="14" t="e">
        <f>VLOOKUP(A72,Dividende_je_Aktie!A$3:AM$103,20,FALSE)</f>
        <v>#N/A</v>
      </c>
      <c r="AP72" s="12" t="e">
        <f>VLOOKUP(A72,Dividende_je_Aktie!A$3:AM$103,25,FALSE)</f>
        <v>#N/A</v>
      </c>
      <c r="AQ72" s="40" t="e">
        <f>VLOOKUP(A72,Dividende_je_Aktie!A$3:AM$103,39,FALSE)</f>
        <v>#N/A</v>
      </c>
      <c r="AR72" s="16" t="e">
        <f t="shared" si="18"/>
        <v>#N/A</v>
      </c>
      <c r="AS72" s="12" t="e">
        <f t="shared" si="19"/>
        <v>#N/A</v>
      </c>
      <c r="AT72" s="32" t="e">
        <f>IF(AP72&lt;Bewertung_Stammdaten!B$51,Bewertung_Stammdaten!A$51,IF(AP72&lt;Bewertung_Stammdaten!B$52,Bewertung_Stammdaten!A$52,IF(AP72&lt;Bewertung_Stammdaten!B$53,Bewertung_Stammdaten!A$53,IF(AP72&lt;Bewertung_Stammdaten!B$54,Bewertung_Stammdaten!A$54,IF(AP72&lt;Bewertung_Stammdaten!B$55,Bewertung_Stammdaten!A$55,IF(AP72&lt;Bewertung_Stammdaten!B$56,Bewertung_Stammdaten!A$56,IF(AP72&lt;Bewertung_Stammdaten!B$57,Bewertung_Stammdaten!A$57,IF(AP72&lt;Bewertung_Stammdaten!B$58,Bewertung_Stammdaten!A$58,IF(AP72&lt;Bewertung_Stammdaten!B$59,Bewertung_Stammdaten!A$59,Bewertung_Stammdaten!A$60)))))))))</f>
        <v>#N/A</v>
      </c>
      <c r="AU72" s="32" t="e">
        <f>IF(AQ72&lt;Bewertung_Stammdaten!F$51,Bewertung_Stammdaten!E$51,IF(AQ72&lt;Bewertung_Stammdaten!F$52,Bewertung_Stammdaten!E$52,IF(AQ72&lt;Bewertung_Stammdaten!F$53,Bewertung_Stammdaten!E$53,IF(AQ72&lt;Bewertung_Stammdaten!F$54,Bewertung_Stammdaten!E$54,IF(AQ72&lt;Bewertung_Stammdaten!F$55,Bewertung_Stammdaten!E$55,IF(AQ72&lt;Bewertung_Stammdaten!F$56,Bewertung_Stammdaten!E$56,IF(AQ72&lt;Bewertung_Stammdaten!F$57,Bewertung_Stammdaten!E$57,IF(AQ72&lt;Bewertung_Stammdaten!F$58,Bewertung_Stammdaten!E$58,IF(AQ72&lt;Bewertung_Stammdaten!F$59,Bewertung_Stammdaten!E$59,Bewertung_Stammdaten!E$60)))))))))</f>
        <v>#N/A</v>
      </c>
      <c r="AV72" s="32" t="e">
        <f>IF(AS72&lt;Bewertung_Stammdaten!J$51,Bewertung_Stammdaten!I$51,IF(AS72&lt;Bewertung_Stammdaten!J$52,Bewertung_Stammdaten!I$52,IF(AS72&lt;Bewertung_Stammdaten!J$53,Bewertung_Stammdaten!I$53,IF(AS72&lt;Bewertung_Stammdaten!J$54,Bewertung_Stammdaten!I$54,IF(AS72&lt;Bewertung_Stammdaten!J$55,Bewertung_Stammdaten!I$55,IF(AS72&lt;Bewertung_Stammdaten!J$56,Bewertung_Stammdaten!I$56,IF(AS72&lt;Bewertung_Stammdaten!J$57,Bewertung_Stammdaten!I$57,IF(AS72&lt;Bewertung_Stammdaten!J$58,Bewertung_Stammdaten!I$58,IF(AS72&lt;Bewertung_Stammdaten!J$59,Bewertung_Stammdaten!I$59,Bewertung_Stammdaten!I$60)))))))))</f>
        <v>#N/A</v>
      </c>
      <c r="AW72" s="43"/>
      <c r="AX72" s="12" t="e">
        <f>VLOOKUP(A72,Dividendenrendite!A$3:R$103,17,FALSE)</f>
        <v>#N/A</v>
      </c>
      <c r="AY72" s="12" t="e">
        <f>VLOOKUP(A72,Dividendenrendite!A$3:R$103,16,FALSE)</f>
        <v>#N/A</v>
      </c>
      <c r="AZ72" s="12" t="e">
        <f>VLOOKUP(A72,Dividendenrendite!A$3:R$103,18,FALSE)</f>
        <v>#N/A</v>
      </c>
      <c r="BA72" s="32" t="e">
        <f>IF(AX72&lt;Bewertung_Stammdaten!B$64,Bewertung_Stammdaten!A$64,IF(AX72&lt;Bewertung_Stammdaten!B$65,Bewertung_Stammdaten!A$65,IF(AX72&lt;Bewertung_Stammdaten!B$66,Bewertung_Stammdaten!A$66,IF(AX72&lt;Bewertung_Stammdaten!B$67,Bewertung_Stammdaten!A$67,IF(AX72&lt;Bewertung_Stammdaten!B$68,Bewertung_Stammdaten!A$68,IF(AX72&lt;Bewertung_Stammdaten!B$69,Bewertung_Stammdaten!A$69,IF(AX72&lt;Bewertung_Stammdaten!B$70,Bewertung_Stammdaten!A$70,IF(AX72&lt;Bewertung_Stammdaten!B$71,Bewertung_Stammdaten!A$71,IF(AX72&lt;Bewertung_Stammdaten!B$72,Bewertung_Stammdaten!A$72,Bewertung_Stammdaten!A$73)))))))))</f>
        <v>#N/A</v>
      </c>
      <c r="BB72" s="32" t="e">
        <f>IF(AY72&lt;Bewertung_Stammdaten!F$64,Bewertung_Stammdaten!E$64,IF(AY72&lt;Bewertung_Stammdaten!F$65,Bewertung_Stammdaten!E$65,IF(AY72&lt;Bewertung_Stammdaten!F$66,Bewertung_Stammdaten!E$66,IF(AY72&lt;Bewertung_Stammdaten!F$67,Bewertung_Stammdaten!E$67,IF(AY72&lt;Bewertung_Stammdaten!F$68,Bewertung_Stammdaten!E$68,IF(AY72&lt;Bewertung_Stammdaten!F$69,Bewertung_Stammdaten!E$69,IF(AY72&lt;Bewertung_Stammdaten!F$70,Bewertung_Stammdaten!E$70,IF(AY72&lt;Bewertung_Stammdaten!F$71,Bewertung_Stammdaten!E$71,IF(AY72&lt;Bewertung_Stammdaten!F$72,Bewertung_Stammdaten!E$72,Bewertung_Stammdaten!E$73)))))))))</f>
        <v>#N/A</v>
      </c>
      <c r="BC72" s="32" t="e">
        <f>IF(AZ72&lt;Bewertung_Stammdaten!J$64,Bewertung_Stammdaten!I$64,IF(AZ72&lt;Bewertung_Stammdaten!J$65,Bewertung_Stammdaten!I$65,IF(AZ72&lt;Bewertung_Stammdaten!J$66,Bewertung_Stammdaten!I$66,IF(AZ72&lt;Bewertung_Stammdaten!J$67,Bewertung_Stammdaten!I$67,IF(AZ72&lt;Bewertung_Stammdaten!J$68,Bewertung_Stammdaten!I$68,IF(AZ72&lt;Bewertung_Stammdaten!J$69,Bewertung_Stammdaten!I$69,IF(AZ72&lt;Bewertung_Stammdaten!J$70,Bewertung_Stammdaten!I$70,IF(AZ72&lt;Bewertung_Stammdaten!J$71,Bewertung_Stammdaten!I$71,IF(AZ72&lt;Bewertung_Stammdaten!J$72,Bewertung_Stammdaten!I$72,Bewertung_Stammdaten!I$73)))))))))</f>
        <v>#N/A</v>
      </c>
      <c r="BD72" s="43"/>
      <c r="BE72" s="12" t="e">
        <f>VLOOKUP(A72,Aktien_im_Umlauf_splitbereinigt!A$3:Z$103,26,FALSE)</f>
        <v>#N/A</v>
      </c>
      <c r="BF72" s="12" t="e">
        <f>VLOOKUP(A72,Aktien_im_Umlauf_splitbereinigt!A$3:Y$103,24,FALSE)</f>
        <v>#N/A</v>
      </c>
      <c r="BG72" s="12" t="e">
        <f>VLOOKUP(A72,Aktien_im_Umlauf_splitbereinigt!A$3:Y$103,25,FALSE)</f>
        <v>#N/A</v>
      </c>
      <c r="BH72" s="41" t="e">
        <f>IF(BE72&lt;Bewertung_Stammdaten!B$77,Bewertung_Stammdaten!A$77,IF(BE72&lt;Bewertung_Stammdaten!B$78,Bewertung_Stammdaten!A$78,IF(BE72&lt;Bewertung_Stammdaten!B$79,Bewertung_Stammdaten!A$79,IF(BE72&lt;Bewertung_Stammdaten!B$80,Bewertung_Stammdaten!A$80,IF(BE72&lt;Bewertung_Stammdaten!B$81,Bewertung_Stammdaten!A$81,IF(BE72&lt;Bewertung_Stammdaten!B$82,Bewertung_Stammdaten!A$82,IF(BE72&lt;Bewertung_Stammdaten!B$83,Bewertung_Stammdaten!A$83,IF(BE72&lt;Bewertung_Stammdaten!B$84,Bewertung_Stammdaten!A$84,IF(BE72&lt;Bewertung_Stammdaten!B$85,Bewertung_Stammdaten!A$85,Bewertung_Stammdaten!A$86)))))))))</f>
        <v>#N/A</v>
      </c>
      <c r="BI72" s="41" t="e">
        <f>IF(BF72&lt;Bewertung_Stammdaten!F$77,Bewertung_Stammdaten!E$77,IF(BF72&lt;Bewertung_Stammdaten!F$78,Bewertung_Stammdaten!E$78,IF(BF72&lt;Bewertung_Stammdaten!F$79,Bewertung_Stammdaten!E$79,IF(BF72&lt;Bewertung_Stammdaten!F$80,Bewertung_Stammdaten!E$80,IF(BF72&lt;Bewertung_Stammdaten!F$81,Bewertung_Stammdaten!E$81,IF(BF72&lt;Bewertung_Stammdaten!F$82,Bewertung_Stammdaten!E$82,IF(BF72&lt;Bewertung_Stammdaten!F$83,Bewertung_Stammdaten!E$83,IF(BF72&lt;Bewertung_Stammdaten!F$84,Bewertung_Stammdaten!E$84,IF(BF72&lt;Bewertung_Stammdaten!F$85,Bewertung_Stammdaten!E$85,Bewertung_Stammdaten!E$86)))))))))</f>
        <v>#N/A</v>
      </c>
      <c r="BJ72" s="41" t="e">
        <f>IF(BG72&lt;Bewertung_Stammdaten!J$77,Bewertung_Stammdaten!I$77,IF(BG72&lt;Bewertung_Stammdaten!J$78,Bewertung_Stammdaten!I$78,IF(BG72&lt;Bewertung_Stammdaten!J$79,Bewertung_Stammdaten!I$79,IF(BG72&lt;Bewertung_Stammdaten!J$80,Bewertung_Stammdaten!I$80,IF(BG72&lt;Bewertung_Stammdaten!J$81,Bewertung_Stammdaten!I$81,IF(BG72&lt;Bewertung_Stammdaten!J$82,Bewertung_Stammdaten!I$82,IF(BG72&lt;Bewertung_Stammdaten!J$83,Bewertung_Stammdaten!I$83,IF(BG72&lt;Bewertung_Stammdaten!J$84,Bewertung_Stammdaten!I$84,IF(BG72&lt;Bewertung_Stammdaten!J$85,Bewertung_Stammdaten!I$85,Bewertung_Stammdaten!I$86)))))))))</f>
        <v>#N/A</v>
      </c>
      <c r="BK72" s="43"/>
      <c r="BL72" s="12" t="e">
        <f>VLOOKUP(A72,Ausschüttungsquote!A$3:X$103,23,FALSE)</f>
        <v>#N/A</v>
      </c>
      <c r="BM72" s="12" t="e">
        <f>VLOOKUP(A72,Ausschüttungsquote!A$3:X$103,19,FALSE)</f>
        <v>#N/A</v>
      </c>
      <c r="BN72" s="12" t="e">
        <f>VLOOKUP(A72,Ausschüttungsquote!A$3:X$103,24,FALSE)</f>
        <v>#N/A</v>
      </c>
      <c r="BO72" s="32" t="e">
        <f>IF(BL72&lt;Bewertung_Stammdaten!B$90,Bewertung_Stammdaten!A$90,IF(BL72&lt;Bewertung_Stammdaten!B$91,Bewertung_Stammdaten!A$91,IF(BL72&lt;Bewertung_Stammdaten!B$92,Bewertung_Stammdaten!A$92,IF(BL72&lt;Bewertung_Stammdaten!B$93,Bewertung_Stammdaten!A$93,IF(BL72&lt;Bewertung_Stammdaten!B$94,Bewertung_Stammdaten!A$94,IF(BL72&lt;Bewertung_Stammdaten!B$95,Bewertung_Stammdaten!A$95,IF(BL72&lt;Bewertung_Stammdaten!B$96,Bewertung_Stammdaten!A$96,IF(BL72&lt;Bewertung_Stammdaten!B$97,Bewertung_Stammdaten!A$97,IF(BL72&lt;Bewertung_Stammdaten!B$98,Bewertung_Stammdaten!A$98,Bewertung_Stammdaten!A$99)))))))))</f>
        <v>#N/A</v>
      </c>
      <c r="BP72" s="41" t="e">
        <f>IF(BM72&lt;Bewertung_Stammdaten!F$90,Bewertung_Stammdaten!E$90,IF(BM72&lt;Bewertung_Stammdaten!F$91,Bewertung_Stammdaten!E$91,IF(BM72&lt;Bewertung_Stammdaten!F$92,Bewertung_Stammdaten!E$92,IF(BM72&lt;Bewertung_Stammdaten!F$93,Bewertung_Stammdaten!E$93,IF(BM72&lt;Bewertung_Stammdaten!F$94,Bewertung_Stammdaten!E$94,IF(BM72&lt;Bewertung_Stammdaten!F$95,Bewertung_Stammdaten!E$95,IF(BM72&lt;Bewertung_Stammdaten!F$96,Bewertung_Stammdaten!E$96,IF(BM72&lt;Bewertung_Stammdaten!F$97,Bewertung_Stammdaten!E$97,IF(BM72&lt;Bewertung_Stammdaten!F$98,Bewertung_Stammdaten!E$98,Bewertung_Stammdaten!E$99)))))))))</f>
        <v>#N/A</v>
      </c>
      <c r="BQ72" s="32" t="e">
        <f>IF(BN72&lt;Bewertung_Stammdaten!J$90,Bewertung_Stammdaten!I$90,IF(BN72&lt;Bewertung_Stammdaten!J$91,Bewertung_Stammdaten!I$91,IF(BN72&lt;Bewertung_Stammdaten!J$92,Bewertung_Stammdaten!I$92,IF(BN72&lt;Bewertung_Stammdaten!J$93,Bewertung_Stammdaten!I$93,IF(BN72&lt;Bewertung_Stammdaten!J$94,Bewertung_Stammdaten!I$94,IF(BN72&lt;Bewertung_Stammdaten!J$95,Bewertung_Stammdaten!I$95,IF(BN72&lt;Bewertung_Stammdaten!J$96,Bewertung_Stammdaten!I$96,IF(BN72&lt;Bewertung_Stammdaten!J$97,Bewertung_Stammdaten!I$97,IF(BN72&lt;Bewertung_Stammdaten!J$98,Bewertung_Stammdaten!I$98,Bewertung_Stammdaten!I$99)))))))))</f>
        <v>#N/A</v>
      </c>
    </row>
    <row r="73" spans="3:69" x14ac:dyDescent="0.25">
      <c r="C73" s="55" t="s">
        <v>297</v>
      </c>
      <c r="D73" s="32" t="e">
        <f t="shared" si="11"/>
        <v>#N/A</v>
      </c>
      <c r="E73" s="43"/>
      <c r="F73" s="66">
        <v>1</v>
      </c>
      <c r="G73" s="11" t="e">
        <f>VLOOKUP(A73,KGV!A$3:R$103,17,FALSE)</f>
        <v>#N/A</v>
      </c>
      <c r="H73" s="11" t="e">
        <f>VLOOKUP(A73,KGV!A$3:R$103,16,FALSE)</f>
        <v>#N/A</v>
      </c>
      <c r="I73" s="12" t="e">
        <f>VLOOKUP(A73,KGV!A$3:R$103,18,FALSE)</f>
        <v>#N/A</v>
      </c>
      <c r="J73" s="16" t="e">
        <f t="shared" si="12"/>
        <v>#N/A</v>
      </c>
      <c r="K73" s="12" t="e">
        <f t="shared" si="13"/>
        <v>#N/A</v>
      </c>
      <c r="L73" s="11" t="e">
        <f>VLOOKUP(A73,KBV!A$3:R$103,17,FALSE)</f>
        <v>#N/A</v>
      </c>
      <c r="M73" s="11" t="e">
        <f>VLOOKUP(A73,KBV!A$3:R$103,16,FALSE)</f>
        <v>#N/A</v>
      </c>
      <c r="N73" s="12" t="e">
        <f>VLOOKUP(A73,KBV!A$3:R$103,18,FALSE)</f>
        <v>#N/A</v>
      </c>
      <c r="O73" s="16" t="e">
        <f t="shared" si="20"/>
        <v>#N/A</v>
      </c>
      <c r="P73" s="12" t="e">
        <f t="shared" si="21"/>
        <v>#N/A</v>
      </c>
      <c r="Q73" s="32" t="e">
        <f>IF(F73=1,IF(I73&lt;Bewertung_Stammdaten!B$12,Bewertung_Stammdaten!A$12,IF(I73&lt;Bewertung_Stammdaten!B$13,Bewertung_Stammdaten!A$13,IF(I73&lt;Bewertung_Stammdaten!B$14,Bewertung_Stammdaten!A$14,IF(I73&lt;Bewertung_Stammdaten!B$15,Bewertung_Stammdaten!A$15,IF(I73&lt;Bewertung_Stammdaten!B$16,Bewertung_Stammdaten!A$16,IF(I73&lt;Bewertung_Stammdaten!B$17,Bewertung_Stammdaten!A$17,IF(I73&lt;Bewertung_Stammdaten!B$18,Bewertung_Stammdaten!A$18,IF(I73&lt;Bewertung_Stammdaten!B$19,Bewertung_Stammdaten!A$19,IF(I73&lt;Bewertung_Stammdaten!B$20,Bewertung_Stammdaten!A$20,Bewertung_Stammdaten!A$21))))))))),IF(N73&lt;Bewertung_Stammdaten!C$12,Bewertung_Stammdaten!A$12,IF(N73&lt;Bewertung_Stammdaten!C$13,Bewertung_Stammdaten!A$13,IF(N73&lt;Bewertung_Stammdaten!C$14,Bewertung_Stammdaten!A$14,IF(N73&lt;Bewertung_Stammdaten!C$15,Bewertung_Stammdaten!A$15,IF(N73&lt;Bewertung_Stammdaten!C$16,Bewertung_Stammdaten!A$16,IF(N73&lt;Bewertung_Stammdaten!C$17,Bewertung_Stammdaten!A$17,IF(N73&lt;Bewertung_Stammdaten!C$18,Bewertung_Stammdaten!A$18,IF(N73&lt;Bewertung_Stammdaten!C$19,Bewertung_Stammdaten!A$19,IF(N73&lt;Bewertung_Stammdaten!C$20,Bewertung_Stammdaten!A$20,Bewertung_Stammdaten!A$21))))))))))</f>
        <v>#N/A</v>
      </c>
      <c r="R73" s="32" t="e">
        <f>IF(F73=1,IF(K73&lt;Bewertung_Stammdaten!F$12,Bewertung_Stammdaten!E$12,IF(K73&lt;Bewertung_Stammdaten!F$13,Bewertung_Stammdaten!E$13,IF(K73&lt;Bewertung_Stammdaten!F$14,Bewertung_Stammdaten!E$14,IF(K73&lt;Bewertung_Stammdaten!F$15,Bewertung_Stammdaten!E$15,IF(K73&lt;Bewertung_Stammdaten!F$16,Bewertung_Stammdaten!E$16,IF(K73&lt;Bewertung_Stammdaten!F$17,Bewertung_Stammdaten!E$17,IF(K73&lt;Bewertung_Stammdaten!F$18,Bewertung_Stammdaten!E$18,IF(K73&lt;Bewertung_Stammdaten!F$19,Bewertung_Stammdaten!E$19,IF(K73&lt;Bewertung_Stammdaten!F$20,Bewertung_Stammdaten!E$20,Bewertung_Stammdaten!E$21))))))))),IF(P73&lt;Bewertung_Stammdaten!G$12,Bewertung_Stammdaten!E$12,IF(P73&lt;Bewertung_Stammdaten!G$13,Bewertung_Stammdaten!E$13,IF(P73&lt;Bewertung_Stammdaten!G$14,Bewertung_Stammdaten!E$14,IF(P73&lt;Bewertung_Stammdaten!G$15,Bewertung_Stammdaten!E$15,IF(P73&lt;Bewertung_Stammdaten!G$16,Bewertung_Stammdaten!E$16,IF(P73&lt;Bewertung_Stammdaten!G$17,Bewertung_Stammdaten!E$17,IF(P73&lt;Bewertung_Stammdaten!G$18,Bewertung_Stammdaten!E$18,IF(P73&lt;Bewertung_Stammdaten!G$19,Bewertung_Stammdaten!E$19,IF(P73&lt;Bewertung_Stammdaten!G$20,Bewertung_Stammdaten!E$20,Bewertung_Stammdaten!E$21))))))))))</f>
        <v>#N/A</v>
      </c>
      <c r="S73" s="43"/>
      <c r="T73" s="11" t="e">
        <f>VLOOKUP(A73,Buchwert_je_Aktie!A$3:AK$103,23,FALSE)</f>
        <v>#N/A</v>
      </c>
      <c r="U73" s="11" t="e">
        <f>VLOOKUP(A73,Buchwert_je_Aktie!A$3:AK$103,19,FALSE)</f>
        <v>#N/A</v>
      </c>
      <c r="V73" s="12" t="e">
        <f>VLOOKUP(A73,Buchwert_je_Aktie!A$3:AK$103,24,FALSE)</f>
        <v>#N/A</v>
      </c>
      <c r="W73" s="12" t="e">
        <f>VLOOKUP(A73,Buchwert_je_Aktie!A$3:AK$103,37,FALSE)</f>
        <v>#N/A</v>
      </c>
      <c r="X73" s="16" t="e">
        <f t="shared" si="14"/>
        <v>#N/A</v>
      </c>
      <c r="Y73" s="12" t="e">
        <f t="shared" si="15"/>
        <v>#N/A</v>
      </c>
      <c r="Z73" s="51" t="e">
        <f>IF(V73&lt;Bewertung_Stammdaten!B$25,Bewertung_Stammdaten!A$25,IF(V73&lt;Bewertung_Stammdaten!B$26,Bewertung_Stammdaten!A$26,IF(V73&lt;Bewertung_Stammdaten!B$27,Bewertung_Stammdaten!A$27,IF(V73&lt;Bewertung_Stammdaten!B$28,Bewertung_Stammdaten!A$28,IF(V73&lt;Bewertung_Stammdaten!B$29,Bewertung_Stammdaten!A$29,IF(V73&lt;Bewertung_Stammdaten!B$30,Bewertung_Stammdaten!A$30,IF(V73&lt;Bewertung_Stammdaten!B$31,Bewertung_Stammdaten!A$31,IF(V73&lt;Bewertung_Stammdaten!B$32,Bewertung_Stammdaten!A$32,IF(V73&lt;Bewertung_Stammdaten!B$33,Bewertung_Stammdaten!A$33,Bewertung_Stammdaten!A$34)))))))))</f>
        <v>#N/A</v>
      </c>
      <c r="AA73" s="51" t="e">
        <f>IF(W73&lt;Bewertung_Stammdaten!F$25,Bewertung_Stammdaten!E$25,IF(W73&lt;Bewertung_Stammdaten!F$26,Bewertung_Stammdaten!E$26,IF(W73&lt;Bewertung_Stammdaten!F$27,Bewertung_Stammdaten!E$27,IF(W73&lt;Bewertung_Stammdaten!F$28,Bewertung_Stammdaten!E$28,IF(W73&lt;Bewertung_Stammdaten!F$29,Bewertung_Stammdaten!E$29,IF(W73&lt;Bewertung_Stammdaten!F$30,Bewertung_Stammdaten!E$30,IF(W73&lt;Bewertung_Stammdaten!F$31,Bewertung_Stammdaten!E$31,IF(W73&lt;Bewertung_Stammdaten!F$32,Bewertung_Stammdaten!E$32,IF(W73&lt;Bewertung_Stammdaten!F$33,Bewertung_Stammdaten!E$33,Bewertung_Stammdaten!E$34)))))))))</f>
        <v>#N/A</v>
      </c>
      <c r="AB73" s="51" t="e">
        <f>IF(Y73&lt;Bewertung_Stammdaten!J$25,Bewertung_Stammdaten!I$25,IF(Y73&lt;Bewertung_Stammdaten!J$26,Bewertung_Stammdaten!I$26,IF(Y73&lt;Bewertung_Stammdaten!J$27,Bewertung_Stammdaten!I$27,IF(Y73&lt;Bewertung_Stammdaten!J$28,Bewertung_Stammdaten!I$28,IF(Y73&lt;Bewertung_Stammdaten!J$29,Bewertung_Stammdaten!I$29,IF(Y73&lt;Bewertung_Stammdaten!J$30,Bewertung_Stammdaten!I$30,IF(Y73&lt;Bewertung_Stammdaten!J$31,Bewertung_Stammdaten!I$31,IF(Y73&lt;Bewertung_Stammdaten!J$32,Bewertung_Stammdaten!I$32,IF(Y73&lt;Bewertung_Stammdaten!J$33,Bewertung_Stammdaten!I$33,Bewertung_Stammdaten!I$34)))))))))</f>
        <v>#N/A</v>
      </c>
      <c r="AC73" s="43"/>
      <c r="AD73" s="14" t="e">
        <f>VLOOKUP(A73,Ergebnis_je_Aktie_verwässert!A$3:AK$103,23,FALSE)</f>
        <v>#N/A</v>
      </c>
      <c r="AE73" s="14" t="e">
        <f>VLOOKUP(A73,Ergebnis_je_Aktie_verwässert!A$3:AK$103,19,FALSE)</f>
        <v>#N/A</v>
      </c>
      <c r="AF73" s="12" t="e">
        <f>VLOOKUP(A73,Ergebnis_je_Aktie_verwässert!A$3:AK$103,24,FALSE)</f>
        <v>#N/A</v>
      </c>
      <c r="AG73" s="40" t="e">
        <f>VLOOKUP(A73,Ergebnis_je_Aktie_verwässert!A$3:AK$103,37,FALSE)</f>
        <v>#N/A</v>
      </c>
      <c r="AH73" s="16" t="e">
        <f t="shared" si="16"/>
        <v>#N/A</v>
      </c>
      <c r="AI73" s="12" t="e">
        <f t="shared" si="17"/>
        <v>#N/A</v>
      </c>
      <c r="AJ73" s="32" t="e">
        <f>IF(AF73&lt;Bewertung_Stammdaten!B$38,Bewertung_Stammdaten!A$38,IF(AF73&lt;Bewertung_Stammdaten!B$39,Bewertung_Stammdaten!A$39,IF(AF73&lt;Bewertung_Stammdaten!B$40,Bewertung_Stammdaten!A$40,IF(AF73&lt;Bewertung_Stammdaten!B$41,Bewertung_Stammdaten!A$41,IF(AF73&lt;Bewertung_Stammdaten!B$42,Bewertung_Stammdaten!A$42,IF(AF73&lt;Bewertung_Stammdaten!B$43,Bewertung_Stammdaten!A$43,IF(AF73&lt;Bewertung_Stammdaten!B$44,Bewertung_Stammdaten!A$44,IF(AF73&lt;Bewertung_Stammdaten!B$45,Bewertung_Stammdaten!A$45,IF(AF73&lt;Bewertung_Stammdaten!B$46,Bewertung_Stammdaten!A$46,Bewertung_Stammdaten!A$47)))))))))</f>
        <v>#N/A</v>
      </c>
      <c r="AK73" s="32" t="e">
        <f>IF(AG73&lt;Bewertung_Stammdaten!F$38,Bewertung_Stammdaten!E$38,IF(AG73&lt;Bewertung_Stammdaten!F$39,Bewertung_Stammdaten!E$39,IF(AG73&lt;Bewertung_Stammdaten!F$40,Bewertung_Stammdaten!E$40,IF(AG73&lt;Bewertung_Stammdaten!F$41,Bewertung_Stammdaten!E$41,IF(AG73&lt;Bewertung_Stammdaten!F$42,Bewertung_Stammdaten!E$42,IF(AG73&lt;Bewertung_Stammdaten!F$43,Bewertung_Stammdaten!E$43,IF(AG73&lt;Bewertung_Stammdaten!F$44,Bewertung_Stammdaten!E$44,IF(AG73&lt;Bewertung_Stammdaten!F$45,Bewertung_Stammdaten!E$45,IF(AG73&lt;Bewertung_Stammdaten!F$46,Bewertung_Stammdaten!E$46,Bewertung_Stammdaten!E$47)))))))))</f>
        <v>#N/A</v>
      </c>
      <c r="AL73" s="32" t="e">
        <f>IF(AI73&lt;Bewertung_Stammdaten!J$38,Bewertung_Stammdaten!I$38,IF(AI73&lt;Bewertung_Stammdaten!J$39,Bewertung_Stammdaten!I$39,IF(AI73&lt;Bewertung_Stammdaten!J$40,Bewertung_Stammdaten!I$40,IF(AI73&lt;Bewertung_Stammdaten!J$41,Bewertung_Stammdaten!I$41,IF(AI73&lt;Bewertung_Stammdaten!J$42,Bewertung_Stammdaten!I$42,IF(AI73&lt;Bewertung_Stammdaten!J$43,Bewertung_Stammdaten!I$43,IF(AI73&lt;Bewertung_Stammdaten!J$44,Bewertung_Stammdaten!I$44,IF(AI73&lt;Bewertung_Stammdaten!J$45,Bewertung_Stammdaten!I$45,IF(AI73&lt;Bewertung_Stammdaten!J$46,Bewertung_Stammdaten!I$46,Bewertung_Stammdaten!I$47)))))))))</f>
        <v>#N/A</v>
      </c>
      <c r="AM73" s="43"/>
      <c r="AN73" s="14" t="e">
        <f>VLOOKUP(A73,Dividende_je_Aktie!A$3:AM$103,24,FALSE)</f>
        <v>#N/A</v>
      </c>
      <c r="AO73" s="14" t="e">
        <f>VLOOKUP(A73,Dividende_je_Aktie!A$3:AM$103,20,FALSE)</f>
        <v>#N/A</v>
      </c>
      <c r="AP73" s="12" t="e">
        <f>VLOOKUP(A73,Dividende_je_Aktie!A$3:AM$103,25,FALSE)</f>
        <v>#N/A</v>
      </c>
      <c r="AQ73" s="40" t="e">
        <f>VLOOKUP(A73,Dividende_je_Aktie!A$3:AM$103,39,FALSE)</f>
        <v>#N/A</v>
      </c>
      <c r="AR73" s="16" t="e">
        <f t="shared" si="18"/>
        <v>#N/A</v>
      </c>
      <c r="AS73" s="12" t="e">
        <f t="shared" si="19"/>
        <v>#N/A</v>
      </c>
      <c r="AT73" s="32" t="e">
        <f>IF(AP73&lt;Bewertung_Stammdaten!B$51,Bewertung_Stammdaten!A$51,IF(AP73&lt;Bewertung_Stammdaten!B$52,Bewertung_Stammdaten!A$52,IF(AP73&lt;Bewertung_Stammdaten!B$53,Bewertung_Stammdaten!A$53,IF(AP73&lt;Bewertung_Stammdaten!B$54,Bewertung_Stammdaten!A$54,IF(AP73&lt;Bewertung_Stammdaten!B$55,Bewertung_Stammdaten!A$55,IF(AP73&lt;Bewertung_Stammdaten!B$56,Bewertung_Stammdaten!A$56,IF(AP73&lt;Bewertung_Stammdaten!B$57,Bewertung_Stammdaten!A$57,IF(AP73&lt;Bewertung_Stammdaten!B$58,Bewertung_Stammdaten!A$58,IF(AP73&lt;Bewertung_Stammdaten!B$59,Bewertung_Stammdaten!A$59,Bewertung_Stammdaten!A$60)))))))))</f>
        <v>#N/A</v>
      </c>
      <c r="AU73" s="32" t="e">
        <f>IF(AQ73&lt;Bewertung_Stammdaten!F$51,Bewertung_Stammdaten!E$51,IF(AQ73&lt;Bewertung_Stammdaten!F$52,Bewertung_Stammdaten!E$52,IF(AQ73&lt;Bewertung_Stammdaten!F$53,Bewertung_Stammdaten!E$53,IF(AQ73&lt;Bewertung_Stammdaten!F$54,Bewertung_Stammdaten!E$54,IF(AQ73&lt;Bewertung_Stammdaten!F$55,Bewertung_Stammdaten!E$55,IF(AQ73&lt;Bewertung_Stammdaten!F$56,Bewertung_Stammdaten!E$56,IF(AQ73&lt;Bewertung_Stammdaten!F$57,Bewertung_Stammdaten!E$57,IF(AQ73&lt;Bewertung_Stammdaten!F$58,Bewertung_Stammdaten!E$58,IF(AQ73&lt;Bewertung_Stammdaten!F$59,Bewertung_Stammdaten!E$59,Bewertung_Stammdaten!E$60)))))))))</f>
        <v>#N/A</v>
      </c>
      <c r="AV73" s="32" t="e">
        <f>IF(AS73&lt;Bewertung_Stammdaten!J$51,Bewertung_Stammdaten!I$51,IF(AS73&lt;Bewertung_Stammdaten!J$52,Bewertung_Stammdaten!I$52,IF(AS73&lt;Bewertung_Stammdaten!J$53,Bewertung_Stammdaten!I$53,IF(AS73&lt;Bewertung_Stammdaten!J$54,Bewertung_Stammdaten!I$54,IF(AS73&lt;Bewertung_Stammdaten!J$55,Bewertung_Stammdaten!I$55,IF(AS73&lt;Bewertung_Stammdaten!J$56,Bewertung_Stammdaten!I$56,IF(AS73&lt;Bewertung_Stammdaten!J$57,Bewertung_Stammdaten!I$57,IF(AS73&lt;Bewertung_Stammdaten!J$58,Bewertung_Stammdaten!I$58,IF(AS73&lt;Bewertung_Stammdaten!J$59,Bewertung_Stammdaten!I$59,Bewertung_Stammdaten!I$60)))))))))</f>
        <v>#N/A</v>
      </c>
      <c r="AW73" s="43"/>
      <c r="AX73" s="12" t="e">
        <f>VLOOKUP(A73,Dividendenrendite!A$3:R$103,17,FALSE)</f>
        <v>#N/A</v>
      </c>
      <c r="AY73" s="12" t="e">
        <f>VLOOKUP(A73,Dividendenrendite!A$3:R$103,16,FALSE)</f>
        <v>#N/A</v>
      </c>
      <c r="AZ73" s="12" t="e">
        <f>VLOOKUP(A73,Dividendenrendite!A$3:R$103,18,FALSE)</f>
        <v>#N/A</v>
      </c>
      <c r="BA73" s="32" t="e">
        <f>IF(AX73&lt;Bewertung_Stammdaten!B$64,Bewertung_Stammdaten!A$64,IF(AX73&lt;Bewertung_Stammdaten!B$65,Bewertung_Stammdaten!A$65,IF(AX73&lt;Bewertung_Stammdaten!B$66,Bewertung_Stammdaten!A$66,IF(AX73&lt;Bewertung_Stammdaten!B$67,Bewertung_Stammdaten!A$67,IF(AX73&lt;Bewertung_Stammdaten!B$68,Bewertung_Stammdaten!A$68,IF(AX73&lt;Bewertung_Stammdaten!B$69,Bewertung_Stammdaten!A$69,IF(AX73&lt;Bewertung_Stammdaten!B$70,Bewertung_Stammdaten!A$70,IF(AX73&lt;Bewertung_Stammdaten!B$71,Bewertung_Stammdaten!A$71,IF(AX73&lt;Bewertung_Stammdaten!B$72,Bewertung_Stammdaten!A$72,Bewertung_Stammdaten!A$73)))))))))</f>
        <v>#N/A</v>
      </c>
      <c r="BB73" s="32" t="e">
        <f>IF(AY73&lt;Bewertung_Stammdaten!F$64,Bewertung_Stammdaten!E$64,IF(AY73&lt;Bewertung_Stammdaten!F$65,Bewertung_Stammdaten!E$65,IF(AY73&lt;Bewertung_Stammdaten!F$66,Bewertung_Stammdaten!E$66,IF(AY73&lt;Bewertung_Stammdaten!F$67,Bewertung_Stammdaten!E$67,IF(AY73&lt;Bewertung_Stammdaten!F$68,Bewertung_Stammdaten!E$68,IF(AY73&lt;Bewertung_Stammdaten!F$69,Bewertung_Stammdaten!E$69,IF(AY73&lt;Bewertung_Stammdaten!F$70,Bewertung_Stammdaten!E$70,IF(AY73&lt;Bewertung_Stammdaten!F$71,Bewertung_Stammdaten!E$71,IF(AY73&lt;Bewertung_Stammdaten!F$72,Bewertung_Stammdaten!E$72,Bewertung_Stammdaten!E$73)))))))))</f>
        <v>#N/A</v>
      </c>
      <c r="BC73" s="32" t="e">
        <f>IF(AZ73&lt;Bewertung_Stammdaten!J$64,Bewertung_Stammdaten!I$64,IF(AZ73&lt;Bewertung_Stammdaten!J$65,Bewertung_Stammdaten!I$65,IF(AZ73&lt;Bewertung_Stammdaten!J$66,Bewertung_Stammdaten!I$66,IF(AZ73&lt;Bewertung_Stammdaten!J$67,Bewertung_Stammdaten!I$67,IF(AZ73&lt;Bewertung_Stammdaten!J$68,Bewertung_Stammdaten!I$68,IF(AZ73&lt;Bewertung_Stammdaten!J$69,Bewertung_Stammdaten!I$69,IF(AZ73&lt;Bewertung_Stammdaten!J$70,Bewertung_Stammdaten!I$70,IF(AZ73&lt;Bewertung_Stammdaten!J$71,Bewertung_Stammdaten!I$71,IF(AZ73&lt;Bewertung_Stammdaten!J$72,Bewertung_Stammdaten!I$72,Bewertung_Stammdaten!I$73)))))))))</f>
        <v>#N/A</v>
      </c>
      <c r="BD73" s="43"/>
      <c r="BE73" s="12" t="e">
        <f>VLOOKUP(A73,Aktien_im_Umlauf_splitbereinigt!A$3:Z$103,26,FALSE)</f>
        <v>#N/A</v>
      </c>
      <c r="BF73" s="12" t="e">
        <f>VLOOKUP(A73,Aktien_im_Umlauf_splitbereinigt!A$3:Y$103,24,FALSE)</f>
        <v>#N/A</v>
      </c>
      <c r="BG73" s="12" t="e">
        <f>VLOOKUP(A73,Aktien_im_Umlauf_splitbereinigt!A$3:Y$103,25,FALSE)</f>
        <v>#N/A</v>
      </c>
      <c r="BH73" s="41" t="e">
        <f>IF(BE73&lt;Bewertung_Stammdaten!B$77,Bewertung_Stammdaten!A$77,IF(BE73&lt;Bewertung_Stammdaten!B$78,Bewertung_Stammdaten!A$78,IF(BE73&lt;Bewertung_Stammdaten!B$79,Bewertung_Stammdaten!A$79,IF(BE73&lt;Bewertung_Stammdaten!B$80,Bewertung_Stammdaten!A$80,IF(BE73&lt;Bewertung_Stammdaten!B$81,Bewertung_Stammdaten!A$81,IF(BE73&lt;Bewertung_Stammdaten!B$82,Bewertung_Stammdaten!A$82,IF(BE73&lt;Bewertung_Stammdaten!B$83,Bewertung_Stammdaten!A$83,IF(BE73&lt;Bewertung_Stammdaten!B$84,Bewertung_Stammdaten!A$84,IF(BE73&lt;Bewertung_Stammdaten!B$85,Bewertung_Stammdaten!A$85,Bewertung_Stammdaten!A$86)))))))))</f>
        <v>#N/A</v>
      </c>
      <c r="BI73" s="41" t="e">
        <f>IF(BF73&lt;Bewertung_Stammdaten!F$77,Bewertung_Stammdaten!E$77,IF(BF73&lt;Bewertung_Stammdaten!F$78,Bewertung_Stammdaten!E$78,IF(BF73&lt;Bewertung_Stammdaten!F$79,Bewertung_Stammdaten!E$79,IF(BF73&lt;Bewertung_Stammdaten!F$80,Bewertung_Stammdaten!E$80,IF(BF73&lt;Bewertung_Stammdaten!F$81,Bewertung_Stammdaten!E$81,IF(BF73&lt;Bewertung_Stammdaten!F$82,Bewertung_Stammdaten!E$82,IF(BF73&lt;Bewertung_Stammdaten!F$83,Bewertung_Stammdaten!E$83,IF(BF73&lt;Bewertung_Stammdaten!F$84,Bewertung_Stammdaten!E$84,IF(BF73&lt;Bewertung_Stammdaten!F$85,Bewertung_Stammdaten!E$85,Bewertung_Stammdaten!E$86)))))))))</f>
        <v>#N/A</v>
      </c>
      <c r="BJ73" s="41" t="e">
        <f>IF(BG73&lt;Bewertung_Stammdaten!J$77,Bewertung_Stammdaten!I$77,IF(BG73&lt;Bewertung_Stammdaten!J$78,Bewertung_Stammdaten!I$78,IF(BG73&lt;Bewertung_Stammdaten!J$79,Bewertung_Stammdaten!I$79,IF(BG73&lt;Bewertung_Stammdaten!J$80,Bewertung_Stammdaten!I$80,IF(BG73&lt;Bewertung_Stammdaten!J$81,Bewertung_Stammdaten!I$81,IF(BG73&lt;Bewertung_Stammdaten!J$82,Bewertung_Stammdaten!I$82,IF(BG73&lt;Bewertung_Stammdaten!J$83,Bewertung_Stammdaten!I$83,IF(BG73&lt;Bewertung_Stammdaten!J$84,Bewertung_Stammdaten!I$84,IF(BG73&lt;Bewertung_Stammdaten!J$85,Bewertung_Stammdaten!I$85,Bewertung_Stammdaten!I$86)))))))))</f>
        <v>#N/A</v>
      </c>
      <c r="BK73" s="43"/>
      <c r="BL73" s="12" t="e">
        <f>VLOOKUP(A73,Ausschüttungsquote!A$3:X$103,23,FALSE)</f>
        <v>#N/A</v>
      </c>
      <c r="BM73" s="12" t="e">
        <f>VLOOKUP(A73,Ausschüttungsquote!A$3:X$103,19,FALSE)</f>
        <v>#N/A</v>
      </c>
      <c r="BN73" s="12" t="e">
        <f>VLOOKUP(A73,Ausschüttungsquote!A$3:X$103,24,FALSE)</f>
        <v>#N/A</v>
      </c>
      <c r="BO73" s="32" t="e">
        <f>IF(BL73&lt;Bewertung_Stammdaten!B$90,Bewertung_Stammdaten!A$90,IF(BL73&lt;Bewertung_Stammdaten!B$91,Bewertung_Stammdaten!A$91,IF(BL73&lt;Bewertung_Stammdaten!B$92,Bewertung_Stammdaten!A$92,IF(BL73&lt;Bewertung_Stammdaten!B$93,Bewertung_Stammdaten!A$93,IF(BL73&lt;Bewertung_Stammdaten!B$94,Bewertung_Stammdaten!A$94,IF(BL73&lt;Bewertung_Stammdaten!B$95,Bewertung_Stammdaten!A$95,IF(BL73&lt;Bewertung_Stammdaten!B$96,Bewertung_Stammdaten!A$96,IF(BL73&lt;Bewertung_Stammdaten!B$97,Bewertung_Stammdaten!A$97,IF(BL73&lt;Bewertung_Stammdaten!B$98,Bewertung_Stammdaten!A$98,Bewertung_Stammdaten!A$99)))))))))</f>
        <v>#N/A</v>
      </c>
      <c r="BP73" s="41" t="e">
        <f>IF(BM73&lt;Bewertung_Stammdaten!F$90,Bewertung_Stammdaten!E$90,IF(BM73&lt;Bewertung_Stammdaten!F$91,Bewertung_Stammdaten!E$91,IF(BM73&lt;Bewertung_Stammdaten!F$92,Bewertung_Stammdaten!E$92,IF(BM73&lt;Bewertung_Stammdaten!F$93,Bewertung_Stammdaten!E$93,IF(BM73&lt;Bewertung_Stammdaten!F$94,Bewertung_Stammdaten!E$94,IF(BM73&lt;Bewertung_Stammdaten!F$95,Bewertung_Stammdaten!E$95,IF(BM73&lt;Bewertung_Stammdaten!F$96,Bewertung_Stammdaten!E$96,IF(BM73&lt;Bewertung_Stammdaten!F$97,Bewertung_Stammdaten!E$97,IF(BM73&lt;Bewertung_Stammdaten!F$98,Bewertung_Stammdaten!E$98,Bewertung_Stammdaten!E$99)))))))))</f>
        <v>#N/A</v>
      </c>
      <c r="BQ73" s="32" t="e">
        <f>IF(BN73&lt;Bewertung_Stammdaten!J$90,Bewertung_Stammdaten!I$90,IF(BN73&lt;Bewertung_Stammdaten!J$91,Bewertung_Stammdaten!I$91,IF(BN73&lt;Bewertung_Stammdaten!J$92,Bewertung_Stammdaten!I$92,IF(BN73&lt;Bewertung_Stammdaten!J$93,Bewertung_Stammdaten!I$93,IF(BN73&lt;Bewertung_Stammdaten!J$94,Bewertung_Stammdaten!I$94,IF(BN73&lt;Bewertung_Stammdaten!J$95,Bewertung_Stammdaten!I$95,IF(BN73&lt;Bewertung_Stammdaten!J$96,Bewertung_Stammdaten!I$96,IF(BN73&lt;Bewertung_Stammdaten!J$97,Bewertung_Stammdaten!I$97,IF(BN73&lt;Bewertung_Stammdaten!J$98,Bewertung_Stammdaten!I$98,Bewertung_Stammdaten!I$99)))))))))</f>
        <v>#N/A</v>
      </c>
    </row>
    <row r="74" spans="3:69" x14ac:dyDescent="0.25">
      <c r="C74" s="55" t="s">
        <v>297</v>
      </c>
      <c r="D74" s="32" t="e">
        <f t="shared" si="11"/>
        <v>#N/A</v>
      </c>
      <c r="E74" s="43"/>
      <c r="F74" s="66">
        <v>1</v>
      </c>
      <c r="G74" s="11" t="e">
        <f>VLOOKUP(A74,KGV!A$3:R$103,17,FALSE)</f>
        <v>#N/A</v>
      </c>
      <c r="H74" s="11" t="e">
        <f>VLOOKUP(A74,KGV!A$3:R$103,16,FALSE)</f>
        <v>#N/A</v>
      </c>
      <c r="I74" s="12" t="e">
        <f>VLOOKUP(A74,KGV!A$3:R$103,18,FALSE)</f>
        <v>#N/A</v>
      </c>
      <c r="J74" s="16" t="e">
        <f t="shared" si="12"/>
        <v>#N/A</v>
      </c>
      <c r="K74" s="12" t="e">
        <f t="shared" si="13"/>
        <v>#N/A</v>
      </c>
      <c r="L74" s="11" t="e">
        <f>VLOOKUP(A74,KBV!A$3:R$103,17,FALSE)</f>
        <v>#N/A</v>
      </c>
      <c r="M74" s="11" t="e">
        <f>VLOOKUP(A74,KBV!A$3:R$103,16,FALSE)</f>
        <v>#N/A</v>
      </c>
      <c r="N74" s="12" t="e">
        <f>VLOOKUP(A74,KBV!A$3:R$103,18,FALSE)</f>
        <v>#N/A</v>
      </c>
      <c r="O74" s="16" t="e">
        <f t="shared" si="20"/>
        <v>#N/A</v>
      </c>
      <c r="P74" s="12" t="e">
        <f t="shared" si="21"/>
        <v>#N/A</v>
      </c>
      <c r="Q74" s="32" t="e">
        <f>IF(F74=1,IF(I74&lt;Bewertung_Stammdaten!B$12,Bewertung_Stammdaten!A$12,IF(I74&lt;Bewertung_Stammdaten!B$13,Bewertung_Stammdaten!A$13,IF(I74&lt;Bewertung_Stammdaten!B$14,Bewertung_Stammdaten!A$14,IF(I74&lt;Bewertung_Stammdaten!B$15,Bewertung_Stammdaten!A$15,IF(I74&lt;Bewertung_Stammdaten!B$16,Bewertung_Stammdaten!A$16,IF(I74&lt;Bewertung_Stammdaten!B$17,Bewertung_Stammdaten!A$17,IF(I74&lt;Bewertung_Stammdaten!B$18,Bewertung_Stammdaten!A$18,IF(I74&lt;Bewertung_Stammdaten!B$19,Bewertung_Stammdaten!A$19,IF(I74&lt;Bewertung_Stammdaten!B$20,Bewertung_Stammdaten!A$20,Bewertung_Stammdaten!A$21))))))))),IF(N74&lt;Bewertung_Stammdaten!C$12,Bewertung_Stammdaten!A$12,IF(N74&lt;Bewertung_Stammdaten!C$13,Bewertung_Stammdaten!A$13,IF(N74&lt;Bewertung_Stammdaten!C$14,Bewertung_Stammdaten!A$14,IF(N74&lt;Bewertung_Stammdaten!C$15,Bewertung_Stammdaten!A$15,IF(N74&lt;Bewertung_Stammdaten!C$16,Bewertung_Stammdaten!A$16,IF(N74&lt;Bewertung_Stammdaten!C$17,Bewertung_Stammdaten!A$17,IF(N74&lt;Bewertung_Stammdaten!C$18,Bewertung_Stammdaten!A$18,IF(N74&lt;Bewertung_Stammdaten!C$19,Bewertung_Stammdaten!A$19,IF(N74&lt;Bewertung_Stammdaten!C$20,Bewertung_Stammdaten!A$20,Bewertung_Stammdaten!A$21))))))))))</f>
        <v>#N/A</v>
      </c>
      <c r="R74" s="32" t="e">
        <f>IF(F74=1,IF(K74&lt;Bewertung_Stammdaten!F$12,Bewertung_Stammdaten!E$12,IF(K74&lt;Bewertung_Stammdaten!F$13,Bewertung_Stammdaten!E$13,IF(K74&lt;Bewertung_Stammdaten!F$14,Bewertung_Stammdaten!E$14,IF(K74&lt;Bewertung_Stammdaten!F$15,Bewertung_Stammdaten!E$15,IF(K74&lt;Bewertung_Stammdaten!F$16,Bewertung_Stammdaten!E$16,IF(K74&lt;Bewertung_Stammdaten!F$17,Bewertung_Stammdaten!E$17,IF(K74&lt;Bewertung_Stammdaten!F$18,Bewertung_Stammdaten!E$18,IF(K74&lt;Bewertung_Stammdaten!F$19,Bewertung_Stammdaten!E$19,IF(K74&lt;Bewertung_Stammdaten!F$20,Bewertung_Stammdaten!E$20,Bewertung_Stammdaten!E$21))))))))),IF(P74&lt;Bewertung_Stammdaten!G$12,Bewertung_Stammdaten!E$12,IF(P74&lt;Bewertung_Stammdaten!G$13,Bewertung_Stammdaten!E$13,IF(P74&lt;Bewertung_Stammdaten!G$14,Bewertung_Stammdaten!E$14,IF(P74&lt;Bewertung_Stammdaten!G$15,Bewertung_Stammdaten!E$15,IF(P74&lt;Bewertung_Stammdaten!G$16,Bewertung_Stammdaten!E$16,IF(P74&lt;Bewertung_Stammdaten!G$17,Bewertung_Stammdaten!E$17,IF(P74&lt;Bewertung_Stammdaten!G$18,Bewertung_Stammdaten!E$18,IF(P74&lt;Bewertung_Stammdaten!G$19,Bewertung_Stammdaten!E$19,IF(P74&lt;Bewertung_Stammdaten!G$20,Bewertung_Stammdaten!E$20,Bewertung_Stammdaten!E$21))))))))))</f>
        <v>#N/A</v>
      </c>
      <c r="S74" s="43"/>
      <c r="T74" s="11" t="e">
        <f>VLOOKUP(A74,Buchwert_je_Aktie!A$3:AK$103,23,FALSE)</f>
        <v>#N/A</v>
      </c>
      <c r="U74" s="11" t="e">
        <f>VLOOKUP(A74,Buchwert_je_Aktie!A$3:AK$103,19,FALSE)</f>
        <v>#N/A</v>
      </c>
      <c r="V74" s="12" t="e">
        <f>VLOOKUP(A74,Buchwert_je_Aktie!A$3:AK$103,24,FALSE)</f>
        <v>#N/A</v>
      </c>
      <c r="W74" s="12" t="e">
        <f>VLOOKUP(A74,Buchwert_je_Aktie!A$3:AK$103,37,FALSE)</f>
        <v>#N/A</v>
      </c>
      <c r="X74" s="16" t="e">
        <f t="shared" si="14"/>
        <v>#N/A</v>
      </c>
      <c r="Y74" s="12" t="e">
        <f t="shared" si="15"/>
        <v>#N/A</v>
      </c>
      <c r="Z74" s="51" t="e">
        <f>IF(V74&lt;Bewertung_Stammdaten!B$25,Bewertung_Stammdaten!A$25,IF(V74&lt;Bewertung_Stammdaten!B$26,Bewertung_Stammdaten!A$26,IF(V74&lt;Bewertung_Stammdaten!B$27,Bewertung_Stammdaten!A$27,IF(V74&lt;Bewertung_Stammdaten!B$28,Bewertung_Stammdaten!A$28,IF(V74&lt;Bewertung_Stammdaten!B$29,Bewertung_Stammdaten!A$29,IF(V74&lt;Bewertung_Stammdaten!B$30,Bewertung_Stammdaten!A$30,IF(V74&lt;Bewertung_Stammdaten!B$31,Bewertung_Stammdaten!A$31,IF(V74&lt;Bewertung_Stammdaten!B$32,Bewertung_Stammdaten!A$32,IF(V74&lt;Bewertung_Stammdaten!B$33,Bewertung_Stammdaten!A$33,Bewertung_Stammdaten!A$34)))))))))</f>
        <v>#N/A</v>
      </c>
      <c r="AA74" s="51" t="e">
        <f>IF(W74&lt;Bewertung_Stammdaten!F$25,Bewertung_Stammdaten!E$25,IF(W74&lt;Bewertung_Stammdaten!F$26,Bewertung_Stammdaten!E$26,IF(W74&lt;Bewertung_Stammdaten!F$27,Bewertung_Stammdaten!E$27,IF(W74&lt;Bewertung_Stammdaten!F$28,Bewertung_Stammdaten!E$28,IF(W74&lt;Bewertung_Stammdaten!F$29,Bewertung_Stammdaten!E$29,IF(W74&lt;Bewertung_Stammdaten!F$30,Bewertung_Stammdaten!E$30,IF(W74&lt;Bewertung_Stammdaten!F$31,Bewertung_Stammdaten!E$31,IF(W74&lt;Bewertung_Stammdaten!F$32,Bewertung_Stammdaten!E$32,IF(W74&lt;Bewertung_Stammdaten!F$33,Bewertung_Stammdaten!E$33,Bewertung_Stammdaten!E$34)))))))))</f>
        <v>#N/A</v>
      </c>
      <c r="AB74" s="51" t="e">
        <f>IF(Y74&lt;Bewertung_Stammdaten!J$25,Bewertung_Stammdaten!I$25,IF(Y74&lt;Bewertung_Stammdaten!J$26,Bewertung_Stammdaten!I$26,IF(Y74&lt;Bewertung_Stammdaten!J$27,Bewertung_Stammdaten!I$27,IF(Y74&lt;Bewertung_Stammdaten!J$28,Bewertung_Stammdaten!I$28,IF(Y74&lt;Bewertung_Stammdaten!J$29,Bewertung_Stammdaten!I$29,IF(Y74&lt;Bewertung_Stammdaten!J$30,Bewertung_Stammdaten!I$30,IF(Y74&lt;Bewertung_Stammdaten!J$31,Bewertung_Stammdaten!I$31,IF(Y74&lt;Bewertung_Stammdaten!J$32,Bewertung_Stammdaten!I$32,IF(Y74&lt;Bewertung_Stammdaten!J$33,Bewertung_Stammdaten!I$33,Bewertung_Stammdaten!I$34)))))))))</f>
        <v>#N/A</v>
      </c>
      <c r="AC74" s="43"/>
      <c r="AD74" s="14" t="e">
        <f>VLOOKUP(A74,Ergebnis_je_Aktie_verwässert!A$3:AK$103,23,FALSE)</f>
        <v>#N/A</v>
      </c>
      <c r="AE74" s="14" t="e">
        <f>VLOOKUP(A74,Ergebnis_je_Aktie_verwässert!A$3:AK$103,19,FALSE)</f>
        <v>#N/A</v>
      </c>
      <c r="AF74" s="12" t="e">
        <f>VLOOKUP(A74,Ergebnis_je_Aktie_verwässert!A$3:AK$103,24,FALSE)</f>
        <v>#N/A</v>
      </c>
      <c r="AG74" s="40" t="e">
        <f>VLOOKUP(A74,Ergebnis_je_Aktie_verwässert!A$3:AK$103,37,FALSE)</f>
        <v>#N/A</v>
      </c>
      <c r="AH74" s="16" t="e">
        <f t="shared" si="16"/>
        <v>#N/A</v>
      </c>
      <c r="AI74" s="12" t="e">
        <f t="shared" si="17"/>
        <v>#N/A</v>
      </c>
      <c r="AJ74" s="32" t="e">
        <f>IF(AF74&lt;Bewertung_Stammdaten!B$38,Bewertung_Stammdaten!A$38,IF(AF74&lt;Bewertung_Stammdaten!B$39,Bewertung_Stammdaten!A$39,IF(AF74&lt;Bewertung_Stammdaten!B$40,Bewertung_Stammdaten!A$40,IF(AF74&lt;Bewertung_Stammdaten!B$41,Bewertung_Stammdaten!A$41,IF(AF74&lt;Bewertung_Stammdaten!B$42,Bewertung_Stammdaten!A$42,IF(AF74&lt;Bewertung_Stammdaten!B$43,Bewertung_Stammdaten!A$43,IF(AF74&lt;Bewertung_Stammdaten!B$44,Bewertung_Stammdaten!A$44,IF(AF74&lt;Bewertung_Stammdaten!B$45,Bewertung_Stammdaten!A$45,IF(AF74&lt;Bewertung_Stammdaten!B$46,Bewertung_Stammdaten!A$46,Bewertung_Stammdaten!A$47)))))))))</f>
        <v>#N/A</v>
      </c>
      <c r="AK74" s="32" t="e">
        <f>IF(AG74&lt;Bewertung_Stammdaten!F$38,Bewertung_Stammdaten!E$38,IF(AG74&lt;Bewertung_Stammdaten!F$39,Bewertung_Stammdaten!E$39,IF(AG74&lt;Bewertung_Stammdaten!F$40,Bewertung_Stammdaten!E$40,IF(AG74&lt;Bewertung_Stammdaten!F$41,Bewertung_Stammdaten!E$41,IF(AG74&lt;Bewertung_Stammdaten!F$42,Bewertung_Stammdaten!E$42,IF(AG74&lt;Bewertung_Stammdaten!F$43,Bewertung_Stammdaten!E$43,IF(AG74&lt;Bewertung_Stammdaten!F$44,Bewertung_Stammdaten!E$44,IF(AG74&lt;Bewertung_Stammdaten!F$45,Bewertung_Stammdaten!E$45,IF(AG74&lt;Bewertung_Stammdaten!F$46,Bewertung_Stammdaten!E$46,Bewertung_Stammdaten!E$47)))))))))</f>
        <v>#N/A</v>
      </c>
      <c r="AL74" s="32" t="e">
        <f>IF(AI74&lt;Bewertung_Stammdaten!J$38,Bewertung_Stammdaten!I$38,IF(AI74&lt;Bewertung_Stammdaten!J$39,Bewertung_Stammdaten!I$39,IF(AI74&lt;Bewertung_Stammdaten!J$40,Bewertung_Stammdaten!I$40,IF(AI74&lt;Bewertung_Stammdaten!J$41,Bewertung_Stammdaten!I$41,IF(AI74&lt;Bewertung_Stammdaten!J$42,Bewertung_Stammdaten!I$42,IF(AI74&lt;Bewertung_Stammdaten!J$43,Bewertung_Stammdaten!I$43,IF(AI74&lt;Bewertung_Stammdaten!J$44,Bewertung_Stammdaten!I$44,IF(AI74&lt;Bewertung_Stammdaten!J$45,Bewertung_Stammdaten!I$45,IF(AI74&lt;Bewertung_Stammdaten!J$46,Bewertung_Stammdaten!I$46,Bewertung_Stammdaten!I$47)))))))))</f>
        <v>#N/A</v>
      </c>
      <c r="AM74" s="43"/>
      <c r="AN74" s="14" t="e">
        <f>VLOOKUP(A74,Dividende_je_Aktie!A$3:AM$103,24,FALSE)</f>
        <v>#N/A</v>
      </c>
      <c r="AO74" s="14" t="e">
        <f>VLOOKUP(A74,Dividende_je_Aktie!A$3:AM$103,20,FALSE)</f>
        <v>#N/A</v>
      </c>
      <c r="AP74" s="12" t="e">
        <f>VLOOKUP(A74,Dividende_je_Aktie!A$3:AM$103,25,FALSE)</f>
        <v>#N/A</v>
      </c>
      <c r="AQ74" s="40" t="e">
        <f>VLOOKUP(A74,Dividende_je_Aktie!A$3:AM$103,39,FALSE)</f>
        <v>#N/A</v>
      </c>
      <c r="AR74" s="16" t="e">
        <f t="shared" si="18"/>
        <v>#N/A</v>
      </c>
      <c r="AS74" s="12" t="e">
        <f t="shared" si="19"/>
        <v>#N/A</v>
      </c>
      <c r="AT74" s="32" t="e">
        <f>IF(AP74&lt;Bewertung_Stammdaten!B$51,Bewertung_Stammdaten!A$51,IF(AP74&lt;Bewertung_Stammdaten!B$52,Bewertung_Stammdaten!A$52,IF(AP74&lt;Bewertung_Stammdaten!B$53,Bewertung_Stammdaten!A$53,IF(AP74&lt;Bewertung_Stammdaten!B$54,Bewertung_Stammdaten!A$54,IF(AP74&lt;Bewertung_Stammdaten!B$55,Bewertung_Stammdaten!A$55,IF(AP74&lt;Bewertung_Stammdaten!B$56,Bewertung_Stammdaten!A$56,IF(AP74&lt;Bewertung_Stammdaten!B$57,Bewertung_Stammdaten!A$57,IF(AP74&lt;Bewertung_Stammdaten!B$58,Bewertung_Stammdaten!A$58,IF(AP74&lt;Bewertung_Stammdaten!B$59,Bewertung_Stammdaten!A$59,Bewertung_Stammdaten!A$60)))))))))</f>
        <v>#N/A</v>
      </c>
      <c r="AU74" s="32" t="e">
        <f>IF(AQ74&lt;Bewertung_Stammdaten!F$51,Bewertung_Stammdaten!E$51,IF(AQ74&lt;Bewertung_Stammdaten!F$52,Bewertung_Stammdaten!E$52,IF(AQ74&lt;Bewertung_Stammdaten!F$53,Bewertung_Stammdaten!E$53,IF(AQ74&lt;Bewertung_Stammdaten!F$54,Bewertung_Stammdaten!E$54,IF(AQ74&lt;Bewertung_Stammdaten!F$55,Bewertung_Stammdaten!E$55,IF(AQ74&lt;Bewertung_Stammdaten!F$56,Bewertung_Stammdaten!E$56,IF(AQ74&lt;Bewertung_Stammdaten!F$57,Bewertung_Stammdaten!E$57,IF(AQ74&lt;Bewertung_Stammdaten!F$58,Bewertung_Stammdaten!E$58,IF(AQ74&lt;Bewertung_Stammdaten!F$59,Bewertung_Stammdaten!E$59,Bewertung_Stammdaten!E$60)))))))))</f>
        <v>#N/A</v>
      </c>
      <c r="AV74" s="32" t="e">
        <f>IF(AS74&lt;Bewertung_Stammdaten!J$51,Bewertung_Stammdaten!I$51,IF(AS74&lt;Bewertung_Stammdaten!J$52,Bewertung_Stammdaten!I$52,IF(AS74&lt;Bewertung_Stammdaten!J$53,Bewertung_Stammdaten!I$53,IF(AS74&lt;Bewertung_Stammdaten!J$54,Bewertung_Stammdaten!I$54,IF(AS74&lt;Bewertung_Stammdaten!J$55,Bewertung_Stammdaten!I$55,IF(AS74&lt;Bewertung_Stammdaten!J$56,Bewertung_Stammdaten!I$56,IF(AS74&lt;Bewertung_Stammdaten!J$57,Bewertung_Stammdaten!I$57,IF(AS74&lt;Bewertung_Stammdaten!J$58,Bewertung_Stammdaten!I$58,IF(AS74&lt;Bewertung_Stammdaten!J$59,Bewertung_Stammdaten!I$59,Bewertung_Stammdaten!I$60)))))))))</f>
        <v>#N/A</v>
      </c>
      <c r="AW74" s="43"/>
      <c r="AX74" s="12" t="e">
        <f>VLOOKUP(A74,Dividendenrendite!A$3:R$103,17,FALSE)</f>
        <v>#N/A</v>
      </c>
      <c r="AY74" s="12" t="e">
        <f>VLOOKUP(A74,Dividendenrendite!A$3:R$103,16,FALSE)</f>
        <v>#N/A</v>
      </c>
      <c r="AZ74" s="12" t="e">
        <f>VLOOKUP(A74,Dividendenrendite!A$3:R$103,18,FALSE)</f>
        <v>#N/A</v>
      </c>
      <c r="BA74" s="32" t="e">
        <f>IF(AX74&lt;Bewertung_Stammdaten!B$64,Bewertung_Stammdaten!A$64,IF(AX74&lt;Bewertung_Stammdaten!B$65,Bewertung_Stammdaten!A$65,IF(AX74&lt;Bewertung_Stammdaten!B$66,Bewertung_Stammdaten!A$66,IF(AX74&lt;Bewertung_Stammdaten!B$67,Bewertung_Stammdaten!A$67,IF(AX74&lt;Bewertung_Stammdaten!B$68,Bewertung_Stammdaten!A$68,IF(AX74&lt;Bewertung_Stammdaten!B$69,Bewertung_Stammdaten!A$69,IF(AX74&lt;Bewertung_Stammdaten!B$70,Bewertung_Stammdaten!A$70,IF(AX74&lt;Bewertung_Stammdaten!B$71,Bewertung_Stammdaten!A$71,IF(AX74&lt;Bewertung_Stammdaten!B$72,Bewertung_Stammdaten!A$72,Bewertung_Stammdaten!A$73)))))))))</f>
        <v>#N/A</v>
      </c>
      <c r="BB74" s="32" t="e">
        <f>IF(AY74&lt;Bewertung_Stammdaten!F$64,Bewertung_Stammdaten!E$64,IF(AY74&lt;Bewertung_Stammdaten!F$65,Bewertung_Stammdaten!E$65,IF(AY74&lt;Bewertung_Stammdaten!F$66,Bewertung_Stammdaten!E$66,IF(AY74&lt;Bewertung_Stammdaten!F$67,Bewertung_Stammdaten!E$67,IF(AY74&lt;Bewertung_Stammdaten!F$68,Bewertung_Stammdaten!E$68,IF(AY74&lt;Bewertung_Stammdaten!F$69,Bewertung_Stammdaten!E$69,IF(AY74&lt;Bewertung_Stammdaten!F$70,Bewertung_Stammdaten!E$70,IF(AY74&lt;Bewertung_Stammdaten!F$71,Bewertung_Stammdaten!E$71,IF(AY74&lt;Bewertung_Stammdaten!F$72,Bewertung_Stammdaten!E$72,Bewertung_Stammdaten!E$73)))))))))</f>
        <v>#N/A</v>
      </c>
      <c r="BC74" s="32" t="e">
        <f>IF(AZ74&lt;Bewertung_Stammdaten!J$64,Bewertung_Stammdaten!I$64,IF(AZ74&lt;Bewertung_Stammdaten!J$65,Bewertung_Stammdaten!I$65,IF(AZ74&lt;Bewertung_Stammdaten!J$66,Bewertung_Stammdaten!I$66,IF(AZ74&lt;Bewertung_Stammdaten!J$67,Bewertung_Stammdaten!I$67,IF(AZ74&lt;Bewertung_Stammdaten!J$68,Bewertung_Stammdaten!I$68,IF(AZ74&lt;Bewertung_Stammdaten!J$69,Bewertung_Stammdaten!I$69,IF(AZ74&lt;Bewertung_Stammdaten!J$70,Bewertung_Stammdaten!I$70,IF(AZ74&lt;Bewertung_Stammdaten!J$71,Bewertung_Stammdaten!I$71,IF(AZ74&lt;Bewertung_Stammdaten!J$72,Bewertung_Stammdaten!I$72,Bewertung_Stammdaten!I$73)))))))))</f>
        <v>#N/A</v>
      </c>
      <c r="BD74" s="43"/>
      <c r="BE74" s="12" t="e">
        <f>VLOOKUP(A74,Aktien_im_Umlauf_splitbereinigt!A$3:Z$103,26,FALSE)</f>
        <v>#N/A</v>
      </c>
      <c r="BF74" s="12" t="e">
        <f>VLOOKUP(A74,Aktien_im_Umlauf_splitbereinigt!A$3:Y$103,24,FALSE)</f>
        <v>#N/A</v>
      </c>
      <c r="BG74" s="12" t="e">
        <f>VLOOKUP(A74,Aktien_im_Umlauf_splitbereinigt!A$3:Y$103,25,FALSE)</f>
        <v>#N/A</v>
      </c>
      <c r="BH74" s="41" t="e">
        <f>IF(BE74&lt;Bewertung_Stammdaten!B$77,Bewertung_Stammdaten!A$77,IF(BE74&lt;Bewertung_Stammdaten!B$78,Bewertung_Stammdaten!A$78,IF(BE74&lt;Bewertung_Stammdaten!B$79,Bewertung_Stammdaten!A$79,IF(BE74&lt;Bewertung_Stammdaten!B$80,Bewertung_Stammdaten!A$80,IF(BE74&lt;Bewertung_Stammdaten!B$81,Bewertung_Stammdaten!A$81,IF(BE74&lt;Bewertung_Stammdaten!B$82,Bewertung_Stammdaten!A$82,IF(BE74&lt;Bewertung_Stammdaten!B$83,Bewertung_Stammdaten!A$83,IF(BE74&lt;Bewertung_Stammdaten!B$84,Bewertung_Stammdaten!A$84,IF(BE74&lt;Bewertung_Stammdaten!B$85,Bewertung_Stammdaten!A$85,Bewertung_Stammdaten!A$86)))))))))</f>
        <v>#N/A</v>
      </c>
      <c r="BI74" s="41" t="e">
        <f>IF(BF74&lt;Bewertung_Stammdaten!F$77,Bewertung_Stammdaten!E$77,IF(BF74&lt;Bewertung_Stammdaten!F$78,Bewertung_Stammdaten!E$78,IF(BF74&lt;Bewertung_Stammdaten!F$79,Bewertung_Stammdaten!E$79,IF(BF74&lt;Bewertung_Stammdaten!F$80,Bewertung_Stammdaten!E$80,IF(BF74&lt;Bewertung_Stammdaten!F$81,Bewertung_Stammdaten!E$81,IF(BF74&lt;Bewertung_Stammdaten!F$82,Bewertung_Stammdaten!E$82,IF(BF74&lt;Bewertung_Stammdaten!F$83,Bewertung_Stammdaten!E$83,IF(BF74&lt;Bewertung_Stammdaten!F$84,Bewertung_Stammdaten!E$84,IF(BF74&lt;Bewertung_Stammdaten!F$85,Bewertung_Stammdaten!E$85,Bewertung_Stammdaten!E$86)))))))))</f>
        <v>#N/A</v>
      </c>
      <c r="BJ74" s="41" t="e">
        <f>IF(BG74&lt;Bewertung_Stammdaten!J$77,Bewertung_Stammdaten!I$77,IF(BG74&lt;Bewertung_Stammdaten!J$78,Bewertung_Stammdaten!I$78,IF(BG74&lt;Bewertung_Stammdaten!J$79,Bewertung_Stammdaten!I$79,IF(BG74&lt;Bewertung_Stammdaten!J$80,Bewertung_Stammdaten!I$80,IF(BG74&lt;Bewertung_Stammdaten!J$81,Bewertung_Stammdaten!I$81,IF(BG74&lt;Bewertung_Stammdaten!J$82,Bewertung_Stammdaten!I$82,IF(BG74&lt;Bewertung_Stammdaten!J$83,Bewertung_Stammdaten!I$83,IF(BG74&lt;Bewertung_Stammdaten!J$84,Bewertung_Stammdaten!I$84,IF(BG74&lt;Bewertung_Stammdaten!J$85,Bewertung_Stammdaten!I$85,Bewertung_Stammdaten!I$86)))))))))</f>
        <v>#N/A</v>
      </c>
      <c r="BK74" s="43"/>
      <c r="BL74" s="12" t="e">
        <f>VLOOKUP(A74,Ausschüttungsquote!A$3:X$103,23,FALSE)</f>
        <v>#N/A</v>
      </c>
      <c r="BM74" s="12" t="e">
        <f>VLOOKUP(A74,Ausschüttungsquote!A$3:X$103,19,FALSE)</f>
        <v>#N/A</v>
      </c>
      <c r="BN74" s="12" t="e">
        <f>VLOOKUP(A74,Ausschüttungsquote!A$3:X$103,24,FALSE)</f>
        <v>#N/A</v>
      </c>
      <c r="BO74" s="32" t="e">
        <f>IF(BL74&lt;Bewertung_Stammdaten!B$90,Bewertung_Stammdaten!A$90,IF(BL74&lt;Bewertung_Stammdaten!B$91,Bewertung_Stammdaten!A$91,IF(BL74&lt;Bewertung_Stammdaten!B$92,Bewertung_Stammdaten!A$92,IF(BL74&lt;Bewertung_Stammdaten!B$93,Bewertung_Stammdaten!A$93,IF(BL74&lt;Bewertung_Stammdaten!B$94,Bewertung_Stammdaten!A$94,IF(BL74&lt;Bewertung_Stammdaten!B$95,Bewertung_Stammdaten!A$95,IF(BL74&lt;Bewertung_Stammdaten!B$96,Bewertung_Stammdaten!A$96,IF(BL74&lt;Bewertung_Stammdaten!B$97,Bewertung_Stammdaten!A$97,IF(BL74&lt;Bewertung_Stammdaten!B$98,Bewertung_Stammdaten!A$98,Bewertung_Stammdaten!A$99)))))))))</f>
        <v>#N/A</v>
      </c>
      <c r="BP74" s="41" t="e">
        <f>IF(BM74&lt;Bewertung_Stammdaten!F$90,Bewertung_Stammdaten!E$90,IF(BM74&lt;Bewertung_Stammdaten!F$91,Bewertung_Stammdaten!E$91,IF(BM74&lt;Bewertung_Stammdaten!F$92,Bewertung_Stammdaten!E$92,IF(BM74&lt;Bewertung_Stammdaten!F$93,Bewertung_Stammdaten!E$93,IF(BM74&lt;Bewertung_Stammdaten!F$94,Bewertung_Stammdaten!E$94,IF(BM74&lt;Bewertung_Stammdaten!F$95,Bewertung_Stammdaten!E$95,IF(BM74&lt;Bewertung_Stammdaten!F$96,Bewertung_Stammdaten!E$96,IF(BM74&lt;Bewertung_Stammdaten!F$97,Bewertung_Stammdaten!E$97,IF(BM74&lt;Bewertung_Stammdaten!F$98,Bewertung_Stammdaten!E$98,Bewertung_Stammdaten!E$99)))))))))</f>
        <v>#N/A</v>
      </c>
      <c r="BQ74" s="32" t="e">
        <f>IF(BN74&lt;Bewertung_Stammdaten!J$90,Bewertung_Stammdaten!I$90,IF(BN74&lt;Bewertung_Stammdaten!J$91,Bewertung_Stammdaten!I$91,IF(BN74&lt;Bewertung_Stammdaten!J$92,Bewertung_Stammdaten!I$92,IF(BN74&lt;Bewertung_Stammdaten!J$93,Bewertung_Stammdaten!I$93,IF(BN74&lt;Bewertung_Stammdaten!J$94,Bewertung_Stammdaten!I$94,IF(BN74&lt;Bewertung_Stammdaten!J$95,Bewertung_Stammdaten!I$95,IF(BN74&lt;Bewertung_Stammdaten!J$96,Bewertung_Stammdaten!I$96,IF(BN74&lt;Bewertung_Stammdaten!J$97,Bewertung_Stammdaten!I$97,IF(BN74&lt;Bewertung_Stammdaten!J$98,Bewertung_Stammdaten!I$98,Bewertung_Stammdaten!I$99)))))))))</f>
        <v>#N/A</v>
      </c>
    </row>
    <row r="75" spans="3:69" x14ac:dyDescent="0.25">
      <c r="C75" s="55" t="s">
        <v>297</v>
      </c>
      <c r="D75" s="32" t="e">
        <f t="shared" si="11"/>
        <v>#N/A</v>
      </c>
      <c r="E75" s="43"/>
      <c r="F75" s="66">
        <v>1</v>
      </c>
      <c r="G75" s="11" t="e">
        <f>VLOOKUP(A75,KGV!A$3:R$103,17,FALSE)</f>
        <v>#N/A</v>
      </c>
      <c r="H75" s="11" t="e">
        <f>VLOOKUP(A75,KGV!A$3:R$103,16,FALSE)</f>
        <v>#N/A</v>
      </c>
      <c r="I75" s="12" t="e">
        <f>VLOOKUP(A75,KGV!A$3:R$103,18,FALSE)</f>
        <v>#N/A</v>
      </c>
      <c r="J75" s="16" t="e">
        <f t="shared" si="12"/>
        <v>#N/A</v>
      </c>
      <c r="K75" s="12" t="e">
        <f t="shared" si="13"/>
        <v>#N/A</v>
      </c>
      <c r="L75" s="11" t="e">
        <f>VLOOKUP(A75,KBV!A$3:R$103,17,FALSE)</f>
        <v>#N/A</v>
      </c>
      <c r="M75" s="11" t="e">
        <f>VLOOKUP(A75,KBV!A$3:R$103,16,FALSE)</f>
        <v>#N/A</v>
      </c>
      <c r="N75" s="12" t="e">
        <f>VLOOKUP(A75,KBV!A$3:R$103,18,FALSE)</f>
        <v>#N/A</v>
      </c>
      <c r="O75" s="16" t="e">
        <f t="shared" si="20"/>
        <v>#N/A</v>
      </c>
      <c r="P75" s="12" t="e">
        <f t="shared" si="21"/>
        <v>#N/A</v>
      </c>
      <c r="Q75" s="32" t="e">
        <f>IF(F75=1,IF(I75&lt;Bewertung_Stammdaten!B$12,Bewertung_Stammdaten!A$12,IF(I75&lt;Bewertung_Stammdaten!B$13,Bewertung_Stammdaten!A$13,IF(I75&lt;Bewertung_Stammdaten!B$14,Bewertung_Stammdaten!A$14,IF(I75&lt;Bewertung_Stammdaten!B$15,Bewertung_Stammdaten!A$15,IF(I75&lt;Bewertung_Stammdaten!B$16,Bewertung_Stammdaten!A$16,IF(I75&lt;Bewertung_Stammdaten!B$17,Bewertung_Stammdaten!A$17,IF(I75&lt;Bewertung_Stammdaten!B$18,Bewertung_Stammdaten!A$18,IF(I75&lt;Bewertung_Stammdaten!B$19,Bewertung_Stammdaten!A$19,IF(I75&lt;Bewertung_Stammdaten!B$20,Bewertung_Stammdaten!A$20,Bewertung_Stammdaten!A$21))))))))),IF(N75&lt;Bewertung_Stammdaten!C$12,Bewertung_Stammdaten!A$12,IF(N75&lt;Bewertung_Stammdaten!C$13,Bewertung_Stammdaten!A$13,IF(N75&lt;Bewertung_Stammdaten!C$14,Bewertung_Stammdaten!A$14,IF(N75&lt;Bewertung_Stammdaten!C$15,Bewertung_Stammdaten!A$15,IF(N75&lt;Bewertung_Stammdaten!C$16,Bewertung_Stammdaten!A$16,IF(N75&lt;Bewertung_Stammdaten!C$17,Bewertung_Stammdaten!A$17,IF(N75&lt;Bewertung_Stammdaten!C$18,Bewertung_Stammdaten!A$18,IF(N75&lt;Bewertung_Stammdaten!C$19,Bewertung_Stammdaten!A$19,IF(N75&lt;Bewertung_Stammdaten!C$20,Bewertung_Stammdaten!A$20,Bewertung_Stammdaten!A$21))))))))))</f>
        <v>#N/A</v>
      </c>
      <c r="R75" s="32" t="e">
        <f>IF(F75=1,IF(K75&lt;Bewertung_Stammdaten!F$12,Bewertung_Stammdaten!E$12,IF(K75&lt;Bewertung_Stammdaten!F$13,Bewertung_Stammdaten!E$13,IF(K75&lt;Bewertung_Stammdaten!F$14,Bewertung_Stammdaten!E$14,IF(K75&lt;Bewertung_Stammdaten!F$15,Bewertung_Stammdaten!E$15,IF(K75&lt;Bewertung_Stammdaten!F$16,Bewertung_Stammdaten!E$16,IF(K75&lt;Bewertung_Stammdaten!F$17,Bewertung_Stammdaten!E$17,IF(K75&lt;Bewertung_Stammdaten!F$18,Bewertung_Stammdaten!E$18,IF(K75&lt;Bewertung_Stammdaten!F$19,Bewertung_Stammdaten!E$19,IF(K75&lt;Bewertung_Stammdaten!F$20,Bewertung_Stammdaten!E$20,Bewertung_Stammdaten!E$21))))))))),IF(P75&lt;Bewertung_Stammdaten!G$12,Bewertung_Stammdaten!E$12,IF(P75&lt;Bewertung_Stammdaten!G$13,Bewertung_Stammdaten!E$13,IF(P75&lt;Bewertung_Stammdaten!G$14,Bewertung_Stammdaten!E$14,IF(P75&lt;Bewertung_Stammdaten!G$15,Bewertung_Stammdaten!E$15,IF(P75&lt;Bewertung_Stammdaten!G$16,Bewertung_Stammdaten!E$16,IF(P75&lt;Bewertung_Stammdaten!G$17,Bewertung_Stammdaten!E$17,IF(P75&lt;Bewertung_Stammdaten!G$18,Bewertung_Stammdaten!E$18,IF(P75&lt;Bewertung_Stammdaten!G$19,Bewertung_Stammdaten!E$19,IF(P75&lt;Bewertung_Stammdaten!G$20,Bewertung_Stammdaten!E$20,Bewertung_Stammdaten!E$21))))))))))</f>
        <v>#N/A</v>
      </c>
      <c r="S75" s="43"/>
      <c r="T75" s="11" t="e">
        <f>VLOOKUP(A75,Buchwert_je_Aktie!A$3:AK$103,23,FALSE)</f>
        <v>#N/A</v>
      </c>
      <c r="U75" s="11" t="e">
        <f>VLOOKUP(A75,Buchwert_je_Aktie!A$3:AK$103,19,FALSE)</f>
        <v>#N/A</v>
      </c>
      <c r="V75" s="12" t="e">
        <f>VLOOKUP(A75,Buchwert_je_Aktie!A$3:AK$103,24,FALSE)</f>
        <v>#N/A</v>
      </c>
      <c r="W75" s="12" t="e">
        <f>VLOOKUP(A75,Buchwert_je_Aktie!A$3:AK$103,37,FALSE)</f>
        <v>#N/A</v>
      </c>
      <c r="X75" s="16" t="e">
        <f t="shared" si="14"/>
        <v>#N/A</v>
      </c>
      <c r="Y75" s="12" t="e">
        <f t="shared" si="15"/>
        <v>#N/A</v>
      </c>
      <c r="Z75" s="51" t="e">
        <f>IF(V75&lt;Bewertung_Stammdaten!B$25,Bewertung_Stammdaten!A$25,IF(V75&lt;Bewertung_Stammdaten!B$26,Bewertung_Stammdaten!A$26,IF(V75&lt;Bewertung_Stammdaten!B$27,Bewertung_Stammdaten!A$27,IF(V75&lt;Bewertung_Stammdaten!B$28,Bewertung_Stammdaten!A$28,IF(V75&lt;Bewertung_Stammdaten!B$29,Bewertung_Stammdaten!A$29,IF(V75&lt;Bewertung_Stammdaten!B$30,Bewertung_Stammdaten!A$30,IF(V75&lt;Bewertung_Stammdaten!B$31,Bewertung_Stammdaten!A$31,IF(V75&lt;Bewertung_Stammdaten!B$32,Bewertung_Stammdaten!A$32,IF(V75&lt;Bewertung_Stammdaten!B$33,Bewertung_Stammdaten!A$33,Bewertung_Stammdaten!A$34)))))))))</f>
        <v>#N/A</v>
      </c>
      <c r="AA75" s="51" t="e">
        <f>IF(W75&lt;Bewertung_Stammdaten!F$25,Bewertung_Stammdaten!E$25,IF(W75&lt;Bewertung_Stammdaten!F$26,Bewertung_Stammdaten!E$26,IF(W75&lt;Bewertung_Stammdaten!F$27,Bewertung_Stammdaten!E$27,IF(W75&lt;Bewertung_Stammdaten!F$28,Bewertung_Stammdaten!E$28,IF(W75&lt;Bewertung_Stammdaten!F$29,Bewertung_Stammdaten!E$29,IF(W75&lt;Bewertung_Stammdaten!F$30,Bewertung_Stammdaten!E$30,IF(W75&lt;Bewertung_Stammdaten!F$31,Bewertung_Stammdaten!E$31,IF(W75&lt;Bewertung_Stammdaten!F$32,Bewertung_Stammdaten!E$32,IF(W75&lt;Bewertung_Stammdaten!F$33,Bewertung_Stammdaten!E$33,Bewertung_Stammdaten!E$34)))))))))</f>
        <v>#N/A</v>
      </c>
      <c r="AB75" s="51" t="e">
        <f>IF(Y75&lt;Bewertung_Stammdaten!J$25,Bewertung_Stammdaten!I$25,IF(Y75&lt;Bewertung_Stammdaten!J$26,Bewertung_Stammdaten!I$26,IF(Y75&lt;Bewertung_Stammdaten!J$27,Bewertung_Stammdaten!I$27,IF(Y75&lt;Bewertung_Stammdaten!J$28,Bewertung_Stammdaten!I$28,IF(Y75&lt;Bewertung_Stammdaten!J$29,Bewertung_Stammdaten!I$29,IF(Y75&lt;Bewertung_Stammdaten!J$30,Bewertung_Stammdaten!I$30,IF(Y75&lt;Bewertung_Stammdaten!J$31,Bewertung_Stammdaten!I$31,IF(Y75&lt;Bewertung_Stammdaten!J$32,Bewertung_Stammdaten!I$32,IF(Y75&lt;Bewertung_Stammdaten!J$33,Bewertung_Stammdaten!I$33,Bewertung_Stammdaten!I$34)))))))))</f>
        <v>#N/A</v>
      </c>
      <c r="AC75" s="43"/>
      <c r="AD75" s="14" t="e">
        <f>VLOOKUP(A75,Ergebnis_je_Aktie_verwässert!A$3:AK$103,23,FALSE)</f>
        <v>#N/A</v>
      </c>
      <c r="AE75" s="14" t="e">
        <f>VLOOKUP(A75,Ergebnis_je_Aktie_verwässert!A$3:AK$103,19,FALSE)</f>
        <v>#N/A</v>
      </c>
      <c r="AF75" s="12" t="e">
        <f>VLOOKUP(A75,Ergebnis_je_Aktie_verwässert!A$3:AK$103,24,FALSE)</f>
        <v>#N/A</v>
      </c>
      <c r="AG75" s="40" t="e">
        <f>VLOOKUP(A75,Ergebnis_je_Aktie_verwässert!A$3:AK$103,37,FALSE)</f>
        <v>#N/A</v>
      </c>
      <c r="AH75" s="16" t="e">
        <f t="shared" si="16"/>
        <v>#N/A</v>
      </c>
      <c r="AI75" s="12" t="e">
        <f t="shared" si="17"/>
        <v>#N/A</v>
      </c>
      <c r="AJ75" s="32" t="e">
        <f>IF(AF75&lt;Bewertung_Stammdaten!B$38,Bewertung_Stammdaten!A$38,IF(AF75&lt;Bewertung_Stammdaten!B$39,Bewertung_Stammdaten!A$39,IF(AF75&lt;Bewertung_Stammdaten!B$40,Bewertung_Stammdaten!A$40,IF(AF75&lt;Bewertung_Stammdaten!B$41,Bewertung_Stammdaten!A$41,IF(AF75&lt;Bewertung_Stammdaten!B$42,Bewertung_Stammdaten!A$42,IF(AF75&lt;Bewertung_Stammdaten!B$43,Bewertung_Stammdaten!A$43,IF(AF75&lt;Bewertung_Stammdaten!B$44,Bewertung_Stammdaten!A$44,IF(AF75&lt;Bewertung_Stammdaten!B$45,Bewertung_Stammdaten!A$45,IF(AF75&lt;Bewertung_Stammdaten!B$46,Bewertung_Stammdaten!A$46,Bewertung_Stammdaten!A$47)))))))))</f>
        <v>#N/A</v>
      </c>
      <c r="AK75" s="32" t="e">
        <f>IF(AG75&lt;Bewertung_Stammdaten!F$38,Bewertung_Stammdaten!E$38,IF(AG75&lt;Bewertung_Stammdaten!F$39,Bewertung_Stammdaten!E$39,IF(AG75&lt;Bewertung_Stammdaten!F$40,Bewertung_Stammdaten!E$40,IF(AG75&lt;Bewertung_Stammdaten!F$41,Bewertung_Stammdaten!E$41,IF(AG75&lt;Bewertung_Stammdaten!F$42,Bewertung_Stammdaten!E$42,IF(AG75&lt;Bewertung_Stammdaten!F$43,Bewertung_Stammdaten!E$43,IF(AG75&lt;Bewertung_Stammdaten!F$44,Bewertung_Stammdaten!E$44,IF(AG75&lt;Bewertung_Stammdaten!F$45,Bewertung_Stammdaten!E$45,IF(AG75&lt;Bewertung_Stammdaten!F$46,Bewertung_Stammdaten!E$46,Bewertung_Stammdaten!E$47)))))))))</f>
        <v>#N/A</v>
      </c>
      <c r="AL75" s="32" t="e">
        <f>IF(AI75&lt;Bewertung_Stammdaten!J$38,Bewertung_Stammdaten!I$38,IF(AI75&lt;Bewertung_Stammdaten!J$39,Bewertung_Stammdaten!I$39,IF(AI75&lt;Bewertung_Stammdaten!J$40,Bewertung_Stammdaten!I$40,IF(AI75&lt;Bewertung_Stammdaten!J$41,Bewertung_Stammdaten!I$41,IF(AI75&lt;Bewertung_Stammdaten!J$42,Bewertung_Stammdaten!I$42,IF(AI75&lt;Bewertung_Stammdaten!J$43,Bewertung_Stammdaten!I$43,IF(AI75&lt;Bewertung_Stammdaten!J$44,Bewertung_Stammdaten!I$44,IF(AI75&lt;Bewertung_Stammdaten!J$45,Bewertung_Stammdaten!I$45,IF(AI75&lt;Bewertung_Stammdaten!J$46,Bewertung_Stammdaten!I$46,Bewertung_Stammdaten!I$47)))))))))</f>
        <v>#N/A</v>
      </c>
      <c r="AM75" s="43"/>
      <c r="AN75" s="14" t="e">
        <f>VLOOKUP(A75,Dividende_je_Aktie!A$3:AM$103,24,FALSE)</f>
        <v>#N/A</v>
      </c>
      <c r="AO75" s="14" t="e">
        <f>VLOOKUP(A75,Dividende_je_Aktie!A$3:AM$103,20,FALSE)</f>
        <v>#N/A</v>
      </c>
      <c r="AP75" s="12" t="e">
        <f>VLOOKUP(A75,Dividende_je_Aktie!A$3:AM$103,25,FALSE)</f>
        <v>#N/A</v>
      </c>
      <c r="AQ75" s="40" t="e">
        <f>VLOOKUP(A75,Dividende_je_Aktie!A$3:AM$103,39,FALSE)</f>
        <v>#N/A</v>
      </c>
      <c r="AR75" s="16" t="e">
        <f t="shared" si="18"/>
        <v>#N/A</v>
      </c>
      <c r="AS75" s="12" t="e">
        <f t="shared" si="19"/>
        <v>#N/A</v>
      </c>
      <c r="AT75" s="32" t="e">
        <f>IF(AP75&lt;Bewertung_Stammdaten!B$51,Bewertung_Stammdaten!A$51,IF(AP75&lt;Bewertung_Stammdaten!B$52,Bewertung_Stammdaten!A$52,IF(AP75&lt;Bewertung_Stammdaten!B$53,Bewertung_Stammdaten!A$53,IF(AP75&lt;Bewertung_Stammdaten!B$54,Bewertung_Stammdaten!A$54,IF(AP75&lt;Bewertung_Stammdaten!B$55,Bewertung_Stammdaten!A$55,IF(AP75&lt;Bewertung_Stammdaten!B$56,Bewertung_Stammdaten!A$56,IF(AP75&lt;Bewertung_Stammdaten!B$57,Bewertung_Stammdaten!A$57,IF(AP75&lt;Bewertung_Stammdaten!B$58,Bewertung_Stammdaten!A$58,IF(AP75&lt;Bewertung_Stammdaten!B$59,Bewertung_Stammdaten!A$59,Bewertung_Stammdaten!A$60)))))))))</f>
        <v>#N/A</v>
      </c>
      <c r="AU75" s="32" t="e">
        <f>IF(AQ75&lt;Bewertung_Stammdaten!F$51,Bewertung_Stammdaten!E$51,IF(AQ75&lt;Bewertung_Stammdaten!F$52,Bewertung_Stammdaten!E$52,IF(AQ75&lt;Bewertung_Stammdaten!F$53,Bewertung_Stammdaten!E$53,IF(AQ75&lt;Bewertung_Stammdaten!F$54,Bewertung_Stammdaten!E$54,IF(AQ75&lt;Bewertung_Stammdaten!F$55,Bewertung_Stammdaten!E$55,IF(AQ75&lt;Bewertung_Stammdaten!F$56,Bewertung_Stammdaten!E$56,IF(AQ75&lt;Bewertung_Stammdaten!F$57,Bewertung_Stammdaten!E$57,IF(AQ75&lt;Bewertung_Stammdaten!F$58,Bewertung_Stammdaten!E$58,IF(AQ75&lt;Bewertung_Stammdaten!F$59,Bewertung_Stammdaten!E$59,Bewertung_Stammdaten!E$60)))))))))</f>
        <v>#N/A</v>
      </c>
      <c r="AV75" s="32" t="e">
        <f>IF(AS75&lt;Bewertung_Stammdaten!J$51,Bewertung_Stammdaten!I$51,IF(AS75&lt;Bewertung_Stammdaten!J$52,Bewertung_Stammdaten!I$52,IF(AS75&lt;Bewertung_Stammdaten!J$53,Bewertung_Stammdaten!I$53,IF(AS75&lt;Bewertung_Stammdaten!J$54,Bewertung_Stammdaten!I$54,IF(AS75&lt;Bewertung_Stammdaten!J$55,Bewertung_Stammdaten!I$55,IF(AS75&lt;Bewertung_Stammdaten!J$56,Bewertung_Stammdaten!I$56,IF(AS75&lt;Bewertung_Stammdaten!J$57,Bewertung_Stammdaten!I$57,IF(AS75&lt;Bewertung_Stammdaten!J$58,Bewertung_Stammdaten!I$58,IF(AS75&lt;Bewertung_Stammdaten!J$59,Bewertung_Stammdaten!I$59,Bewertung_Stammdaten!I$60)))))))))</f>
        <v>#N/A</v>
      </c>
      <c r="AW75" s="43"/>
      <c r="AX75" s="12" t="e">
        <f>VLOOKUP(A75,Dividendenrendite!A$3:R$103,17,FALSE)</f>
        <v>#N/A</v>
      </c>
      <c r="AY75" s="12" t="e">
        <f>VLOOKUP(A75,Dividendenrendite!A$3:R$103,16,FALSE)</f>
        <v>#N/A</v>
      </c>
      <c r="AZ75" s="12" t="e">
        <f>VLOOKUP(A75,Dividendenrendite!A$3:R$103,18,FALSE)</f>
        <v>#N/A</v>
      </c>
      <c r="BA75" s="32" t="e">
        <f>IF(AX75&lt;Bewertung_Stammdaten!B$64,Bewertung_Stammdaten!A$64,IF(AX75&lt;Bewertung_Stammdaten!B$65,Bewertung_Stammdaten!A$65,IF(AX75&lt;Bewertung_Stammdaten!B$66,Bewertung_Stammdaten!A$66,IF(AX75&lt;Bewertung_Stammdaten!B$67,Bewertung_Stammdaten!A$67,IF(AX75&lt;Bewertung_Stammdaten!B$68,Bewertung_Stammdaten!A$68,IF(AX75&lt;Bewertung_Stammdaten!B$69,Bewertung_Stammdaten!A$69,IF(AX75&lt;Bewertung_Stammdaten!B$70,Bewertung_Stammdaten!A$70,IF(AX75&lt;Bewertung_Stammdaten!B$71,Bewertung_Stammdaten!A$71,IF(AX75&lt;Bewertung_Stammdaten!B$72,Bewertung_Stammdaten!A$72,Bewertung_Stammdaten!A$73)))))))))</f>
        <v>#N/A</v>
      </c>
      <c r="BB75" s="32" t="e">
        <f>IF(AY75&lt;Bewertung_Stammdaten!F$64,Bewertung_Stammdaten!E$64,IF(AY75&lt;Bewertung_Stammdaten!F$65,Bewertung_Stammdaten!E$65,IF(AY75&lt;Bewertung_Stammdaten!F$66,Bewertung_Stammdaten!E$66,IF(AY75&lt;Bewertung_Stammdaten!F$67,Bewertung_Stammdaten!E$67,IF(AY75&lt;Bewertung_Stammdaten!F$68,Bewertung_Stammdaten!E$68,IF(AY75&lt;Bewertung_Stammdaten!F$69,Bewertung_Stammdaten!E$69,IF(AY75&lt;Bewertung_Stammdaten!F$70,Bewertung_Stammdaten!E$70,IF(AY75&lt;Bewertung_Stammdaten!F$71,Bewertung_Stammdaten!E$71,IF(AY75&lt;Bewertung_Stammdaten!F$72,Bewertung_Stammdaten!E$72,Bewertung_Stammdaten!E$73)))))))))</f>
        <v>#N/A</v>
      </c>
      <c r="BC75" s="32" t="e">
        <f>IF(AZ75&lt;Bewertung_Stammdaten!J$64,Bewertung_Stammdaten!I$64,IF(AZ75&lt;Bewertung_Stammdaten!J$65,Bewertung_Stammdaten!I$65,IF(AZ75&lt;Bewertung_Stammdaten!J$66,Bewertung_Stammdaten!I$66,IF(AZ75&lt;Bewertung_Stammdaten!J$67,Bewertung_Stammdaten!I$67,IF(AZ75&lt;Bewertung_Stammdaten!J$68,Bewertung_Stammdaten!I$68,IF(AZ75&lt;Bewertung_Stammdaten!J$69,Bewertung_Stammdaten!I$69,IF(AZ75&lt;Bewertung_Stammdaten!J$70,Bewertung_Stammdaten!I$70,IF(AZ75&lt;Bewertung_Stammdaten!J$71,Bewertung_Stammdaten!I$71,IF(AZ75&lt;Bewertung_Stammdaten!J$72,Bewertung_Stammdaten!I$72,Bewertung_Stammdaten!I$73)))))))))</f>
        <v>#N/A</v>
      </c>
      <c r="BD75" s="43"/>
      <c r="BE75" s="12" t="e">
        <f>VLOOKUP(A75,Aktien_im_Umlauf_splitbereinigt!A$3:Z$103,26,FALSE)</f>
        <v>#N/A</v>
      </c>
      <c r="BF75" s="12" t="e">
        <f>VLOOKUP(A75,Aktien_im_Umlauf_splitbereinigt!A$3:Y$103,24,FALSE)</f>
        <v>#N/A</v>
      </c>
      <c r="BG75" s="12" t="e">
        <f>VLOOKUP(A75,Aktien_im_Umlauf_splitbereinigt!A$3:Y$103,25,FALSE)</f>
        <v>#N/A</v>
      </c>
      <c r="BH75" s="41" t="e">
        <f>IF(BE75&lt;Bewertung_Stammdaten!B$77,Bewertung_Stammdaten!A$77,IF(BE75&lt;Bewertung_Stammdaten!B$78,Bewertung_Stammdaten!A$78,IF(BE75&lt;Bewertung_Stammdaten!B$79,Bewertung_Stammdaten!A$79,IF(BE75&lt;Bewertung_Stammdaten!B$80,Bewertung_Stammdaten!A$80,IF(BE75&lt;Bewertung_Stammdaten!B$81,Bewertung_Stammdaten!A$81,IF(BE75&lt;Bewertung_Stammdaten!B$82,Bewertung_Stammdaten!A$82,IF(BE75&lt;Bewertung_Stammdaten!B$83,Bewertung_Stammdaten!A$83,IF(BE75&lt;Bewertung_Stammdaten!B$84,Bewertung_Stammdaten!A$84,IF(BE75&lt;Bewertung_Stammdaten!B$85,Bewertung_Stammdaten!A$85,Bewertung_Stammdaten!A$86)))))))))</f>
        <v>#N/A</v>
      </c>
      <c r="BI75" s="41" t="e">
        <f>IF(BF75&lt;Bewertung_Stammdaten!F$77,Bewertung_Stammdaten!E$77,IF(BF75&lt;Bewertung_Stammdaten!F$78,Bewertung_Stammdaten!E$78,IF(BF75&lt;Bewertung_Stammdaten!F$79,Bewertung_Stammdaten!E$79,IF(BF75&lt;Bewertung_Stammdaten!F$80,Bewertung_Stammdaten!E$80,IF(BF75&lt;Bewertung_Stammdaten!F$81,Bewertung_Stammdaten!E$81,IF(BF75&lt;Bewertung_Stammdaten!F$82,Bewertung_Stammdaten!E$82,IF(BF75&lt;Bewertung_Stammdaten!F$83,Bewertung_Stammdaten!E$83,IF(BF75&lt;Bewertung_Stammdaten!F$84,Bewertung_Stammdaten!E$84,IF(BF75&lt;Bewertung_Stammdaten!F$85,Bewertung_Stammdaten!E$85,Bewertung_Stammdaten!E$86)))))))))</f>
        <v>#N/A</v>
      </c>
      <c r="BJ75" s="41" t="e">
        <f>IF(BG75&lt;Bewertung_Stammdaten!J$77,Bewertung_Stammdaten!I$77,IF(BG75&lt;Bewertung_Stammdaten!J$78,Bewertung_Stammdaten!I$78,IF(BG75&lt;Bewertung_Stammdaten!J$79,Bewertung_Stammdaten!I$79,IF(BG75&lt;Bewertung_Stammdaten!J$80,Bewertung_Stammdaten!I$80,IF(BG75&lt;Bewertung_Stammdaten!J$81,Bewertung_Stammdaten!I$81,IF(BG75&lt;Bewertung_Stammdaten!J$82,Bewertung_Stammdaten!I$82,IF(BG75&lt;Bewertung_Stammdaten!J$83,Bewertung_Stammdaten!I$83,IF(BG75&lt;Bewertung_Stammdaten!J$84,Bewertung_Stammdaten!I$84,IF(BG75&lt;Bewertung_Stammdaten!J$85,Bewertung_Stammdaten!I$85,Bewertung_Stammdaten!I$86)))))))))</f>
        <v>#N/A</v>
      </c>
      <c r="BK75" s="43"/>
      <c r="BL75" s="12" t="e">
        <f>VLOOKUP(A75,Ausschüttungsquote!A$3:X$103,23,FALSE)</f>
        <v>#N/A</v>
      </c>
      <c r="BM75" s="12" t="e">
        <f>VLOOKUP(A75,Ausschüttungsquote!A$3:X$103,19,FALSE)</f>
        <v>#N/A</v>
      </c>
      <c r="BN75" s="12" t="e">
        <f>VLOOKUP(A75,Ausschüttungsquote!A$3:X$103,24,FALSE)</f>
        <v>#N/A</v>
      </c>
      <c r="BO75" s="32" t="e">
        <f>IF(BL75&lt;Bewertung_Stammdaten!B$90,Bewertung_Stammdaten!A$90,IF(BL75&lt;Bewertung_Stammdaten!B$91,Bewertung_Stammdaten!A$91,IF(BL75&lt;Bewertung_Stammdaten!B$92,Bewertung_Stammdaten!A$92,IF(BL75&lt;Bewertung_Stammdaten!B$93,Bewertung_Stammdaten!A$93,IF(BL75&lt;Bewertung_Stammdaten!B$94,Bewertung_Stammdaten!A$94,IF(BL75&lt;Bewertung_Stammdaten!B$95,Bewertung_Stammdaten!A$95,IF(BL75&lt;Bewertung_Stammdaten!B$96,Bewertung_Stammdaten!A$96,IF(BL75&lt;Bewertung_Stammdaten!B$97,Bewertung_Stammdaten!A$97,IF(BL75&lt;Bewertung_Stammdaten!B$98,Bewertung_Stammdaten!A$98,Bewertung_Stammdaten!A$99)))))))))</f>
        <v>#N/A</v>
      </c>
      <c r="BP75" s="41" t="e">
        <f>IF(BM75&lt;Bewertung_Stammdaten!F$90,Bewertung_Stammdaten!E$90,IF(BM75&lt;Bewertung_Stammdaten!F$91,Bewertung_Stammdaten!E$91,IF(BM75&lt;Bewertung_Stammdaten!F$92,Bewertung_Stammdaten!E$92,IF(BM75&lt;Bewertung_Stammdaten!F$93,Bewertung_Stammdaten!E$93,IF(BM75&lt;Bewertung_Stammdaten!F$94,Bewertung_Stammdaten!E$94,IF(BM75&lt;Bewertung_Stammdaten!F$95,Bewertung_Stammdaten!E$95,IF(BM75&lt;Bewertung_Stammdaten!F$96,Bewertung_Stammdaten!E$96,IF(BM75&lt;Bewertung_Stammdaten!F$97,Bewertung_Stammdaten!E$97,IF(BM75&lt;Bewertung_Stammdaten!F$98,Bewertung_Stammdaten!E$98,Bewertung_Stammdaten!E$99)))))))))</f>
        <v>#N/A</v>
      </c>
      <c r="BQ75" s="32" t="e">
        <f>IF(BN75&lt;Bewertung_Stammdaten!J$90,Bewertung_Stammdaten!I$90,IF(BN75&lt;Bewertung_Stammdaten!J$91,Bewertung_Stammdaten!I$91,IF(BN75&lt;Bewertung_Stammdaten!J$92,Bewertung_Stammdaten!I$92,IF(BN75&lt;Bewertung_Stammdaten!J$93,Bewertung_Stammdaten!I$93,IF(BN75&lt;Bewertung_Stammdaten!J$94,Bewertung_Stammdaten!I$94,IF(BN75&lt;Bewertung_Stammdaten!J$95,Bewertung_Stammdaten!I$95,IF(BN75&lt;Bewertung_Stammdaten!J$96,Bewertung_Stammdaten!I$96,IF(BN75&lt;Bewertung_Stammdaten!J$97,Bewertung_Stammdaten!I$97,IF(BN75&lt;Bewertung_Stammdaten!J$98,Bewertung_Stammdaten!I$98,Bewertung_Stammdaten!I$99)))))))))</f>
        <v>#N/A</v>
      </c>
    </row>
    <row r="76" spans="3:69" x14ac:dyDescent="0.25">
      <c r="C76" s="55" t="s">
        <v>297</v>
      </c>
      <c r="D76" s="32" t="e">
        <f t="shared" si="11"/>
        <v>#N/A</v>
      </c>
      <c r="E76" s="43"/>
      <c r="F76" s="66">
        <v>1</v>
      </c>
      <c r="G76" s="11" t="e">
        <f>VLOOKUP(A76,KGV!A$3:R$103,17,FALSE)</f>
        <v>#N/A</v>
      </c>
      <c r="H76" s="11" t="e">
        <f>VLOOKUP(A76,KGV!A$3:R$103,16,FALSE)</f>
        <v>#N/A</v>
      </c>
      <c r="I76" s="12" t="e">
        <f>VLOOKUP(A76,KGV!A$3:R$103,18,FALSE)</f>
        <v>#N/A</v>
      </c>
      <c r="J76" s="16" t="e">
        <f t="shared" si="12"/>
        <v>#N/A</v>
      </c>
      <c r="K76" s="12" t="e">
        <f t="shared" si="13"/>
        <v>#N/A</v>
      </c>
      <c r="L76" s="11" t="e">
        <f>VLOOKUP(A76,KBV!A$3:R$103,17,FALSE)</f>
        <v>#N/A</v>
      </c>
      <c r="M76" s="11" t="e">
        <f>VLOOKUP(A76,KBV!A$3:R$103,16,FALSE)</f>
        <v>#N/A</v>
      </c>
      <c r="N76" s="12" t="e">
        <f>VLOOKUP(A76,KBV!A$3:R$103,18,FALSE)</f>
        <v>#N/A</v>
      </c>
      <c r="O76" s="16" t="e">
        <f t="shared" si="20"/>
        <v>#N/A</v>
      </c>
      <c r="P76" s="12" t="e">
        <f t="shared" si="21"/>
        <v>#N/A</v>
      </c>
      <c r="Q76" s="32" t="e">
        <f>IF(F76=1,IF(I76&lt;Bewertung_Stammdaten!B$12,Bewertung_Stammdaten!A$12,IF(I76&lt;Bewertung_Stammdaten!B$13,Bewertung_Stammdaten!A$13,IF(I76&lt;Bewertung_Stammdaten!B$14,Bewertung_Stammdaten!A$14,IF(I76&lt;Bewertung_Stammdaten!B$15,Bewertung_Stammdaten!A$15,IF(I76&lt;Bewertung_Stammdaten!B$16,Bewertung_Stammdaten!A$16,IF(I76&lt;Bewertung_Stammdaten!B$17,Bewertung_Stammdaten!A$17,IF(I76&lt;Bewertung_Stammdaten!B$18,Bewertung_Stammdaten!A$18,IF(I76&lt;Bewertung_Stammdaten!B$19,Bewertung_Stammdaten!A$19,IF(I76&lt;Bewertung_Stammdaten!B$20,Bewertung_Stammdaten!A$20,Bewertung_Stammdaten!A$21))))))))),IF(N76&lt;Bewertung_Stammdaten!C$12,Bewertung_Stammdaten!A$12,IF(N76&lt;Bewertung_Stammdaten!C$13,Bewertung_Stammdaten!A$13,IF(N76&lt;Bewertung_Stammdaten!C$14,Bewertung_Stammdaten!A$14,IF(N76&lt;Bewertung_Stammdaten!C$15,Bewertung_Stammdaten!A$15,IF(N76&lt;Bewertung_Stammdaten!C$16,Bewertung_Stammdaten!A$16,IF(N76&lt;Bewertung_Stammdaten!C$17,Bewertung_Stammdaten!A$17,IF(N76&lt;Bewertung_Stammdaten!C$18,Bewertung_Stammdaten!A$18,IF(N76&lt;Bewertung_Stammdaten!C$19,Bewertung_Stammdaten!A$19,IF(N76&lt;Bewertung_Stammdaten!C$20,Bewertung_Stammdaten!A$20,Bewertung_Stammdaten!A$21))))))))))</f>
        <v>#N/A</v>
      </c>
      <c r="R76" s="32" t="e">
        <f>IF(F76=1,IF(K76&lt;Bewertung_Stammdaten!F$12,Bewertung_Stammdaten!E$12,IF(K76&lt;Bewertung_Stammdaten!F$13,Bewertung_Stammdaten!E$13,IF(K76&lt;Bewertung_Stammdaten!F$14,Bewertung_Stammdaten!E$14,IF(K76&lt;Bewertung_Stammdaten!F$15,Bewertung_Stammdaten!E$15,IF(K76&lt;Bewertung_Stammdaten!F$16,Bewertung_Stammdaten!E$16,IF(K76&lt;Bewertung_Stammdaten!F$17,Bewertung_Stammdaten!E$17,IF(K76&lt;Bewertung_Stammdaten!F$18,Bewertung_Stammdaten!E$18,IF(K76&lt;Bewertung_Stammdaten!F$19,Bewertung_Stammdaten!E$19,IF(K76&lt;Bewertung_Stammdaten!F$20,Bewertung_Stammdaten!E$20,Bewertung_Stammdaten!E$21))))))))),IF(P76&lt;Bewertung_Stammdaten!G$12,Bewertung_Stammdaten!E$12,IF(P76&lt;Bewertung_Stammdaten!G$13,Bewertung_Stammdaten!E$13,IF(P76&lt;Bewertung_Stammdaten!G$14,Bewertung_Stammdaten!E$14,IF(P76&lt;Bewertung_Stammdaten!G$15,Bewertung_Stammdaten!E$15,IF(P76&lt;Bewertung_Stammdaten!G$16,Bewertung_Stammdaten!E$16,IF(P76&lt;Bewertung_Stammdaten!G$17,Bewertung_Stammdaten!E$17,IF(P76&lt;Bewertung_Stammdaten!G$18,Bewertung_Stammdaten!E$18,IF(P76&lt;Bewertung_Stammdaten!G$19,Bewertung_Stammdaten!E$19,IF(P76&lt;Bewertung_Stammdaten!G$20,Bewertung_Stammdaten!E$20,Bewertung_Stammdaten!E$21))))))))))</f>
        <v>#N/A</v>
      </c>
      <c r="S76" s="43"/>
      <c r="T76" s="11" t="e">
        <f>VLOOKUP(A76,Buchwert_je_Aktie!A$3:AK$103,23,FALSE)</f>
        <v>#N/A</v>
      </c>
      <c r="U76" s="11" t="e">
        <f>VLOOKUP(A76,Buchwert_je_Aktie!A$3:AK$103,19,FALSE)</f>
        <v>#N/A</v>
      </c>
      <c r="V76" s="12" t="e">
        <f>VLOOKUP(A76,Buchwert_je_Aktie!A$3:AK$103,24,FALSE)</f>
        <v>#N/A</v>
      </c>
      <c r="W76" s="12" t="e">
        <f>VLOOKUP(A76,Buchwert_je_Aktie!A$3:AK$103,37,FALSE)</f>
        <v>#N/A</v>
      </c>
      <c r="X76" s="16" t="e">
        <f t="shared" si="14"/>
        <v>#N/A</v>
      </c>
      <c r="Y76" s="12" t="e">
        <f t="shared" si="15"/>
        <v>#N/A</v>
      </c>
      <c r="Z76" s="51" t="e">
        <f>IF(V76&lt;Bewertung_Stammdaten!B$25,Bewertung_Stammdaten!A$25,IF(V76&lt;Bewertung_Stammdaten!B$26,Bewertung_Stammdaten!A$26,IF(V76&lt;Bewertung_Stammdaten!B$27,Bewertung_Stammdaten!A$27,IF(V76&lt;Bewertung_Stammdaten!B$28,Bewertung_Stammdaten!A$28,IF(V76&lt;Bewertung_Stammdaten!B$29,Bewertung_Stammdaten!A$29,IF(V76&lt;Bewertung_Stammdaten!B$30,Bewertung_Stammdaten!A$30,IF(V76&lt;Bewertung_Stammdaten!B$31,Bewertung_Stammdaten!A$31,IF(V76&lt;Bewertung_Stammdaten!B$32,Bewertung_Stammdaten!A$32,IF(V76&lt;Bewertung_Stammdaten!B$33,Bewertung_Stammdaten!A$33,Bewertung_Stammdaten!A$34)))))))))</f>
        <v>#N/A</v>
      </c>
      <c r="AA76" s="51" t="e">
        <f>IF(W76&lt;Bewertung_Stammdaten!F$25,Bewertung_Stammdaten!E$25,IF(W76&lt;Bewertung_Stammdaten!F$26,Bewertung_Stammdaten!E$26,IF(W76&lt;Bewertung_Stammdaten!F$27,Bewertung_Stammdaten!E$27,IF(W76&lt;Bewertung_Stammdaten!F$28,Bewertung_Stammdaten!E$28,IF(W76&lt;Bewertung_Stammdaten!F$29,Bewertung_Stammdaten!E$29,IF(W76&lt;Bewertung_Stammdaten!F$30,Bewertung_Stammdaten!E$30,IF(W76&lt;Bewertung_Stammdaten!F$31,Bewertung_Stammdaten!E$31,IF(W76&lt;Bewertung_Stammdaten!F$32,Bewertung_Stammdaten!E$32,IF(W76&lt;Bewertung_Stammdaten!F$33,Bewertung_Stammdaten!E$33,Bewertung_Stammdaten!E$34)))))))))</f>
        <v>#N/A</v>
      </c>
      <c r="AB76" s="51" t="e">
        <f>IF(Y76&lt;Bewertung_Stammdaten!J$25,Bewertung_Stammdaten!I$25,IF(Y76&lt;Bewertung_Stammdaten!J$26,Bewertung_Stammdaten!I$26,IF(Y76&lt;Bewertung_Stammdaten!J$27,Bewertung_Stammdaten!I$27,IF(Y76&lt;Bewertung_Stammdaten!J$28,Bewertung_Stammdaten!I$28,IF(Y76&lt;Bewertung_Stammdaten!J$29,Bewertung_Stammdaten!I$29,IF(Y76&lt;Bewertung_Stammdaten!J$30,Bewertung_Stammdaten!I$30,IF(Y76&lt;Bewertung_Stammdaten!J$31,Bewertung_Stammdaten!I$31,IF(Y76&lt;Bewertung_Stammdaten!J$32,Bewertung_Stammdaten!I$32,IF(Y76&lt;Bewertung_Stammdaten!J$33,Bewertung_Stammdaten!I$33,Bewertung_Stammdaten!I$34)))))))))</f>
        <v>#N/A</v>
      </c>
      <c r="AC76" s="43"/>
      <c r="AD76" s="14" t="e">
        <f>VLOOKUP(A76,Ergebnis_je_Aktie_verwässert!A$3:AK$103,23,FALSE)</f>
        <v>#N/A</v>
      </c>
      <c r="AE76" s="14" t="e">
        <f>VLOOKUP(A76,Ergebnis_je_Aktie_verwässert!A$3:AK$103,19,FALSE)</f>
        <v>#N/A</v>
      </c>
      <c r="AF76" s="12" t="e">
        <f>VLOOKUP(A76,Ergebnis_je_Aktie_verwässert!A$3:AK$103,24,FALSE)</f>
        <v>#N/A</v>
      </c>
      <c r="AG76" s="40" t="e">
        <f>VLOOKUP(A76,Ergebnis_je_Aktie_verwässert!A$3:AK$103,37,FALSE)</f>
        <v>#N/A</v>
      </c>
      <c r="AH76" s="16" t="e">
        <f t="shared" si="16"/>
        <v>#N/A</v>
      </c>
      <c r="AI76" s="12" t="e">
        <f t="shared" si="17"/>
        <v>#N/A</v>
      </c>
      <c r="AJ76" s="32" t="e">
        <f>IF(AF76&lt;Bewertung_Stammdaten!B$38,Bewertung_Stammdaten!A$38,IF(AF76&lt;Bewertung_Stammdaten!B$39,Bewertung_Stammdaten!A$39,IF(AF76&lt;Bewertung_Stammdaten!B$40,Bewertung_Stammdaten!A$40,IF(AF76&lt;Bewertung_Stammdaten!B$41,Bewertung_Stammdaten!A$41,IF(AF76&lt;Bewertung_Stammdaten!B$42,Bewertung_Stammdaten!A$42,IF(AF76&lt;Bewertung_Stammdaten!B$43,Bewertung_Stammdaten!A$43,IF(AF76&lt;Bewertung_Stammdaten!B$44,Bewertung_Stammdaten!A$44,IF(AF76&lt;Bewertung_Stammdaten!B$45,Bewertung_Stammdaten!A$45,IF(AF76&lt;Bewertung_Stammdaten!B$46,Bewertung_Stammdaten!A$46,Bewertung_Stammdaten!A$47)))))))))</f>
        <v>#N/A</v>
      </c>
      <c r="AK76" s="32" t="e">
        <f>IF(AG76&lt;Bewertung_Stammdaten!F$38,Bewertung_Stammdaten!E$38,IF(AG76&lt;Bewertung_Stammdaten!F$39,Bewertung_Stammdaten!E$39,IF(AG76&lt;Bewertung_Stammdaten!F$40,Bewertung_Stammdaten!E$40,IF(AG76&lt;Bewertung_Stammdaten!F$41,Bewertung_Stammdaten!E$41,IF(AG76&lt;Bewertung_Stammdaten!F$42,Bewertung_Stammdaten!E$42,IF(AG76&lt;Bewertung_Stammdaten!F$43,Bewertung_Stammdaten!E$43,IF(AG76&lt;Bewertung_Stammdaten!F$44,Bewertung_Stammdaten!E$44,IF(AG76&lt;Bewertung_Stammdaten!F$45,Bewertung_Stammdaten!E$45,IF(AG76&lt;Bewertung_Stammdaten!F$46,Bewertung_Stammdaten!E$46,Bewertung_Stammdaten!E$47)))))))))</f>
        <v>#N/A</v>
      </c>
      <c r="AL76" s="32" t="e">
        <f>IF(AI76&lt;Bewertung_Stammdaten!J$38,Bewertung_Stammdaten!I$38,IF(AI76&lt;Bewertung_Stammdaten!J$39,Bewertung_Stammdaten!I$39,IF(AI76&lt;Bewertung_Stammdaten!J$40,Bewertung_Stammdaten!I$40,IF(AI76&lt;Bewertung_Stammdaten!J$41,Bewertung_Stammdaten!I$41,IF(AI76&lt;Bewertung_Stammdaten!J$42,Bewertung_Stammdaten!I$42,IF(AI76&lt;Bewertung_Stammdaten!J$43,Bewertung_Stammdaten!I$43,IF(AI76&lt;Bewertung_Stammdaten!J$44,Bewertung_Stammdaten!I$44,IF(AI76&lt;Bewertung_Stammdaten!J$45,Bewertung_Stammdaten!I$45,IF(AI76&lt;Bewertung_Stammdaten!J$46,Bewertung_Stammdaten!I$46,Bewertung_Stammdaten!I$47)))))))))</f>
        <v>#N/A</v>
      </c>
      <c r="AM76" s="43"/>
      <c r="AN76" s="14" t="e">
        <f>VLOOKUP(A76,Dividende_je_Aktie!A$3:AM$103,24,FALSE)</f>
        <v>#N/A</v>
      </c>
      <c r="AO76" s="14" t="e">
        <f>VLOOKUP(A76,Dividende_je_Aktie!A$3:AM$103,20,FALSE)</f>
        <v>#N/A</v>
      </c>
      <c r="AP76" s="12" t="e">
        <f>VLOOKUP(A76,Dividende_je_Aktie!A$3:AM$103,25,FALSE)</f>
        <v>#N/A</v>
      </c>
      <c r="AQ76" s="40" t="e">
        <f>VLOOKUP(A76,Dividende_je_Aktie!A$3:AM$103,39,FALSE)</f>
        <v>#N/A</v>
      </c>
      <c r="AR76" s="16" t="e">
        <f t="shared" si="18"/>
        <v>#N/A</v>
      </c>
      <c r="AS76" s="12" t="e">
        <f t="shared" si="19"/>
        <v>#N/A</v>
      </c>
      <c r="AT76" s="32" t="e">
        <f>IF(AP76&lt;Bewertung_Stammdaten!B$51,Bewertung_Stammdaten!A$51,IF(AP76&lt;Bewertung_Stammdaten!B$52,Bewertung_Stammdaten!A$52,IF(AP76&lt;Bewertung_Stammdaten!B$53,Bewertung_Stammdaten!A$53,IF(AP76&lt;Bewertung_Stammdaten!B$54,Bewertung_Stammdaten!A$54,IF(AP76&lt;Bewertung_Stammdaten!B$55,Bewertung_Stammdaten!A$55,IF(AP76&lt;Bewertung_Stammdaten!B$56,Bewertung_Stammdaten!A$56,IF(AP76&lt;Bewertung_Stammdaten!B$57,Bewertung_Stammdaten!A$57,IF(AP76&lt;Bewertung_Stammdaten!B$58,Bewertung_Stammdaten!A$58,IF(AP76&lt;Bewertung_Stammdaten!B$59,Bewertung_Stammdaten!A$59,Bewertung_Stammdaten!A$60)))))))))</f>
        <v>#N/A</v>
      </c>
      <c r="AU76" s="32" t="e">
        <f>IF(AQ76&lt;Bewertung_Stammdaten!F$51,Bewertung_Stammdaten!E$51,IF(AQ76&lt;Bewertung_Stammdaten!F$52,Bewertung_Stammdaten!E$52,IF(AQ76&lt;Bewertung_Stammdaten!F$53,Bewertung_Stammdaten!E$53,IF(AQ76&lt;Bewertung_Stammdaten!F$54,Bewertung_Stammdaten!E$54,IF(AQ76&lt;Bewertung_Stammdaten!F$55,Bewertung_Stammdaten!E$55,IF(AQ76&lt;Bewertung_Stammdaten!F$56,Bewertung_Stammdaten!E$56,IF(AQ76&lt;Bewertung_Stammdaten!F$57,Bewertung_Stammdaten!E$57,IF(AQ76&lt;Bewertung_Stammdaten!F$58,Bewertung_Stammdaten!E$58,IF(AQ76&lt;Bewertung_Stammdaten!F$59,Bewertung_Stammdaten!E$59,Bewertung_Stammdaten!E$60)))))))))</f>
        <v>#N/A</v>
      </c>
      <c r="AV76" s="32" t="e">
        <f>IF(AS76&lt;Bewertung_Stammdaten!J$51,Bewertung_Stammdaten!I$51,IF(AS76&lt;Bewertung_Stammdaten!J$52,Bewertung_Stammdaten!I$52,IF(AS76&lt;Bewertung_Stammdaten!J$53,Bewertung_Stammdaten!I$53,IF(AS76&lt;Bewertung_Stammdaten!J$54,Bewertung_Stammdaten!I$54,IF(AS76&lt;Bewertung_Stammdaten!J$55,Bewertung_Stammdaten!I$55,IF(AS76&lt;Bewertung_Stammdaten!J$56,Bewertung_Stammdaten!I$56,IF(AS76&lt;Bewertung_Stammdaten!J$57,Bewertung_Stammdaten!I$57,IF(AS76&lt;Bewertung_Stammdaten!J$58,Bewertung_Stammdaten!I$58,IF(AS76&lt;Bewertung_Stammdaten!J$59,Bewertung_Stammdaten!I$59,Bewertung_Stammdaten!I$60)))))))))</f>
        <v>#N/A</v>
      </c>
      <c r="AW76" s="43"/>
      <c r="AX76" s="12" t="e">
        <f>VLOOKUP(A76,Dividendenrendite!A$3:R$103,17,FALSE)</f>
        <v>#N/A</v>
      </c>
      <c r="AY76" s="12" t="e">
        <f>VLOOKUP(A76,Dividendenrendite!A$3:R$103,16,FALSE)</f>
        <v>#N/A</v>
      </c>
      <c r="AZ76" s="12" t="e">
        <f>VLOOKUP(A76,Dividendenrendite!A$3:R$103,18,FALSE)</f>
        <v>#N/A</v>
      </c>
      <c r="BA76" s="32" t="e">
        <f>IF(AX76&lt;Bewertung_Stammdaten!B$64,Bewertung_Stammdaten!A$64,IF(AX76&lt;Bewertung_Stammdaten!B$65,Bewertung_Stammdaten!A$65,IF(AX76&lt;Bewertung_Stammdaten!B$66,Bewertung_Stammdaten!A$66,IF(AX76&lt;Bewertung_Stammdaten!B$67,Bewertung_Stammdaten!A$67,IF(AX76&lt;Bewertung_Stammdaten!B$68,Bewertung_Stammdaten!A$68,IF(AX76&lt;Bewertung_Stammdaten!B$69,Bewertung_Stammdaten!A$69,IF(AX76&lt;Bewertung_Stammdaten!B$70,Bewertung_Stammdaten!A$70,IF(AX76&lt;Bewertung_Stammdaten!B$71,Bewertung_Stammdaten!A$71,IF(AX76&lt;Bewertung_Stammdaten!B$72,Bewertung_Stammdaten!A$72,Bewertung_Stammdaten!A$73)))))))))</f>
        <v>#N/A</v>
      </c>
      <c r="BB76" s="32" t="e">
        <f>IF(AY76&lt;Bewertung_Stammdaten!F$64,Bewertung_Stammdaten!E$64,IF(AY76&lt;Bewertung_Stammdaten!F$65,Bewertung_Stammdaten!E$65,IF(AY76&lt;Bewertung_Stammdaten!F$66,Bewertung_Stammdaten!E$66,IF(AY76&lt;Bewertung_Stammdaten!F$67,Bewertung_Stammdaten!E$67,IF(AY76&lt;Bewertung_Stammdaten!F$68,Bewertung_Stammdaten!E$68,IF(AY76&lt;Bewertung_Stammdaten!F$69,Bewertung_Stammdaten!E$69,IF(AY76&lt;Bewertung_Stammdaten!F$70,Bewertung_Stammdaten!E$70,IF(AY76&lt;Bewertung_Stammdaten!F$71,Bewertung_Stammdaten!E$71,IF(AY76&lt;Bewertung_Stammdaten!F$72,Bewertung_Stammdaten!E$72,Bewertung_Stammdaten!E$73)))))))))</f>
        <v>#N/A</v>
      </c>
      <c r="BC76" s="32" t="e">
        <f>IF(AZ76&lt;Bewertung_Stammdaten!J$64,Bewertung_Stammdaten!I$64,IF(AZ76&lt;Bewertung_Stammdaten!J$65,Bewertung_Stammdaten!I$65,IF(AZ76&lt;Bewertung_Stammdaten!J$66,Bewertung_Stammdaten!I$66,IF(AZ76&lt;Bewertung_Stammdaten!J$67,Bewertung_Stammdaten!I$67,IF(AZ76&lt;Bewertung_Stammdaten!J$68,Bewertung_Stammdaten!I$68,IF(AZ76&lt;Bewertung_Stammdaten!J$69,Bewertung_Stammdaten!I$69,IF(AZ76&lt;Bewertung_Stammdaten!J$70,Bewertung_Stammdaten!I$70,IF(AZ76&lt;Bewertung_Stammdaten!J$71,Bewertung_Stammdaten!I$71,IF(AZ76&lt;Bewertung_Stammdaten!J$72,Bewertung_Stammdaten!I$72,Bewertung_Stammdaten!I$73)))))))))</f>
        <v>#N/A</v>
      </c>
      <c r="BD76" s="43"/>
      <c r="BE76" s="12" t="e">
        <f>VLOOKUP(A76,Aktien_im_Umlauf_splitbereinigt!A$3:Z$103,26,FALSE)</f>
        <v>#N/A</v>
      </c>
      <c r="BF76" s="12" t="e">
        <f>VLOOKUP(A76,Aktien_im_Umlauf_splitbereinigt!A$3:Y$103,24,FALSE)</f>
        <v>#N/A</v>
      </c>
      <c r="BG76" s="12" t="e">
        <f>VLOOKUP(A76,Aktien_im_Umlauf_splitbereinigt!A$3:Y$103,25,FALSE)</f>
        <v>#N/A</v>
      </c>
      <c r="BH76" s="41" t="e">
        <f>IF(BE76&lt;Bewertung_Stammdaten!B$77,Bewertung_Stammdaten!A$77,IF(BE76&lt;Bewertung_Stammdaten!B$78,Bewertung_Stammdaten!A$78,IF(BE76&lt;Bewertung_Stammdaten!B$79,Bewertung_Stammdaten!A$79,IF(BE76&lt;Bewertung_Stammdaten!B$80,Bewertung_Stammdaten!A$80,IF(BE76&lt;Bewertung_Stammdaten!B$81,Bewertung_Stammdaten!A$81,IF(BE76&lt;Bewertung_Stammdaten!B$82,Bewertung_Stammdaten!A$82,IF(BE76&lt;Bewertung_Stammdaten!B$83,Bewertung_Stammdaten!A$83,IF(BE76&lt;Bewertung_Stammdaten!B$84,Bewertung_Stammdaten!A$84,IF(BE76&lt;Bewertung_Stammdaten!B$85,Bewertung_Stammdaten!A$85,Bewertung_Stammdaten!A$86)))))))))</f>
        <v>#N/A</v>
      </c>
      <c r="BI76" s="41" t="e">
        <f>IF(BF76&lt;Bewertung_Stammdaten!F$77,Bewertung_Stammdaten!E$77,IF(BF76&lt;Bewertung_Stammdaten!F$78,Bewertung_Stammdaten!E$78,IF(BF76&lt;Bewertung_Stammdaten!F$79,Bewertung_Stammdaten!E$79,IF(BF76&lt;Bewertung_Stammdaten!F$80,Bewertung_Stammdaten!E$80,IF(BF76&lt;Bewertung_Stammdaten!F$81,Bewertung_Stammdaten!E$81,IF(BF76&lt;Bewertung_Stammdaten!F$82,Bewertung_Stammdaten!E$82,IF(BF76&lt;Bewertung_Stammdaten!F$83,Bewertung_Stammdaten!E$83,IF(BF76&lt;Bewertung_Stammdaten!F$84,Bewertung_Stammdaten!E$84,IF(BF76&lt;Bewertung_Stammdaten!F$85,Bewertung_Stammdaten!E$85,Bewertung_Stammdaten!E$86)))))))))</f>
        <v>#N/A</v>
      </c>
      <c r="BJ76" s="41" t="e">
        <f>IF(BG76&lt;Bewertung_Stammdaten!J$77,Bewertung_Stammdaten!I$77,IF(BG76&lt;Bewertung_Stammdaten!J$78,Bewertung_Stammdaten!I$78,IF(BG76&lt;Bewertung_Stammdaten!J$79,Bewertung_Stammdaten!I$79,IF(BG76&lt;Bewertung_Stammdaten!J$80,Bewertung_Stammdaten!I$80,IF(BG76&lt;Bewertung_Stammdaten!J$81,Bewertung_Stammdaten!I$81,IF(BG76&lt;Bewertung_Stammdaten!J$82,Bewertung_Stammdaten!I$82,IF(BG76&lt;Bewertung_Stammdaten!J$83,Bewertung_Stammdaten!I$83,IF(BG76&lt;Bewertung_Stammdaten!J$84,Bewertung_Stammdaten!I$84,IF(BG76&lt;Bewertung_Stammdaten!J$85,Bewertung_Stammdaten!I$85,Bewertung_Stammdaten!I$86)))))))))</f>
        <v>#N/A</v>
      </c>
      <c r="BK76" s="43"/>
      <c r="BL76" s="12" t="e">
        <f>VLOOKUP(A76,Ausschüttungsquote!A$3:X$103,23,FALSE)</f>
        <v>#N/A</v>
      </c>
      <c r="BM76" s="12" t="e">
        <f>VLOOKUP(A76,Ausschüttungsquote!A$3:X$103,19,FALSE)</f>
        <v>#N/A</v>
      </c>
      <c r="BN76" s="12" t="e">
        <f>VLOOKUP(A76,Ausschüttungsquote!A$3:X$103,24,FALSE)</f>
        <v>#N/A</v>
      </c>
      <c r="BO76" s="32" t="e">
        <f>IF(BL76&lt;Bewertung_Stammdaten!B$90,Bewertung_Stammdaten!A$90,IF(BL76&lt;Bewertung_Stammdaten!B$91,Bewertung_Stammdaten!A$91,IF(BL76&lt;Bewertung_Stammdaten!B$92,Bewertung_Stammdaten!A$92,IF(BL76&lt;Bewertung_Stammdaten!B$93,Bewertung_Stammdaten!A$93,IF(BL76&lt;Bewertung_Stammdaten!B$94,Bewertung_Stammdaten!A$94,IF(BL76&lt;Bewertung_Stammdaten!B$95,Bewertung_Stammdaten!A$95,IF(BL76&lt;Bewertung_Stammdaten!B$96,Bewertung_Stammdaten!A$96,IF(BL76&lt;Bewertung_Stammdaten!B$97,Bewertung_Stammdaten!A$97,IF(BL76&lt;Bewertung_Stammdaten!B$98,Bewertung_Stammdaten!A$98,Bewertung_Stammdaten!A$99)))))))))</f>
        <v>#N/A</v>
      </c>
      <c r="BP76" s="41" t="e">
        <f>IF(BM76&lt;Bewertung_Stammdaten!F$90,Bewertung_Stammdaten!E$90,IF(BM76&lt;Bewertung_Stammdaten!F$91,Bewertung_Stammdaten!E$91,IF(BM76&lt;Bewertung_Stammdaten!F$92,Bewertung_Stammdaten!E$92,IF(BM76&lt;Bewertung_Stammdaten!F$93,Bewertung_Stammdaten!E$93,IF(BM76&lt;Bewertung_Stammdaten!F$94,Bewertung_Stammdaten!E$94,IF(BM76&lt;Bewertung_Stammdaten!F$95,Bewertung_Stammdaten!E$95,IF(BM76&lt;Bewertung_Stammdaten!F$96,Bewertung_Stammdaten!E$96,IF(BM76&lt;Bewertung_Stammdaten!F$97,Bewertung_Stammdaten!E$97,IF(BM76&lt;Bewertung_Stammdaten!F$98,Bewertung_Stammdaten!E$98,Bewertung_Stammdaten!E$99)))))))))</f>
        <v>#N/A</v>
      </c>
      <c r="BQ76" s="32" t="e">
        <f>IF(BN76&lt;Bewertung_Stammdaten!J$90,Bewertung_Stammdaten!I$90,IF(BN76&lt;Bewertung_Stammdaten!J$91,Bewertung_Stammdaten!I$91,IF(BN76&lt;Bewertung_Stammdaten!J$92,Bewertung_Stammdaten!I$92,IF(BN76&lt;Bewertung_Stammdaten!J$93,Bewertung_Stammdaten!I$93,IF(BN76&lt;Bewertung_Stammdaten!J$94,Bewertung_Stammdaten!I$94,IF(BN76&lt;Bewertung_Stammdaten!J$95,Bewertung_Stammdaten!I$95,IF(BN76&lt;Bewertung_Stammdaten!J$96,Bewertung_Stammdaten!I$96,IF(BN76&lt;Bewertung_Stammdaten!J$97,Bewertung_Stammdaten!I$97,IF(BN76&lt;Bewertung_Stammdaten!J$98,Bewertung_Stammdaten!I$98,Bewertung_Stammdaten!I$99)))))))))</f>
        <v>#N/A</v>
      </c>
    </row>
    <row r="77" spans="3:69" x14ac:dyDescent="0.25">
      <c r="C77" s="55" t="s">
        <v>297</v>
      </c>
      <c r="D77" s="32" t="e">
        <f t="shared" si="11"/>
        <v>#N/A</v>
      </c>
      <c r="E77" s="43"/>
      <c r="F77" s="66">
        <v>1</v>
      </c>
      <c r="G77" s="11" t="e">
        <f>VLOOKUP(A77,KGV!A$3:R$103,17,FALSE)</f>
        <v>#N/A</v>
      </c>
      <c r="H77" s="11" t="e">
        <f>VLOOKUP(A77,KGV!A$3:R$103,16,FALSE)</f>
        <v>#N/A</v>
      </c>
      <c r="I77" s="12" t="e">
        <f>VLOOKUP(A77,KGV!A$3:R$103,18,FALSE)</f>
        <v>#N/A</v>
      </c>
      <c r="J77" s="16" t="e">
        <f t="shared" si="12"/>
        <v>#N/A</v>
      </c>
      <c r="K77" s="12" t="e">
        <f t="shared" si="13"/>
        <v>#N/A</v>
      </c>
      <c r="L77" s="11" t="e">
        <f>VLOOKUP(A77,KBV!A$3:R$103,17,FALSE)</f>
        <v>#N/A</v>
      </c>
      <c r="M77" s="11" t="e">
        <f>VLOOKUP(A77,KBV!A$3:R$103,16,FALSE)</f>
        <v>#N/A</v>
      </c>
      <c r="N77" s="12" t="e">
        <f>VLOOKUP(A77,KBV!A$3:R$103,18,FALSE)</f>
        <v>#N/A</v>
      </c>
      <c r="O77" s="16" t="e">
        <f t="shared" si="20"/>
        <v>#N/A</v>
      </c>
      <c r="P77" s="12" t="e">
        <f t="shared" si="21"/>
        <v>#N/A</v>
      </c>
      <c r="Q77" s="32" t="e">
        <f>IF(F77=1,IF(I77&lt;Bewertung_Stammdaten!B$12,Bewertung_Stammdaten!A$12,IF(I77&lt;Bewertung_Stammdaten!B$13,Bewertung_Stammdaten!A$13,IF(I77&lt;Bewertung_Stammdaten!B$14,Bewertung_Stammdaten!A$14,IF(I77&lt;Bewertung_Stammdaten!B$15,Bewertung_Stammdaten!A$15,IF(I77&lt;Bewertung_Stammdaten!B$16,Bewertung_Stammdaten!A$16,IF(I77&lt;Bewertung_Stammdaten!B$17,Bewertung_Stammdaten!A$17,IF(I77&lt;Bewertung_Stammdaten!B$18,Bewertung_Stammdaten!A$18,IF(I77&lt;Bewertung_Stammdaten!B$19,Bewertung_Stammdaten!A$19,IF(I77&lt;Bewertung_Stammdaten!B$20,Bewertung_Stammdaten!A$20,Bewertung_Stammdaten!A$21))))))))),IF(N77&lt;Bewertung_Stammdaten!C$12,Bewertung_Stammdaten!A$12,IF(N77&lt;Bewertung_Stammdaten!C$13,Bewertung_Stammdaten!A$13,IF(N77&lt;Bewertung_Stammdaten!C$14,Bewertung_Stammdaten!A$14,IF(N77&lt;Bewertung_Stammdaten!C$15,Bewertung_Stammdaten!A$15,IF(N77&lt;Bewertung_Stammdaten!C$16,Bewertung_Stammdaten!A$16,IF(N77&lt;Bewertung_Stammdaten!C$17,Bewertung_Stammdaten!A$17,IF(N77&lt;Bewertung_Stammdaten!C$18,Bewertung_Stammdaten!A$18,IF(N77&lt;Bewertung_Stammdaten!C$19,Bewertung_Stammdaten!A$19,IF(N77&lt;Bewertung_Stammdaten!C$20,Bewertung_Stammdaten!A$20,Bewertung_Stammdaten!A$21))))))))))</f>
        <v>#N/A</v>
      </c>
      <c r="R77" s="32" t="e">
        <f>IF(F77=1,IF(K77&lt;Bewertung_Stammdaten!F$12,Bewertung_Stammdaten!E$12,IF(K77&lt;Bewertung_Stammdaten!F$13,Bewertung_Stammdaten!E$13,IF(K77&lt;Bewertung_Stammdaten!F$14,Bewertung_Stammdaten!E$14,IF(K77&lt;Bewertung_Stammdaten!F$15,Bewertung_Stammdaten!E$15,IF(K77&lt;Bewertung_Stammdaten!F$16,Bewertung_Stammdaten!E$16,IF(K77&lt;Bewertung_Stammdaten!F$17,Bewertung_Stammdaten!E$17,IF(K77&lt;Bewertung_Stammdaten!F$18,Bewertung_Stammdaten!E$18,IF(K77&lt;Bewertung_Stammdaten!F$19,Bewertung_Stammdaten!E$19,IF(K77&lt;Bewertung_Stammdaten!F$20,Bewertung_Stammdaten!E$20,Bewertung_Stammdaten!E$21))))))))),IF(P77&lt;Bewertung_Stammdaten!G$12,Bewertung_Stammdaten!E$12,IF(P77&lt;Bewertung_Stammdaten!G$13,Bewertung_Stammdaten!E$13,IF(P77&lt;Bewertung_Stammdaten!G$14,Bewertung_Stammdaten!E$14,IF(P77&lt;Bewertung_Stammdaten!G$15,Bewertung_Stammdaten!E$15,IF(P77&lt;Bewertung_Stammdaten!G$16,Bewertung_Stammdaten!E$16,IF(P77&lt;Bewertung_Stammdaten!G$17,Bewertung_Stammdaten!E$17,IF(P77&lt;Bewertung_Stammdaten!G$18,Bewertung_Stammdaten!E$18,IF(P77&lt;Bewertung_Stammdaten!G$19,Bewertung_Stammdaten!E$19,IF(P77&lt;Bewertung_Stammdaten!G$20,Bewertung_Stammdaten!E$20,Bewertung_Stammdaten!E$21))))))))))</f>
        <v>#N/A</v>
      </c>
      <c r="S77" s="43"/>
      <c r="T77" s="11" t="e">
        <f>VLOOKUP(A77,Buchwert_je_Aktie!A$3:AK$103,23,FALSE)</f>
        <v>#N/A</v>
      </c>
      <c r="U77" s="11" t="e">
        <f>VLOOKUP(A77,Buchwert_je_Aktie!A$3:AK$103,19,FALSE)</f>
        <v>#N/A</v>
      </c>
      <c r="V77" s="12" t="e">
        <f>VLOOKUP(A77,Buchwert_je_Aktie!A$3:AK$103,24,FALSE)</f>
        <v>#N/A</v>
      </c>
      <c r="W77" s="12" t="e">
        <f>VLOOKUP(A77,Buchwert_je_Aktie!A$3:AK$103,37,FALSE)</f>
        <v>#N/A</v>
      </c>
      <c r="X77" s="16" t="e">
        <f t="shared" si="14"/>
        <v>#N/A</v>
      </c>
      <c r="Y77" s="12" t="e">
        <f t="shared" si="15"/>
        <v>#N/A</v>
      </c>
      <c r="Z77" s="51" t="e">
        <f>IF(V77&lt;Bewertung_Stammdaten!B$25,Bewertung_Stammdaten!A$25,IF(V77&lt;Bewertung_Stammdaten!B$26,Bewertung_Stammdaten!A$26,IF(V77&lt;Bewertung_Stammdaten!B$27,Bewertung_Stammdaten!A$27,IF(V77&lt;Bewertung_Stammdaten!B$28,Bewertung_Stammdaten!A$28,IF(V77&lt;Bewertung_Stammdaten!B$29,Bewertung_Stammdaten!A$29,IF(V77&lt;Bewertung_Stammdaten!B$30,Bewertung_Stammdaten!A$30,IF(V77&lt;Bewertung_Stammdaten!B$31,Bewertung_Stammdaten!A$31,IF(V77&lt;Bewertung_Stammdaten!B$32,Bewertung_Stammdaten!A$32,IF(V77&lt;Bewertung_Stammdaten!B$33,Bewertung_Stammdaten!A$33,Bewertung_Stammdaten!A$34)))))))))</f>
        <v>#N/A</v>
      </c>
      <c r="AA77" s="51" t="e">
        <f>IF(W77&lt;Bewertung_Stammdaten!F$25,Bewertung_Stammdaten!E$25,IF(W77&lt;Bewertung_Stammdaten!F$26,Bewertung_Stammdaten!E$26,IF(W77&lt;Bewertung_Stammdaten!F$27,Bewertung_Stammdaten!E$27,IF(W77&lt;Bewertung_Stammdaten!F$28,Bewertung_Stammdaten!E$28,IF(W77&lt;Bewertung_Stammdaten!F$29,Bewertung_Stammdaten!E$29,IF(W77&lt;Bewertung_Stammdaten!F$30,Bewertung_Stammdaten!E$30,IF(W77&lt;Bewertung_Stammdaten!F$31,Bewertung_Stammdaten!E$31,IF(W77&lt;Bewertung_Stammdaten!F$32,Bewertung_Stammdaten!E$32,IF(W77&lt;Bewertung_Stammdaten!F$33,Bewertung_Stammdaten!E$33,Bewertung_Stammdaten!E$34)))))))))</f>
        <v>#N/A</v>
      </c>
      <c r="AB77" s="51" t="e">
        <f>IF(Y77&lt;Bewertung_Stammdaten!J$25,Bewertung_Stammdaten!I$25,IF(Y77&lt;Bewertung_Stammdaten!J$26,Bewertung_Stammdaten!I$26,IF(Y77&lt;Bewertung_Stammdaten!J$27,Bewertung_Stammdaten!I$27,IF(Y77&lt;Bewertung_Stammdaten!J$28,Bewertung_Stammdaten!I$28,IF(Y77&lt;Bewertung_Stammdaten!J$29,Bewertung_Stammdaten!I$29,IF(Y77&lt;Bewertung_Stammdaten!J$30,Bewertung_Stammdaten!I$30,IF(Y77&lt;Bewertung_Stammdaten!J$31,Bewertung_Stammdaten!I$31,IF(Y77&lt;Bewertung_Stammdaten!J$32,Bewertung_Stammdaten!I$32,IF(Y77&lt;Bewertung_Stammdaten!J$33,Bewertung_Stammdaten!I$33,Bewertung_Stammdaten!I$34)))))))))</f>
        <v>#N/A</v>
      </c>
      <c r="AC77" s="43"/>
      <c r="AD77" s="14" t="e">
        <f>VLOOKUP(A77,Ergebnis_je_Aktie_verwässert!A$3:AK$103,23,FALSE)</f>
        <v>#N/A</v>
      </c>
      <c r="AE77" s="14" t="e">
        <f>VLOOKUP(A77,Ergebnis_je_Aktie_verwässert!A$3:AK$103,19,FALSE)</f>
        <v>#N/A</v>
      </c>
      <c r="AF77" s="12" t="e">
        <f>VLOOKUP(A77,Ergebnis_je_Aktie_verwässert!A$3:AK$103,24,FALSE)</f>
        <v>#N/A</v>
      </c>
      <c r="AG77" s="40" t="e">
        <f>VLOOKUP(A77,Ergebnis_je_Aktie_verwässert!A$3:AK$103,37,FALSE)</f>
        <v>#N/A</v>
      </c>
      <c r="AH77" s="16" t="e">
        <f t="shared" si="16"/>
        <v>#N/A</v>
      </c>
      <c r="AI77" s="12" t="e">
        <f t="shared" si="17"/>
        <v>#N/A</v>
      </c>
      <c r="AJ77" s="32" t="e">
        <f>IF(AF77&lt;Bewertung_Stammdaten!B$38,Bewertung_Stammdaten!A$38,IF(AF77&lt;Bewertung_Stammdaten!B$39,Bewertung_Stammdaten!A$39,IF(AF77&lt;Bewertung_Stammdaten!B$40,Bewertung_Stammdaten!A$40,IF(AF77&lt;Bewertung_Stammdaten!B$41,Bewertung_Stammdaten!A$41,IF(AF77&lt;Bewertung_Stammdaten!B$42,Bewertung_Stammdaten!A$42,IF(AF77&lt;Bewertung_Stammdaten!B$43,Bewertung_Stammdaten!A$43,IF(AF77&lt;Bewertung_Stammdaten!B$44,Bewertung_Stammdaten!A$44,IF(AF77&lt;Bewertung_Stammdaten!B$45,Bewertung_Stammdaten!A$45,IF(AF77&lt;Bewertung_Stammdaten!B$46,Bewertung_Stammdaten!A$46,Bewertung_Stammdaten!A$47)))))))))</f>
        <v>#N/A</v>
      </c>
      <c r="AK77" s="32" t="e">
        <f>IF(AG77&lt;Bewertung_Stammdaten!F$38,Bewertung_Stammdaten!E$38,IF(AG77&lt;Bewertung_Stammdaten!F$39,Bewertung_Stammdaten!E$39,IF(AG77&lt;Bewertung_Stammdaten!F$40,Bewertung_Stammdaten!E$40,IF(AG77&lt;Bewertung_Stammdaten!F$41,Bewertung_Stammdaten!E$41,IF(AG77&lt;Bewertung_Stammdaten!F$42,Bewertung_Stammdaten!E$42,IF(AG77&lt;Bewertung_Stammdaten!F$43,Bewertung_Stammdaten!E$43,IF(AG77&lt;Bewertung_Stammdaten!F$44,Bewertung_Stammdaten!E$44,IF(AG77&lt;Bewertung_Stammdaten!F$45,Bewertung_Stammdaten!E$45,IF(AG77&lt;Bewertung_Stammdaten!F$46,Bewertung_Stammdaten!E$46,Bewertung_Stammdaten!E$47)))))))))</f>
        <v>#N/A</v>
      </c>
      <c r="AL77" s="32" t="e">
        <f>IF(AI77&lt;Bewertung_Stammdaten!J$38,Bewertung_Stammdaten!I$38,IF(AI77&lt;Bewertung_Stammdaten!J$39,Bewertung_Stammdaten!I$39,IF(AI77&lt;Bewertung_Stammdaten!J$40,Bewertung_Stammdaten!I$40,IF(AI77&lt;Bewertung_Stammdaten!J$41,Bewertung_Stammdaten!I$41,IF(AI77&lt;Bewertung_Stammdaten!J$42,Bewertung_Stammdaten!I$42,IF(AI77&lt;Bewertung_Stammdaten!J$43,Bewertung_Stammdaten!I$43,IF(AI77&lt;Bewertung_Stammdaten!J$44,Bewertung_Stammdaten!I$44,IF(AI77&lt;Bewertung_Stammdaten!J$45,Bewertung_Stammdaten!I$45,IF(AI77&lt;Bewertung_Stammdaten!J$46,Bewertung_Stammdaten!I$46,Bewertung_Stammdaten!I$47)))))))))</f>
        <v>#N/A</v>
      </c>
      <c r="AM77" s="43"/>
      <c r="AN77" s="14" t="e">
        <f>VLOOKUP(A77,Dividende_je_Aktie!A$3:AM$103,24,FALSE)</f>
        <v>#N/A</v>
      </c>
      <c r="AO77" s="14" t="e">
        <f>VLOOKUP(A77,Dividende_je_Aktie!A$3:AM$103,20,FALSE)</f>
        <v>#N/A</v>
      </c>
      <c r="AP77" s="12" t="e">
        <f>VLOOKUP(A77,Dividende_je_Aktie!A$3:AM$103,25,FALSE)</f>
        <v>#N/A</v>
      </c>
      <c r="AQ77" s="40" t="e">
        <f>VLOOKUP(A77,Dividende_je_Aktie!A$3:AM$103,39,FALSE)</f>
        <v>#N/A</v>
      </c>
      <c r="AR77" s="16" t="e">
        <f t="shared" si="18"/>
        <v>#N/A</v>
      </c>
      <c r="AS77" s="12" t="e">
        <f t="shared" si="19"/>
        <v>#N/A</v>
      </c>
      <c r="AT77" s="32" t="e">
        <f>IF(AP77&lt;Bewertung_Stammdaten!B$51,Bewertung_Stammdaten!A$51,IF(AP77&lt;Bewertung_Stammdaten!B$52,Bewertung_Stammdaten!A$52,IF(AP77&lt;Bewertung_Stammdaten!B$53,Bewertung_Stammdaten!A$53,IF(AP77&lt;Bewertung_Stammdaten!B$54,Bewertung_Stammdaten!A$54,IF(AP77&lt;Bewertung_Stammdaten!B$55,Bewertung_Stammdaten!A$55,IF(AP77&lt;Bewertung_Stammdaten!B$56,Bewertung_Stammdaten!A$56,IF(AP77&lt;Bewertung_Stammdaten!B$57,Bewertung_Stammdaten!A$57,IF(AP77&lt;Bewertung_Stammdaten!B$58,Bewertung_Stammdaten!A$58,IF(AP77&lt;Bewertung_Stammdaten!B$59,Bewertung_Stammdaten!A$59,Bewertung_Stammdaten!A$60)))))))))</f>
        <v>#N/A</v>
      </c>
      <c r="AU77" s="32" t="e">
        <f>IF(AQ77&lt;Bewertung_Stammdaten!F$51,Bewertung_Stammdaten!E$51,IF(AQ77&lt;Bewertung_Stammdaten!F$52,Bewertung_Stammdaten!E$52,IF(AQ77&lt;Bewertung_Stammdaten!F$53,Bewertung_Stammdaten!E$53,IF(AQ77&lt;Bewertung_Stammdaten!F$54,Bewertung_Stammdaten!E$54,IF(AQ77&lt;Bewertung_Stammdaten!F$55,Bewertung_Stammdaten!E$55,IF(AQ77&lt;Bewertung_Stammdaten!F$56,Bewertung_Stammdaten!E$56,IF(AQ77&lt;Bewertung_Stammdaten!F$57,Bewertung_Stammdaten!E$57,IF(AQ77&lt;Bewertung_Stammdaten!F$58,Bewertung_Stammdaten!E$58,IF(AQ77&lt;Bewertung_Stammdaten!F$59,Bewertung_Stammdaten!E$59,Bewertung_Stammdaten!E$60)))))))))</f>
        <v>#N/A</v>
      </c>
      <c r="AV77" s="32" t="e">
        <f>IF(AS77&lt;Bewertung_Stammdaten!J$51,Bewertung_Stammdaten!I$51,IF(AS77&lt;Bewertung_Stammdaten!J$52,Bewertung_Stammdaten!I$52,IF(AS77&lt;Bewertung_Stammdaten!J$53,Bewertung_Stammdaten!I$53,IF(AS77&lt;Bewertung_Stammdaten!J$54,Bewertung_Stammdaten!I$54,IF(AS77&lt;Bewertung_Stammdaten!J$55,Bewertung_Stammdaten!I$55,IF(AS77&lt;Bewertung_Stammdaten!J$56,Bewertung_Stammdaten!I$56,IF(AS77&lt;Bewertung_Stammdaten!J$57,Bewertung_Stammdaten!I$57,IF(AS77&lt;Bewertung_Stammdaten!J$58,Bewertung_Stammdaten!I$58,IF(AS77&lt;Bewertung_Stammdaten!J$59,Bewertung_Stammdaten!I$59,Bewertung_Stammdaten!I$60)))))))))</f>
        <v>#N/A</v>
      </c>
      <c r="AW77" s="43"/>
      <c r="AX77" s="12" t="e">
        <f>VLOOKUP(A77,Dividendenrendite!A$3:R$103,17,FALSE)</f>
        <v>#N/A</v>
      </c>
      <c r="AY77" s="12" t="e">
        <f>VLOOKUP(A77,Dividendenrendite!A$3:R$103,16,FALSE)</f>
        <v>#N/A</v>
      </c>
      <c r="AZ77" s="12" t="e">
        <f>VLOOKUP(A77,Dividendenrendite!A$3:R$103,18,FALSE)</f>
        <v>#N/A</v>
      </c>
      <c r="BA77" s="32" t="e">
        <f>IF(AX77&lt;Bewertung_Stammdaten!B$64,Bewertung_Stammdaten!A$64,IF(AX77&lt;Bewertung_Stammdaten!B$65,Bewertung_Stammdaten!A$65,IF(AX77&lt;Bewertung_Stammdaten!B$66,Bewertung_Stammdaten!A$66,IF(AX77&lt;Bewertung_Stammdaten!B$67,Bewertung_Stammdaten!A$67,IF(AX77&lt;Bewertung_Stammdaten!B$68,Bewertung_Stammdaten!A$68,IF(AX77&lt;Bewertung_Stammdaten!B$69,Bewertung_Stammdaten!A$69,IF(AX77&lt;Bewertung_Stammdaten!B$70,Bewertung_Stammdaten!A$70,IF(AX77&lt;Bewertung_Stammdaten!B$71,Bewertung_Stammdaten!A$71,IF(AX77&lt;Bewertung_Stammdaten!B$72,Bewertung_Stammdaten!A$72,Bewertung_Stammdaten!A$73)))))))))</f>
        <v>#N/A</v>
      </c>
      <c r="BB77" s="32" t="e">
        <f>IF(AY77&lt;Bewertung_Stammdaten!F$64,Bewertung_Stammdaten!E$64,IF(AY77&lt;Bewertung_Stammdaten!F$65,Bewertung_Stammdaten!E$65,IF(AY77&lt;Bewertung_Stammdaten!F$66,Bewertung_Stammdaten!E$66,IF(AY77&lt;Bewertung_Stammdaten!F$67,Bewertung_Stammdaten!E$67,IF(AY77&lt;Bewertung_Stammdaten!F$68,Bewertung_Stammdaten!E$68,IF(AY77&lt;Bewertung_Stammdaten!F$69,Bewertung_Stammdaten!E$69,IF(AY77&lt;Bewertung_Stammdaten!F$70,Bewertung_Stammdaten!E$70,IF(AY77&lt;Bewertung_Stammdaten!F$71,Bewertung_Stammdaten!E$71,IF(AY77&lt;Bewertung_Stammdaten!F$72,Bewertung_Stammdaten!E$72,Bewertung_Stammdaten!E$73)))))))))</f>
        <v>#N/A</v>
      </c>
      <c r="BC77" s="32" t="e">
        <f>IF(AZ77&lt;Bewertung_Stammdaten!J$64,Bewertung_Stammdaten!I$64,IF(AZ77&lt;Bewertung_Stammdaten!J$65,Bewertung_Stammdaten!I$65,IF(AZ77&lt;Bewertung_Stammdaten!J$66,Bewertung_Stammdaten!I$66,IF(AZ77&lt;Bewertung_Stammdaten!J$67,Bewertung_Stammdaten!I$67,IF(AZ77&lt;Bewertung_Stammdaten!J$68,Bewertung_Stammdaten!I$68,IF(AZ77&lt;Bewertung_Stammdaten!J$69,Bewertung_Stammdaten!I$69,IF(AZ77&lt;Bewertung_Stammdaten!J$70,Bewertung_Stammdaten!I$70,IF(AZ77&lt;Bewertung_Stammdaten!J$71,Bewertung_Stammdaten!I$71,IF(AZ77&lt;Bewertung_Stammdaten!J$72,Bewertung_Stammdaten!I$72,Bewertung_Stammdaten!I$73)))))))))</f>
        <v>#N/A</v>
      </c>
      <c r="BD77" s="43"/>
      <c r="BE77" s="12" t="e">
        <f>VLOOKUP(A77,Aktien_im_Umlauf_splitbereinigt!A$3:Z$103,26,FALSE)</f>
        <v>#N/A</v>
      </c>
      <c r="BF77" s="12" t="e">
        <f>VLOOKUP(A77,Aktien_im_Umlauf_splitbereinigt!A$3:Y$103,24,FALSE)</f>
        <v>#N/A</v>
      </c>
      <c r="BG77" s="12" t="e">
        <f>VLOOKUP(A77,Aktien_im_Umlauf_splitbereinigt!A$3:Y$103,25,FALSE)</f>
        <v>#N/A</v>
      </c>
      <c r="BH77" s="41" t="e">
        <f>IF(BE77&lt;Bewertung_Stammdaten!B$77,Bewertung_Stammdaten!A$77,IF(BE77&lt;Bewertung_Stammdaten!B$78,Bewertung_Stammdaten!A$78,IF(BE77&lt;Bewertung_Stammdaten!B$79,Bewertung_Stammdaten!A$79,IF(BE77&lt;Bewertung_Stammdaten!B$80,Bewertung_Stammdaten!A$80,IF(BE77&lt;Bewertung_Stammdaten!B$81,Bewertung_Stammdaten!A$81,IF(BE77&lt;Bewertung_Stammdaten!B$82,Bewertung_Stammdaten!A$82,IF(BE77&lt;Bewertung_Stammdaten!B$83,Bewertung_Stammdaten!A$83,IF(BE77&lt;Bewertung_Stammdaten!B$84,Bewertung_Stammdaten!A$84,IF(BE77&lt;Bewertung_Stammdaten!B$85,Bewertung_Stammdaten!A$85,Bewertung_Stammdaten!A$86)))))))))</f>
        <v>#N/A</v>
      </c>
      <c r="BI77" s="41" t="e">
        <f>IF(BF77&lt;Bewertung_Stammdaten!F$77,Bewertung_Stammdaten!E$77,IF(BF77&lt;Bewertung_Stammdaten!F$78,Bewertung_Stammdaten!E$78,IF(BF77&lt;Bewertung_Stammdaten!F$79,Bewertung_Stammdaten!E$79,IF(BF77&lt;Bewertung_Stammdaten!F$80,Bewertung_Stammdaten!E$80,IF(BF77&lt;Bewertung_Stammdaten!F$81,Bewertung_Stammdaten!E$81,IF(BF77&lt;Bewertung_Stammdaten!F$82,Bewertung_Stammdaten!E$82,IF(BF77&lt;Bewertung_Stammdaten!F$83,Bewertung_Stammdaten!E$83,IF(BF77&lt;Bewertung_Stammdaten!F$84,Bewertung_Stammdaten!E$84,IF(BF77&lt;Bewertung_Stammdaten!F$85,Bewertung_Stammdaten!E$85,Bewertung_Stammdaten!E$86)))))))))</f>
        <v>#N/A</v>
      </c>
      <c r="BJ77" s="41" t="e">
        <f>IF(BG77&lt;Bewertung_Stammdaten!J$77,Bewertung_Stammdaten!I$77,IF(BG77&lt;Bewertung_Stammdaten!J$78,Bewertung_Stammdaten!I$78,IF(BG77&lt;Bewertung_Stammdaten!J$79,Bewertung_Stammdaten!I$79,IF(BG77&lt;Bewertung_Stammdaten!J$80,Bewertung_Stammdaten!I$80,IF(BG77&lt;Bewertung_Stammdaten!J$81,Bewertung_Stammdaten!I$81,IF(BG77&lt;Bewertung_Stammdaten!J$82,Bewertung_Stammdaten!I$82,IF(BG77&lt;Bewertung_Stammdaten!J$83,Bewertung_Stammdaten!I$83,IF(BG77&lt;Bewertung_Stammdaten!J$84,Bewertung_Stammdaten!I$84,IF(BG77&lt;Bewertung_Stammdaten!J$85,Bewertung_Stammdaten!I$85,Bewertung_Stammdaten!I$86)))))))))</f>
        <v>#N/A</v>
      </c>
      <c r="BK77" s="43"/>
      <c r="BL77" s="12" t="e">
        <f>VLOOKUP(A77,Ausschüttungsquote!A$3:X$103,23,FALSE)</f>
        <v>#N/A</v>
      </c>
      <c r="BM77" s="12" t="e">
        <f>VLOOKUP(A77,Ausschüttungsquote!A$3:X$103,19,FALSE)</f>
        <v>#N/A</v>
      </c>
      <c r="BN77" s="12" t="e">
        <f>VLOOKUP(A77,Ausschüttungsquote!A$3:X$103,24,FALSE)</f>
        <v>#N/A</v>
      </c>
      <c r="BO77" s="32" t="e">
        <f>IF(BL77&lt;Bewertung_Stammdaten!B$90,Bewertung_Stammdaten!A$90,IF(BL77&lt;Bewertung_Stammdaten!B$91,Bewertung_Stammdaten!A$91,IF(BL77&lt;Bewertung_Stammdaten!B$92,Bewertung_Stammdaten!A$92,IF(BL77&lt;Bewertung_Stammdaten!B$93,Bewertung_Stammdaten!A$93,IF(BL77&lt;Bewertung_Stammdaten!B$94,Bewertung_Stammdaten!A$94,IF(BL77&lt;Bewertung_Stammdaten!B$95,Bewertung_Stammdaten!A$95,IF(BL77&lt;Bewertung_Stammdaten!B$96,Bewertung_Stammdaten!A$96,IF(BL77&lt;Bewertung_Stammdaten!B$97,Bewertung_Stammdaten!A$97,IF(BL77&lt;Bewertung_Stammdaten!B$98,Bewertung_Stammdaten!A$98,Bewertung_Stammdaten!A$99)))))))))</f>
        <v>#N/A</v>
      </c>
      <c r="BP77" s="41" t="e">
        <f>IF(BM77&lt;Bewertung_Stammdaten!F$90,Bewertung_Stammdaten!E$90,IF(BM77&lt;Bewertung_Stammdaten!F$91,Bewertung_Stammdaten!E$91,IF(BM77&lt;Bewertung_Stammdaten!F$92,Bewertung_Stammdaten!E$92,IF(BM77&lt;Bewertung_Stammdaten!F$93,Bewertung_Stammdaten!E$93,IF(BM77&lt;Bewertung_Stammdaten!F$94,Bewertung_Stammdaten!E$94,IF(BM77&lt;Bewertung_Stammdaten!F$95,Bewertung_Stammdaten!E$95,IF(BM77&lt;Bewertung_Stammdaten!F$96,Bewertung_Stammdaten!E$96,IF(BM77&lt;Bewertung_Stammdaten!F$97,Bewertung_Stammdaten!E$97,IF(BM77&lt;Bewertung_Stammdaten!F$98,Bewertung_Stammdaten!E$98,Bewertung_Stammdaten!E$99)))))))))</f>
        <v>#N/A</v>
      </c>
      <c r="BQ77" s="32" t="e">
        <f>IF(BN77&lt;Bewertung_Stammdaten!J$90,Bewertung_Stammdaten!I$90,IF(BN77&lt;Bewertung_Stammdaten!J$91,Bewertung_Stammdaten!I$91,IF(BN77&lt;Bewertung_Stammdaten!J$92,Bewertung_Stammdaten!I$92,IF(BN77&lt;Bewertung_Stammdaten!J$93,Bewertung_Stammdaten!I$93,IF(BN77&lt;Bewertung_Stammdaten!J$94,Bewertung_Stammdaten!I$94,IF(BN77&lt;Bewertung_Stammdaten!J$95,Bewertung_Stammdaten!I$95,IF(BN77&lt;Bewertung_Stammdaten!J$96,Bewertung_Stammdaten!I$96,IF(BN77&lt;Bewertung_Stammdaten!J$97,Bewertung_Stammdaten!I$97,IF(BN77&lt;Bewertung_Stammdaten!J$98,Bewertung_Stammdaten!I$98,Bewertung_Stammdaten!I$99)))))))))</f>
        <v>#N/A</v>
      </c>
    </row>
    <row r="78" spans="3:69" x14ac:dyDescent="0.25">
      <c r="C78" s="55" t="s">
        <v>297</v>
      </c>
      <c r="D78" s="32" t="e">
        <f t="shared" si="11"/>
        <v>#N/A</v>
      </c>
      <c r="E78" s="43"/>
      <c r="F78" s="66">
        <v>1</v>
      </c>
      <c r="G78" s="11" t="e">
        <f>VLOOKUP(A78,KGV!A$3:R$103,17,FALSE)</f>
        <v>#N/A</v>
      </c>
      <c r="H78" s="11" t="e">
        <f>VLOOKUP(A78,KGV!A$3:R$103,16,FALSE)</f>
        <v>#N/A</v>
      </c>
      <c r="I78" s="12" t="e">
        <f>VLOOKUP(A78,KGV!A$3:R$103,18,FALSE)</f>
        <v>#N/A</v>
      </c>
      <c r="J78" s="16" t="e">
        <f t="shared" si="12"/>
        <v>#N/A</v>
      </c>
      <c r="K78" s="12" t="e">
        <f t="shared" si="13"/>
        <v>#N/A</v>
      </c>
      <c r="L78" s="11" t="e">
        <f>VLOOKUP(A78,KBV!A$3:R$103,17,FALSE)</f>
        <v>#N/A</v>
      </c>
      <c r="M78" s="11" t="e">
        <f>VLOOKUP(A78,KBV!A$3:R$103,16,FALSE)</f>
        <v>#N/A</v>
      </c>
      <c r="N78" s="12" t="e">
        <f>VLOOKUP(A78,KBV!A$3:R$103,18,FALSE)</f>
        <v>#N/A</v>
      </c>
      <c r="O78" s="16" t="e">
        <f t="shared" si="20"/>
        <v>#N/A</v>
      </c>
      <c r="P78" s="12" t="e">
        <f t="shared" si="21"/>
        <v>#N/A</v>
      </c>
      <c r="Q78" s="32" t="e">
        <f>IF(F78=1,IF(I78&lt;Bewertung_Stammdaten!B$12,Bewertung_Stammdaten!A$12,IF(I78&lt;Bewertung_Stammdaten!B$13,Bewertung_Stammdaten!A$13,IF(I78&lt;Bewertung_Stammdaten!B$14,Bewertung_Stammdaten!A$14,IF(I78&lt;Bewertung_Stammdaten!B$15,Bewertung_Stammdaten!A$15,IF(I78&lt;Bewertung_Stammdaten!B$16,Bewertung_Stammdaten!A$16,IF(I78&lt;Bewertung_Stammdaten!B$17,Bewertung_Stammdaten!A$17,IF(I78&lt;Bewertung_Stammdaten!B$18,Bewertung_Stammdaten!A$18,IF(I78&lt;Bewertung_Stammdaten!B$19,Bewertung_Stammdaten!A$19,IF(I78&lt;Bewertung_Stammdaten!B$20,Bewertung_Stammdaten!A$20,Bewertung_Stammdaten!A$21))))))))),IF(N78&lt;Bewertung_Stammdaten!C$12,Bewertung_Stammdaten!A$12,IF(N78&lt;Bewertung_Stammdaten!C$13,Bewertung_Stammdaten!A$13,IF(N78&lt;Bewertung_Stammdaten!C$14,Bewertung_Stammdaten!A$14,IF(N78&lt;Bewertung_Stammdaten!C$15,Bewertung_Stammdaten!A$15,IF(N78&lt;Bewertung_Stammdaten!C$16,Bewertung_Stammdaten!A$16,IF(N78&lt;Bewertung_Stammdaten!C$17,Bewertung_Stammdaten!A$17,IF(N78&lt;Bewertung_Stammdaten!C$18,Bewertung_Stammdaten!A$18,IF(N78&lt;Bewertung_Stammdaten!C$19,Bewertung_Stammdaten!A$19,IF(N78&lt;Bewertung_Stammdaten!C$20,Bewertung_Stammdaten!A$20,Bewertung_Stammdaten!A$21))))))))))</f>
        <v>#N/A</v>
      </c>
      <c r="R78" s="32" t="e">
        <f>IF(F78=1,IF(K78&lt;Bewertung_Stammdaten!F$12,Bewertung_Stammdaten!E$12,IF(K78&lt;Bewertung_Stammdaten!F$13,Bewertung_Stammdaten!E$13,IF(K78&lt;Bewertung_Stammdaten!F$14,Bewertung_Stammdaten!E$14,IF(K78&lt;Bewertung_Stammdaten!F$15,Bewertung_Stammdaten!E$15,IF(K78&lt;Bewertung_Stammdaten!F$16,Bewertung_Stammdaten!E$16,IF(K78&lt;Bewertung_Stammdaten!F$17,Bewertung_Stammdaten!E$17,IF(K78&lt;Bewertung_Stammdaten!F$18,Bewertung_Stammdaten!E$18,IF(K78&lt;Bewertung_Stammdaten!F$19,Bewertung_Stammdaten!E$19,IF(K78&lt;Bewertung_Stammdaten!F$20,Bewertung_Stammdaten!E$20,Bewertung_Stammdaten!E$21))))))))),IF(P78&lt;Bewertung_Stammdaten!G$12,Bewertung_Stammdaten!E$12,IF(P78&lt;Bewertung_Stammdaten!G$13,Bewertung_Stammdaten!E$13,IF(P78&lt;Bewertung_Stammdaten!G$14,Bewertung_Stammdaten!E$14,IF(P78&lt;Bewertung_Stammdaten!G$15,Bewertung_Stammdaten!E$15,IF(P78&lt;Bewertung_Stammdaten!G$16,Bewertung_Stammdaten!E$16,IF(P78&lt;Bewertung_Stammdaten!G$17,Bewertung_Stammdaten!E$17,IF(P78&lt;Bewertung_Stammdaten!G$18,Bewertung_Stammdaten!E$18,IF(P78&lt;Bewertung_Stammdaten!G$19,Bewertung_Stammdaten!E$19,IF(P78&lt;Bewertung_Stammdaten!G$20,Bewertung_Stammdaten!E$20,Bewertung_Stammdaten!E$21))))))))))</f>
        <v>#N/A</v>
      </c>
      <c r="S78" s="43"/>
      <c r="T78" s="11" t="e">
        <f>VLOOKUP(A78,Buchwert_je_Aktie!A$3:AK$103,23,FALSE)</f>
        <v>#N/A</v>
      </c>
      <c r="U78" s="11" t="e">
        <f>VLOOKUP(A78,Buchwert_je_Aktie!A$3:AK$103,19,FALSE)</f>
        <v>#N/A</v>
      </c>
      <c r="V78" s="12" t="e">
        <f>VLOOKUP(A78,Buchwert_je_Aktie!A$3:AK$103,24,FALSE)</f>
        <v>#N/A</v>
      </c>
      <c r="W78" s="12" t="e">
        <f>VLOOKUP(A78,Buchwert_je_Aktie!A$3:AK$103,37,FALSE)</f>
        <v>#N/A</v>
      </c>
      <c r="X78" s="16" t="e">
        <f t="shared" si="14"/>
        <v>#N/A</v>
      </c>
      <c r="Y78" s="12" t="e">
        <f t="shared" si="15"/>
        <v>#N/A</v>
      </c>
      <c r="Z78" s="51" t="e">
        <f>IF(V78&lt;Bewertung_Stammdaten!B$25,Bewertung_Stammdaten!A$25,IF(V78&lt;Bewertung_Stammdaten!B$26,Bewertung_Stammdaten!A$26,IF(V78&lt;Bewertung_Stammdaten!B$27,Bewertung_Stammdaten!A$27,IF(V78&lt;Bewertung_Stammdaten!B$28,Bewertung_Stammdaten!A$28,IF(V78&lt;Bewertung_Stammdaten!B$29,Bewertung_Stammdaten!A$29,IF(V78&lt;Bewertung_Stammdaten!B$30,Bewertung_Stammdaten!A$30,IF(V78&lt;Bewertung_Stammdaten!B$31,Bewertung_Stammdaten!A$31,IF(V78&lt;Bewertung_Stammdaten!B$32,Bewertung_Stammdaten!A$32,IF(V78&lt;Bewertung_Stammdaten!B$33,Bewertung_Stammdaten!A$33,Bewertung_Stammdaten!A$34)))))))))</f>
        <v>#N/A</v>
      </c>
      <c r="AA78" s="51" t="e">
        <f>IF(W78&lt;Bewertung_Stammdaten!F$25,Bewertung_Stammdaten!E$25,IF(W78&lt;Bewertung_Stammdaten!F$26,Bewertung_Stammdaten!E$26,IF(W78&lt;Bewertung_Stammdaten!F$27,Bewertung_Stammdaten!E$27,IF(W78&lt;Bewertung_Stammdaten!F$28,Bewertung_Stammdaten!E$28,IF(W78&lt;Bewertung_Stammdaten!F$29,Bewertung_Stammdaten!E$29,IF(W78&lt;Bewertung_Stammdaten!F$30,Bewertung_Stammdaten!E$30,IF(W78&lt;Bewertung_Stammdaten!F$31,Bewertung_Stammdaten!E$31,IF(W78&lt;Bewertung_Stammdaten!F$32,Bewertung_Stammdaten!E$32,IF(W78&lt;Bewertung_Stammdaten!F$33,Bewertung_Stammdaten!E$33,Bewertung_Stammdaten!E$34)))))))))</f>
        <v>#N/A</v>
      </c>
      <c r="AB78" s="51" t="e">
        <f>IF(Y78&lt;Bewertung_Stammdaten!J$25,Bewertung_Stammdaten!I$25,IF(Y78&lt;Bewertung_Stammdaten!J$26,Bewertung_Stammdaten!I$26,IF(Y78&lt;Bewertung_Stammdaten!J$27,Bewertung_Stammdaten!I$27,IF(Y78&lt;Bewertung_Stammdaten!J$28,Bewertung_Stammdaten!I$28,IF(Y78&lt;Bewertung_Stammdaten!J$29,Bewertung_Stammdaten!I$29,IF(Y78&lt;Bewertung_Stammdaten!J$30,Bewertung_Stammdaten!I$30,IF(Y78&lt;Bewertung_Stammdaten!J$31,Bewertung_Stammdaten!I$31,IF(Y78&lt;Bewertung_Stammdaten!J$32,Bewertung_Stammdaten!I$32,IF(Y78&lt;Bewertung_Stammdaten!J$33,Bewertung_Stammdaten!I$33,Bewertung_Stammdaten!I$34)))))))))</f>
        <v>#N/A</v>
      </c>
      <c r="AC78" s="43"/>
      <c r="AD78" s="14" t="e">
        <f>VLOOKUP(A78,Ergebnis_je_Aktie_verwässert!A$3:AK$103,23,FALSE)</f>
        <v>#N/A</v>
      </c>
      <c r="AE78" s="14" t="e">
        <f>VLOOKUP(A78,Ergebnis_je_Aktie_verwässert!A$3:AK$103,19,FALSE)</f>
        <v>#N/A</v>
      </c>
      <c r="AF78" s="12" t="e">
        <f>VLOOKUP(A78,Ergebnis_je_Aktie_verwässert!A$3:AK$103,24,FALSE)</f>
        <v>#N/A</v>
      </c>
      <c r="AG78" s="40" t="e">
        <f>VLOOKUP(A78,Ergebnis_je_Aktie_verwässert!A$3:AK$103,37,FALSE)</f>
        <v>#N/A</v>
      </c>
      <c r="AH78" s="16" t="e">
        <f t="shared" si="16"/>
        <v>#N/A</v>
      </c>
      <c r="AI78" s="12" t="e">
        <f t="shared" si="17"/>
        <v>#N/A</v>
      </c>
      <c r="AJ78" s="32" t="e">
        <f>IF(AF78&lt;Bewertung_Stammdaten!B$38,Bewertung_Stammdaten!A$38,IF(AF78&lt;Bewertung_Stammdaten!B$39,Bewertung_Stammdaten!A$39,IF(AF78&lt;Bewertung_Stammdaten!B$40,Bewertung_Stammdaten!A$40,IF(AF78&lt;Bewertung_Stammdaten!B$41,Bewertung_Stammdaten!A$41,IF(AF78&lt;Bewertung_Stammdaten!B$42,Bewertung_Stammdaten!A$42,IF(AF78&lt;Bewertung_Stammdaten!B$43,Bewertung_Stammdaten!A$43,IF(AF78&lt;Bewertung_Stammdaten!B$44,Bewertung_Stammdaten!A$44,IF(AF78&lt;Bewertung_Stammdaten!B$45,Bewertung_Stammdaten!A$45,IF(AF78&lt;Bewertung_Stammdaten!B$46,Bewertung_Stammdaten!A$46,Bewertung_Stammdaten!A$47)))))))))</f>
        <v>#N/A</v>
      </c>
      <c r="AK78" s="32" t="e">
        <f>IF(AG78&lt;Bewertung_Stammdaten!F$38,Bewertung_Stammdaten!E$38,IF(AG78&lt;Bewertung_Stammdaten!F$39,Bewertung_Stammdaten!E$39,IF(AG78&lt;Bewertung_Stammdaten!F$40,Bewertung_Stammdaten!E$40,IF(AG78&lt;Bewertung_Stammdaten!F$41,Bewertung_Stammdaten!E$41,IF(AG78&lt;Bewertung_Stammdaten!F$42,Bewertung_Stammdaten!E$42,IF(AG78&lt;Bewertung_Stammdaten!F$43,Bewertung_Stammdaten!E$43,IF(AG78&lt;Bewertung_Stammdaten!F$44,Bewertung_Stammdaten!E$44,IF(AG78&lt;Bewertung_Stammdaten!F$45,Bewertung_Stammdaten!E$45,IF(AG78&lt;Bewertung_Stammdaten!F$46,Bewertung_Stammdaten!E$46,Bewertung_Stammdaten!E$47)))))))))</f>
        <v>#N/A</v>
      </c>
      <c r="AL78" s="32" t="e">
        <f>IF(AI78&lt;Bewertung_Stammdaten!J$38,Bewertung_Stammdaten!I$38,IF(AI78&lt;Bewertung_Stammdaten!J$39,Bewertung_Stammdaten!I$39,IF(AI78&lt;Bewertung_Stammdaten!J$40,Bewertung_Stammdaten!I$40,IF(AI78&lt;Bewertung_Stammdaten!J$41,Bewertung_Stammdaten!I$41,IF(AI78&lt;Bewertung_Stammdaten!J$42,Bewertung_Stammdaten!I$42,IF(AI78&lt;Bewertung_Stammdaten!J$43,Bewertung_Stammdaten!I$43,IF(AI78&lt;Bewertung_Stammdaten!J$44,Bewertung_Stammdaten!I$44,IF(AI78&lt;Bewertung_Stammdaten!J$45,Bewertung_Stammdaten!I$45,IF(AI78&lt;Bewertung_Stammdaten!J$46,Bewertung_Stammdaten!I$46,Bewertung_Stammdaten!I$47)))))))))</f>
        <v>#N/A</v>
      </c>
      <c r="AM78" s="43"/>
      <c r="AN78" s="14" t="e">
        <f>VLOOKUP(A78,Dividende_je_Aktie!A$3:AM$103,24,FALSE)</f>
        <v>#N/A</v>
      </c>
      <c r="AO78" s="14" t="e">
        <f>VLOOKUP(A78,Dividende_je_Aktie!A$3:AM$103,20,FALSE)</f>
        <v>#N/A</v>
      </c>
      <c r="AP78" s="12" t="e">
        <f>VLOOKUP(A78,Dividende_je_Aktie!A$3:AM$103,25,FALSE)</f>
        <v>#N/A</v>
      </c>
      <c r="AQ78" s="40" t="e">
        <f>VLOOKUP(A78,Dividende_je_Aktie!A$3:AM$103,39,FALSE)</f>
        <v>#N/A</v>
      </c>
      <c r="AR78" s="16" t="e">
        <f t="shared" si="18"/>
        <v>#N/A</v>
      </c>
      <c r="AS78" s="12" t="e">
        <f t="shared" si="19"/>
        <v>#N/A</v>
      </c>
      <c r="AT78" s="32" t="e">
        <f>IF(AP78&lt;Bewertung_Stammdaten!B$51,Bewertung_Stammdaten!A$51,IF(AP78&lt;Bewertung_Stammdaten!B$52,Bewertung_Stammdaten!A$52,IF(AP78&lt;Bewertung_Stammdaten!B$53,Bewertung_Stammdaten!A$53,IF(AP78&lt;Bewertung_Stammdaten!B$54,Bewertung_Stammdaten!A$54,IF(AP78&lt;Bewertung_Stammdaten!B$55,Bewertung_Stammdaten!A$55,IF(AP78&lt;Bewertung_Stammdaten!B$56,Bewertung_Stammdaten!A$56,IF(AP78&lt;Bewertung_Stammdaten!B$57,Bewertung_Stammdaten!A$57,IF(AP78&lt;Bewertung_Stammdaten!B$58,Bewertung_Stammdaten!A$58,IF(AP78&lt;Bewertung_Stammdaten!B$59,Bewertung_Stammdaten!A$59,Bewertung_Stammdaten!A$60)))))))))</f>
        <v>#N/A</v>
      </c>
      <c r="AU78" s="32" t="e">
        <f>IF(AQ78&lt;Bewertung_Stammdaten!F$51,Bewertung_Stammdaten!E$51,IF(AQ78&lt;Bewertung_Stammdaten!F$52,Bewertung_Stammdaten!E$52,IF(AQ78&lt;Bewertung_Stammdaten!F$53,Bewertung_Stammdaten!E$53,IF(AQ78&lt;Bewertung_Stammdaten!F$54,Bewertung_Stammdaten!E$54,IF(AQ78&lt;Bewertung_Stammdaten!F$55,Bewertung_Stammdaten!E$55,IF(AQ78&lt;Bewertung_Stammdaten!F$56,Bewertung_Stammdaten!E$56,IF(AQ78&lt;Bewertung_Stammdaten!F$57,Bewertung_Stammdaten!E$57,IF(AQ78&lt;Bewertung_Stammdaten!F$58,Bewertung_Stammdaten!E$58,IF(AQ78&lt;Bewertung_Stammdaten!F$59,Bewertung_Stammdaten!E$59,Bewertung_Stammdaten!E$60)))))))))</f>
        <v>#N/A</v>
      </c>
      <c r="AV78" s="32" t="e">
        <f>IF(AS78&lt;Bewertung_Stammdaten!J$51,Bewertung_Stammdaten!I$51,IF(AS78&lt;Bewertung_Stammdaten!J$52,Bewertung_Stammdaten!I$52,IF(AS78&lt;Bewertung_Stammdaten!J$53,Bewertung_Stammdaten!I$53,IF(AS78&lt;Bewertung_Stammdaten!J$54,Bewertung_Stammdaten!I$54,IF(AS78&lt;Bewertung_Stammdaten!J$55,Bewertung_Stammdaten!I$55,IF(AS78&lt;Bewertung_Stammdaten!J$56,Bewertung_Stammdaten!I$56,IF(AS78&lt;Bewertung_Stammdaten!J$57,Bewertung_Stammdaten!I$57,IF(AS78&lt;Bewertung_Stammdaten!J$58,Bewertung_Stammdaten!I$58,IF(AS78&lt;Bewertung_Stammdaten!J$59,Bewertung_Stammdaten!I$59,Bewertung_Stammdaten!I$60)))))))))</f>
        <v>#N/A</v>
      </c>
      <c r="AW78" s="43"/>
      <c r="AX78" s="12" t="e">
        <f>VLOOKUP(A78,Dividendenrendite!A$3:R$103,17,FALSE)</f>
        <v>#N/A</v>
      </c>
      <c r="AY78" s="12" t="e">
        <f>VLOOKUP(A78,Dividendenrendite!A$3:R$103,16,FALSE)</f>
        <v>#N/A</v>
      </c>
      <c r="AZ78" s="12" t="e">
        <f>VLOOKUP(A78,Dividendenrendite!A$3:R$103,18,FALSE)</f>
        <v>#N/A</v>
      </c>
      <c r="BA78" s="32" t="e">
        <f>IF(AX78&lt;Bewertung_Stammdaten!B$64,Bewertung_Stammdaten!A$64,IF(AX78&lt;Bewertung_Stammdaten!B$65,Bewertung_Stammdaten!A$65,IF(AX78&lt;Bewertung_Stammdaten!B$66,Bewertung_Stammdaten!A$66,IF(AX78&lt;Bewertung_Stammdaten!B$67,Bewertung_Stammdaten!A$67,IF(AX78&lt;Bewertung_Stammdaten!B$68,Bewertung_Stammdaten!A$68,IF(AX78&lt;Bewertung_Stammdaten!B$69,Bewertung_Stammdaten!A$69,IF(AX78&lt;Bewertung_Stammdaten!B$70,Bewertung_Stammdaten!A$70,IF(AX78&lt;Bewertung_Stammdaten!B$71,Bewertung_Stammdaten!A$71,IF(AX78&lt;Bewertung_Stammdaten!B$72,Bewertung_Stammdaten!A$72,Bewertung_Stammdaten!A$73)))))))))</f>
        <v>#N/A</v>
      </c>
      <c r="BB78" s="32" t="e">
        <f>IF(AY78&lt;Bewertung_Stammdaten!F$64,Bewertung_Stammdaten!E$64,IF(AY78&lt;Bewertung_Stammdaten!F$65,Bewertung_Stammdaten!E$65,IF(AY78&lt;Bewertung_Stammdaten!F$66,Bewertung_Stammdaten!E$66,IF(AY78&lt;Bewertung_Stammdaten!F$67,Bewertung_Stammdaten!E$67,IF(AY78&lt;Bewertung_Stammdaten!F$68,Bewertung_Stammdaten!E$68,IF(AY78&lt;Bewertung_Stammdaten!F$69,Bewertung_Stammdaten!E$69,IF(AY78&lt;Bewertung_Stammdaten!F$70,Bewertung_Stammdaten!E$70,IF(AY78&lt;Bewertung_Stammdaten!F$71,Bewertung_Stammdaten!E$71,IF(AY78&lt;Bewertung_Stammdaten!F$72,Bewertung_Stammdaten!E$72,Bewertung_Stammdaten!E$73)))))))))</f>
        <v>#N/A</v>
      </c>
      <c r="BC78" s="32" t="e">
        <f>IF(AZ78&lt;Bewertung_Stammdaten!J$64,Bewertung_Stammdaten!I$64,IF(AZ78&lt;Bewertung_Stammdaten!J$65,Bewertung_Stammdaten!I$65,IF(AZ78&lt;Bewertung_Stammdaten!J$66,Bewertung_Stammdaten!I$66,IF(AZ78&lt;Bewertung_Stammdaten!J$67,Bewertung_Stammdaten!I$67,IF(AZ78&lt;Bewertung_Stammdaten!J$68,Bewertung_Stammdaten!I$68,IF(AZ78&lt;Bewertung_Stammdaten!J$69,Bewertung_Stammdaten!I$69,IF(AZ78&lt;Bewertung_Stammdaten!J$70,Bewertung_Stammdaten!I$70,IF(AZ78&lt;Bewertung_Stammdaten!J$71,Bewertung_Stammdaten!I$71,IF(AZ78&lt;Bewertung_Stammdaten!J$72,Bewertung_Stammdaten!I$72,Bewertung_Stammdaten!I$73)))))))))</f>
        <v>#N/A</v>
      </c>
      <c r="BD78" s="43"/>
      <c r="BE78" s="12" t="e">
        <f>VLOOKUP(A78,Aktien_im_Umlauf_splitbereinigt!A$3:Z$103,26,FALSE)</f>
        <v>#N/A</v>
      </c>
      <c r="BF78" s="12" t="e">
        <f>VLOOKUP(A78,Aktien_im_Umlauf_splitbereinigt!A$3:Y$103,24,FALSE)</f>
        <v>#N/A</v>
      </c>
      <c r="BG78" s="12" t="e">
        <f>VLOOKUP(A78,Aktien_im_Umlauf_splitbereinigt!A$3:Y$103,25,FALSE)</f>
        <v>#N/A</v>
      </c>
      <c r="BH78" s="41" t="e">
        <f>IF(BE78&lt;Bewertung_Stammdaten!B$77,Bewertung_Stammdaten!A$77,IF(BE78&lt;Bewertung_Stammdaten!B$78,Bewertung_Stammdaten!A$78,IF(BE78&lt;Bewertung_Stammdaten!B$79,Bewertung_Stammdaten!A$79,IF(BE78&lt;Bewertung_Stammdaten!B$80,Bewertung_Stammdaten!A$80,IF(BE78&lt;Bewertung_Stammdaten!B$81,Bewertung_Stammdaten!A$81,IF(BE78&lt;Bewertung_Stammdaten!B$82,Bewertung_Stammdaten!A$82,IF(BE78&lt;Bewertung_Stammdaten!B$83,Bewertung_Stammdaten!A$83,IF(BE78&lt;Bewertung_Stammdaten!B$84,Bewertung_Stammdaten!A$84,IF(BE78&lt;Bewertung_Stammdaten!B$85,Bewertung_Stammdaten!A$85,Bewertung_Stammdaten!A$86)))))))))</f>
        <v>#N/A</v>
      </c>
      <c r="BI78" s="41" t="e">
        <f>IF(BF78&lt;Bewertung_Stammdaten!F$77,Bewertung_Stammdaten!E$77,IF(BF78&lt;Bewertung_Stammdaten!F$78,Bewertung_Stammdaten!E$78,IF(BF78&lt;Bewertung_Stammdaten!F$79,Bewertung_Stammdaten!E$79,IF(BF78&lt;Bewertung_Stammdaten!F$80,Bewertung_Stammdaten!E$80,IF(BF78&lt;Bewertung_Stammdaten!F$81,Bewertung_Stammdaten!E$81,IF(BF78&lt;Bewertung_Stammdaten!F$82,Bewertung_Stammdaten!E$82,IF(BF78&lt;Bewertung_Stammdaten!F$83,Bewertung_Stammdaten!E$83,IF(BF78&lt;Bewertung_Stammdaten!F$84,Bewertung_Stammdaten!E$84,IF(BF78&lt;Bewertung_Stammdaten!F$85,Bewertung_Stammdaten!E$85,Bewertung_Stammdaten!E$86)))))))))</f>
        <v>#N/A</v>
      </c>
      <c r="BJ78" s="41" t="e">
        <f>IF(BG78&lt;Bewertung_Stammdaten!J$77,Bewertung_Stammdaten!I$77,IF(BG78&lt;Bewertung_Stammdaten!J$78,Bewertung_Stammdaten!I$78,IF(BG78&lt;Bewertung_Stammdaten!J$79,Bewertung_Stammdaten!I$79,IF(BG78&lt;Bewertung_Stammdaten!J$80,Bewertung_Stammdaten!I$80,IF(BG78&lt;Bewertung_Stammdaten!J$81,Bewertung_Stammdaten!I$81,IF(BG78&lt;Bewertung_Stammdaten!J$82,Bewertung_Stammdaten!I$82,IF(BG78&lt;Bewertung_Stammdaten!J$83,Bewertung_Stammdaten!I$83,IF(BG78&lt;Bewertung_Stammdaten!J$84,Bewertung_Stammdaten!I$84,IF(BG78&lt;Bewertung_Stammdaten!J$85,Bewertung_Stammdaten!I$85,Bewertung_Stammdaten!I$86)))))))))</f>
        <v>#N/A</v>
      </c>
      <c r="BK78" s="43"/>
      <c r="BL78" s="12" t="e">
        <f>VLOOKUP(A78,Ausschüttungsquote!A$3:X$103,23,FALSE)</f>
        <v>#N/A</v>
      </c>
      <c r="BM78" s="12" t="e">
        <f>VLOOKUP(A78,Ausschüttungsquote!A$3:X$103,19,FALSE)</f>
        <v>#N/A</v>
      </c>
      <c r="BN78" s="12" t="e">
        <f>VLOOKUP(A78,Ausschüttungsquote!A$3:X$103,24,FALSE)</f>
        <v>#N/A</v>
      </c>
      <c r="BO78" s="32" t="e">
        <f>IF(BL78&lt;Bewertung_Stammdaten!B$90,Bewertung_Stammdaten!A$90,IF(BL78&lt;Bewertung_Stammdaten!B$91,Bewertung_Stammdaten!A$91,IF(BL78&lt;Bewertung_Stammdaten!B$92,Bewertung_Stammdaten!A$92,IF(BL78&lt;Bewertung_Stammdaten!B$93,Bewertung_Stammdaten!A$93,IF(BL78&lt;Bewertung_Stammdaten!B$94,Bewertung_Stammdaten!A$94,IF(BL78&lt;Bewertung_Stammdaten!B$95,Bewertung_Stammdaten!A$95,IF(BL78&lt;Bewertung_Stammdaten!B$96,Bewertung_Stammdaten!A$96,IF(BL78&lt;Bewertung_Stammdaten!B$97,Bewertung_Stammdaten!A$97,IF(BL78&lt;Bewertung_Stammdaten!B$98,Bewertung_Stammdaten!A$98,Bewertung_Stammdaten!A$99)))))))))</f>
        <v>#N/A</v>
      </c>
      <c r="BP78" s="41" t="e">
        <f>IF(BM78&lt;Bewertung_Stammdaten!F$90,Bewertung_Stammdaten!E$90,IF(BM78&lt;Bewertung_Stammdaten!F$91,Bewertung_Stammdaten!E$91,IF(BM78&lt;Bewertung_Stammdaten!F$92,Bewertung_Stammdaten!E$92,IF(BM78&lt;Bewertung_Stammdaten!F$93,Bewertung_Stammdaten!E$93,IF(BM78&lt;Bewertung_Stammdaten!F$94,Bewertung_Stammdaten!E$94,IF(BM78&lt;Bewertung_Stammdaten!F$95,Bewertung_Stammdaten!E$95,IF(BM78&lt;Bewertung_Stammdaten!F$96,Bewertung_Stammdaten!E$96,IF(BM78&lt;Bewertung_Stammdaten!F$97,Bewertung_Stammdaten!E$97,IF(BM78&lt;Bewertung_Stammdaten!F$98,Bewertung_Stammdaten!E$98,Bewertung_Stammdaten!E$99)))))))))</f>
        <v>#N/A</v>
      </c>
      <c r="BQ78" s="32" t="e">
        <f>IF(BN78&lt;Bewertung_Stammdaten!J$90,Bewertung_Stammdaten!I$90,IF(BN78&lt;Bewertung_Stammdaten!J$91,Bewertung_Stammdaten!I$91,IF(BN78&lt;Bewertung_Stammdaten!J$92,Bewertung_Stammdaten!I$92,IF(BN78&lt;Bewertung_Stammdaten!J$93,Bewertung_Stammdaten!I$93,IF(BN78&lt;Bewertung_Stammdaten!J$94,Bewertung_Stammdaten!I$94,IF(BN78&lt;Bewertung_Stammdaten!J$95,Bewertung_Stammdaten!I$95,IF(BN78&lt;Bewertung_Stammdaten!J$96,Bewertung_Stammdaten!I$96,IF(BN78&lt;Bewertung_Stammdaten!J$97,Bewertung_Stammdaten!I$97,IF(BN78&lt;Bewertung_Stammdaten!J$98,Bewertung_Stammdaten!I$98,Bewertung_Stammdaten!I$99)))))))))</f>
        <v>#N/A</v>
      </c>
    </row>
    <row r="79" spans="3:69" x14ac:dyDescent="0.25">
      <c r="C79" s="55" t="s">
        <v>297</v>
      </c>
      <c r="D79" s="32" t="e">
        <f t="shared" si="11"/>
        <v>#N/A</v>
      </c>
      <c r="E79" s="43"/>
      <c r="F79" s="66">
        <v>1</v>
      </c>
      <c r="G79" s="11" t="e">
        <f>VLOOKUP(A79,KGV!A$3:R$103,17,FALSE)</f>
        <v>#N/A</v>
      </c>
      <c r="H79" s="11" t="e">
        <f>VLOOKUP(A79,KGV!A$3:R$103,16,FALSE)</f>
        <v>#N/A</v>
      </c>
      <c r="I79" s="12" t="e">
        <f>VLOOKUP(A79,KGV!A$3:R$103,18,FALSE)</f>
        <v>#N/A</v>
      </c>
      <c r="J79" s="16" t="e">
        <f t="shared" si="12"/>
        <v>#N/A</v>
      </c>
      <c r="K79" s="12" t="e">
        <f t="shared" si="13"/>
        <v>#N/A</v>
      </c>
      <c r="L79" s="11" t="e">
        <f>VLOOKUP(A79,KBV!A$3:R$103,17,FALSE)</f>
        <v>#N/A</v>
      </c>
      <c r="M79" s="11" t="e">
        <f>VLOOKUP(A79,KBV!A$3:R$103,16,FALSE)</f>
        <v>#N/A</v>
      </c>
      <c r="N79" s="12" t="e">
        <f>VLOOKUP(A79,KBV!A$3:R$103,18,FALSE)</f>
        <v>#N/A</v>
      </c>
      <c r="O79" s="16" t="e">
        <f t="shared" si="20"/>
        <v>#N/A</v>
      </c>
      <c r="P79" s="12" t="e">
        <f t="shared" si="21"/>
        <v>#N/A</v>
      </c>
      <c r="Q79" s="32" t="e">
        <f>IF(F79=1,IF(I79&lt;Bewertung_Stammdaten!B$12,Bewertung_Stammdaten!A$12,IF(I79&lt;Bewertung_Stammdaten!B$13,Bewertung_Stammdaten!A$13,IF(I79&lt;Bewertung_Stammdaten!B$14,Bewertung_Stammdaten!A$14,IF(I79&lt;Bewertung_Stammdaten!B$15,Bewertung_Stammdaten!A$15,IF(I79&lt;Bewertung_Stammdaten!B$16,Bewertung_Stammdaten!A$16,IF(I79&lt;Bewertung_Stammdaten!B$17,Bewertung_Stammdaten!A$17,IF(I79&lt;Bewertung_Stammdaten!B$18,Bewertung_Stammdaten!A$18,IF(I79&lt;Bewertung_Stammdaten!B$19,Bewertung_Stammdaten!A$19,IF(I79&lt;Bewertung_Stammdaten!B$20,Bewertung_Stammdaten!A$20,Bewertung_Stammdaten!A$21))))))))),IF(N79&lt;Bewertung_Stammdaten!C$12,Bewertung_Stammdaten!A$12,IF(N79&lt;Bewertung_Stammdaten!C$13,Bewertung_Stammdaten!A$13,IF(N79&lt;Bewertung_Stammdaten!C$14,Bewertung_Stammdaten!A$14,IF(N79&lt;Bewertung_Stammdaten!C$15,Bewertung_Stammdaten!A$15,IF(N79&lt;Bewertung_Stammdaten!C$16,Bewertung_Stammdaten!A$16,IF(N79&lt;Bewertung_Stammdaten!C$17,Bewertung_Stammdaten!A$17,IF(N79&lt;Bewertung_Stammdaten!C$18,Bewertung_Stammdaten!A$18,IF(N79&lt;Bewertung_Stammdaten!C$19,Bewertung_Stammdaten!A$19,IF(N79&lt;Bewertung_Stammdaten!C$20,Bewertung_Stammdaten!A$20,Bewertung_Stammdaten!A$21))))))))))</f>
        <v>#N/A</v>
      </c>
      <c r="R79" s="32" t="e">
        <f>IF(F79=1,IF(K79&lt;Bewertung_Stammdaten!F$12,Bewertung_Stammdaten!E$12,IF(K79&lt;Bewertung_Stammdaten!F$13,Bewertung_Stammdaten!E$13,IF(K79&lt;Bewertung_Stammdaten!F$14,Bewertung_Stammdaten!E$14,IF(K79&lt;Bewertung_Stammdaten!F$15,Bewertung_Stammdaten!E$15,IF(K79&lt;Bewertung_Stammdaten!F$16,Bewertung_Stammdaten!E$16,IF(K79&lt;Bewertung_Stammdaten!F$17,Bewertung_Stammdaten!E$17,IF(K79&lt;Bewertung_Stammdaten!F$18,Bewertung_Stammdaten!E$18,IF(K79&lt;Bewertung_Stammdaten!F$19,Bewertung_Stammdaten!E$19,IF(K79&lt;Bewertung_Stammdaten!F$20,Bewertung_Stammdaten!E$20,Bewertung_Stammdaten!E$21))))))))),IF(P79&lt;Bewertung_Stammdaten!G$12,Bewertung_Stammdaten!E$12,IF(P79&lt;Bewertung_Stammdaten!G$13,Bewertung_Stammdaten!E$13,IF(P79&lt;Bewertung_Stammdaten!G$14,Bewertung_Stammdaten!E$14,IF(P79&lt;Bewertung_Stammdaten!G$15,Bewertung_Stammdaten!E$15,IF(P79&lt;Bewertung_Stammdaten!G$16,Bewertung_Stammdaten!E$16,IF(P79&lt;Bewertung_Stammdaten!G$17,Bewertung_Stammdaten!E$17,IF(P79&lt;Bewertung_Stammdaten!G$18,Bewertung_Stammdaten!E$18,IF(P79&lt;Bewertung_Stammdaten!G$19,Bewertung_Stammdaten!E$19,IF(P79&lt;Bewertung_Stammdaten!G$20,Bewertung_Stammdaten!E$20,Bewertung_Stammdaten!E$21))))))))))</f>
        <v>#N/A</v>
      </c>
      <c r="S79" s="43"/>
      <c r="T79" s="11" t="e">
        <f>VLOOKUP(A79,Buchwert_je_Aktie!A$3:AK$103,23,FALSE)</f>
        <v>#N/A</v>
      </c>
      <c r="U79" s="11" t="e">
        <f>VLOOKUP(A79,Buchwert_je_Aktie!A$3:AK$103,19,FALSE)</f>
        <v>#N/A</v>
      </c>
      <c r="V79" s="12" t="e">
        <f>VLOOKUP(A79,Buchwert_je_Aktie!A$3:AK$103,24,FALSE)</f>
        <v>#N/A</v>
      </c>
      <c r="W79" s="12" t="e">
        <f>VLOOKUP(A79,Buchwert_je_Aktie!A$3:AK$103,37,FALSE)</f>
        <v>#N/A</v>
      </c>
      <c r="X79" s="16" t="e">
        <f t="shared" si="14"/>
        <v>#N/A</v>
      </c>
      <c r="Y79" s="12" t="e">
        <f t="shared" si="15"/>
        <v>#N/A</v>
      </c>
      <c r="Z79" s="51" t="e">
        <f>IF(V79&lt;Bewertung_Stammdaten!B$25,Bewertung_Stammdaten!A$25,IF(V79&lt;Bewertung_Stammdaten!B$26,Bewertung_Stammdaten!A$26,IF(V79&lt;Bewertung_Stammdaten!B$27,Bewertung_Stammdaten!A$27,IF(V79&lt;Bewertung_Stammdaten!B$28,Bewertung_Stammdaten!A$28,IF(V79&lt;Bewertung_Stammdaten!B$29,Bewertung_Stammdaten!A$29,IF(V79&lt;Bewertung_Stammdaten!B$30,Bewertung_Stammdaten!A$30,IF(V79&lt;Bewertung_Stammdaten!B$31,Bewertung_Stammdaten!A$31,IF(V79&lt;Bewertung_Stammdaten!B$32,Bewertung_Stammdaten!A$32,IF(V79&lt;Bewertung_Stammdaten!B$33,Bewertung_Stammdaten!A$33,Bewertung_Stammdaten!A$34)))))))))</f>
        <v>#N/A</v>
      </c>
      <c r="AA79" s="51" t="e">
        <f>IF(W79&lt;Bewertung_Stammdaten!F$25,Bewertung_Stammdaten!E$25,IF(W79&lt;Bewertung_Stammdaten!F$26,Bewertung_Stammdaten!E$26,IF(W79&lt;Bewertung_Stammdaten!F$27,Bewertung_Stammdaten!E$27,IF(W79&lt;Bewertung_Stammdaten!F$28,Bewertung_Stammdaten!E$28,IF(W79&lt;Bewertung_Stammdaten!F$29,Bewertung_Stammdaten!E$29,IF(W79&lt;Bewertung_Stammdaten!F$30,Bewertung_Stammdaten!E$30,IF(W79&lt;Bewertung_Stammdaten!F$31,Bewertung_Stammdaten!E$31,IF(W79&lt;Bewertung_Stammdaten!F$32,Bewertung_Stammdaten!E$32,IF(W79&lt;Bewertung_Stammdaten!F$33,Bewertung_Stammdaten!E$33,Bewertung_Stammdaten!E$34)))))))))</f>
        <v>#N/A</v>
      </c>
      <c r="AB79" s="51" t="e">
        <f>IF(Y79&lt;Bewertung_Stammdaten!J$25,Bewertung_Stammdaten!I$25,IF(Y79&lt;Bewertung_Stammdaten!J$26,Bewertung_Stammdaten!I$26,IF(Y79&lt;Bewertung_Stammdaten!J$27,Bewertung_Stammdaten!I$27,IF(Y79&lt;Bewertung_Stammdaten!J$28,Bewertung_Stammdaten!I$28,IF(Y79&lt;Bewertung_Stammdaten!J$29,Bewertung_Stammdaten!I$29,IF(Y79&lt;Bewertung_Stammdaten!J$30,Bewertung_Stammdaten!I$30,IF(Y79&lt;Bewertung_Stammdaten!J$31,Bewertung_Stammdaten!I$31,IF(Y79&lt;Bewertung_Stammdaten!J$32,Bewertung_Stammdaten!I$32,IF(Y79&lt;Bewertung_Stammdaten!J$33,Bewertung_Stammdaten!I$33,Bewertung_Stammdaten!I$34)))))))))</f>
        <v>#N/A</v>
      </c>
      <c r="AC79" s="43"/>
      <c r="AD79" s="14" t="e">
        <f>VLOOKUP(A79,Ergebnis_je_Aktie_verwässert!A$3:AK$103,23,FALSE)</f>
        <v>#N/A</v>
      </c>
      <c r="AE79" s="14" t="e">
        <f>VLOOKUP(A79,Ergebnis_je_Aktie_verwässert!A$3:AK$103,19,FALSE)</f>
        <v>#N/A</v>
      </c>
      <c r="AF79" s="12" t="e">
        <f>VLOOKUP(A79,Ergebnis_je_Aktie_verwässert!A$3:AK$103,24,FALSE)</f>
        <v>#N/A</v>
      </c>
      <c r="AG79" s="40" t="e">
        <f>VLOOKUP(A79,Ergebnis_je_Aktie_verwässert!A$3:AK$103,37,FALSE)</f>
        <v>#N/A</v>
      </c>
      <c r="AH79" s="16" t="e">
        <f t="shared" si="16"/>
        <v>#N/A</v>
      </c>
      <c r="AI79" s="12" t="e">
        <f t="shared" si="17"/>
        <v>#N/A</v>
      </c>
      <c r="AJ79" s="32" t="e">
        <f>IF(AF79&lt;Bewertung_Stammdaten!B$38,Bewertung_Stammdaten!A$38,IF(AF79&lt;Bewertung_Stammdaten!B$39,Bewertung_Stammdaten!A$39,IF(AF79&lt;Bewertung_Stammdaten!B$40,Bewertung_Stammdaten!A$40,IF(AF79&lt;Bewertung_Stammdaten!B$41,Bewertung_Stammdaten!A$41,IF(AF79&lt;Bewertung_Stammdaten!B$42,Bewertung_Stammdaten!A$42,IF(AF79&lt;Bewertung_Stammdaten!B$43,Bewertung_Stammdaten!A$43,IF(AF79&lt;Bewertung_Stammdaten!B$44,Bewertung_Stammdaten!A$44,IF(AF79&lt;Bewertung_Stammdaten!B$45,Bewertung_Stammdaten!A$45,IF(AF79&lt;Bewertung_Stammdaten!B$46,Bewertung_Stammdaten!A$46,Bewertung_Stammdaten!A$47)))))))))</f>
        <v>#N/A</v>
      </c>
      <c r="AK79" s="32" t="e">
        <f>IF(AG79&lt;Bewertung_Stammdaten!F$38,Bewertung_Stammdaten!E$38,IF(AG79&lt;Bewertung_Stammdaten!F$39,Bewertung_Stammdaten!E$39,IF(AG79&lt;Bewertung_Stammdaten!F$40,Bewertung_Stammdaten!E$40,IF(AG79&lt;Bewertung_Stammdaten!F$41,Bewertung_Stammdaten!E$41,IF(AG79&lt;Bewertung_Stammdaten!F$42,Bewertung_Stammdaten!E$42,IF(AG79&lt;Bewertung_Stammdaten!F$43,Bewertung_Stammdaten!E$43,IF(AG79&lt;Bewertung_Stammdaten!F$44,Bewertung_Stammdaten!E$44,IF(AG79&lt;Bewertung_Stammdaten!F$45,Bewertung_Stammdaten!E$45,IF(AG79&lt;Bewertung_Stammdaten!F$46,Bewertung_Stammdaten!E$46,Bewertung_Stammdaten!E$47)))))))))</f>
        <v>#N/A</v>
      </c>
      <c r="AL79" s="32" t="e">
        <f>IF(AI79&lt;Bewertung_Stammdaten!J$38,Bewertung_Stammdaten!I$38,IF(AI79&lt;Bewertung_Stammdaten!J$39,Bewertung_Stammdaten!I$39,IF(AI79&lt;Bewertung_Stammdaten!J$40,Bewertung_Stammdaten!I$40,IF(AI79&lt;Bewertung_Stammdaten!J$41,Bewertung_Stammdaten!I$41,IF(AI79&lt;Bewertung_Stammdaten!J$42,Bewertung_Stammdaten!I$42,IF(AI79&lt;Bewertung_Stammdaten!J$43,Bewertung_Stammdaten!I$43,IF(AI79&lt;Bewertung_Stammdaten!J$44,Bewertung_Stammdaten!I$44,IF(AI79&lt;Bewertung_Stammdaten!J$45,Bewertung_Stammdaten!I$45,IF(AI79&lt;Bewertung_Stammdaten!J$46,Bewertung_Stammdaten!I$46,Bewertung_Stammdaten!I$47)))))))))</f>
        <v>#N/A</v>
      </c>
      <c r="AM79" s="43"/>
      <c r="AN79" s="14" t="e">
        <f>VLOOKUP(A79,Dividende_je_Aktie!A$3:AM$103,24,FALSE)</f>
        <v>#N/A</v>
      </c>
      <c r="AO79" s="14" t="e">
        <f>VLOOKUP(A79,Dividende_je_Aktie!A$3:AM$103,20,FALSE)</f>
        <v>#N/A</v>
      </c>
      <c r="AP79" s="12" t="e">
        <f>VLOOKUP(A79,Dividende_je_Aktie!A$3:AM$103,25,FALSE)</f>
        <v>#N/A</v>
      </c>
      <c r="AQ79" s="40" t="e">
        <f>VLOOKUP(A79,Dividende_je_Aktie!A$3:AM$103,39,FALSE)</f>
        <v>#N/A</v>
      </c>
      <c r="AR79" s="16" t="e">
        <f t="shared" si="18"/>
        <v>#N/A</v>
      </c>
      <c r="AS79" s="12" t="e">
        <f t="shared" si="19"/>
        <v>#N/A</v>
      </c>
      <c r="AT79" s="32" t="e">
        <f>IF(AP79&lt;Bewertung_Stammdaten!B$51,Bewertung_Stammdaten!A$51,IF(AP79&lt;Bewertung_Stammdaten!B$52,Bewertung_Stammdaten!A$52,IF(AP79&lt;Bewertung_Stammdaten!B$53,Bewertung_Stammdaten!A$53,IF(AP79&lt;Bewertung_Stammdaten!B$54,Bewertung_Stammdaten!A$54,IF(AP79&lt;Bewertung_Stammdaten!B$55,Bewertung_Stammdaten!A$55,IF(AP79&lt;Bewertung_Stammdaten!B$56,Bewertung_Stammdaten!A$56,IF(AP79&lt;Bewertung_Stammdaten!B$57,Bewertung_Stammdaten!A$57,IF(AP79&lt;Bewertung_Stammdaten!B$58,Bewertung_Stammdaten!A$58,IF(AP79&lt;Bewertung_Stammdaten!B$59,Bewertung_Stammdaten!A$59,Bewertung_Stammdaten!A$60)))))))))</f>
        <v>#N/A</v>
      </c>
      <c r="AU79" s="32" t="e">
        <f>IF(AQ79&lt;Bewertung_Stammdaten!F$51,Bewertung_Stammdaten!E$51,IF(AQ79&lt;Bewertung_Stammdaten!F$52,Bewertung_Stammdaten!E$52,IF(AQ79&lt;Bewertung_Stammdaten!F$53,Bewertung_Stammdaten!E$53,IF(AQ79&lt;Bewertung_Stammdaten!F$54,Bewertung_Stammdaten!E$54,IF(AQ79&lt;Bewertung_Stammdaten!F$55,Bewertung_Stammdaten!E$55,IF(AQ79&lt;Bewertung_Stammdaten!F$56,Bewertung_Stammdaten!E$56,IF(AQ79&lt;Bewertung_Stammdaten!F$57,Bewertung_Stammdaten!E$57,IF(AQ79&lt;Bewertung_Stammdaten!F$58,Bewertung_Stammdaten!E$58,IF(AQ79&lt;Bewertung_Stammdaten!F$59,Bewertung_Stammdaten!E$59,Bewertung_Stammdaten!E$60)))))))))</f>
        <v>#N/A</v>
      </c>
      <c r="AV79" s="32" t="e">
        <f>IF(AS79&lt;Bewertung_Stammdaten!J$51,Bewertung_Stammdaten!I$51,IF(AS79&lt;Bewertung_Stammdaten!J$52,Bewertung_Stammdaten!I$52,IF(AS79&lt;Bewertung_Stammdaten!J$53,Bewertung_Stammdaten!I$53,IF(AS79&lt;Bewertung_Stammdaten!J$54,Bewertung_Stammdaten!I$54,IF(AS79&lt;Bewertung_Stammdaten!J$55,Bewertung_Stammdaten!I$55,IF(AS79&lt;Bewertung_Stammdaten!J$56,Bewertung_Stammdaten!I$56,IF(AS79&lt;Bewertung_Stammdaten!J$57,Bewertung_Stammdaten!I$57,IF(AS79&lt;Bewertung_Stammdaten!J$58,Bewertung_Stammdaten!I$58,IF(AS79&lt;Bewertung_Stammdaten!J$59,Bewertung_Stammdaten!I$59,Bewertung_Stammdaten!I$60)))))))))</f>
        <v>#N/A</v>
      </c>
      <c r="AW79" s="43"/>
      <c r="AX79" s="12" t="e">
        <f>VLOOKUP(A79,Dividendenrendite!A$3:R$103,17,FALSE)</f>
        <v>#N/A</v>
      </c>
      <c r="AY79" s="12" t="e">
        <f>VLOOKUP(A79,Dividendenrendite!A$3:R$103,16,FALSE)</f>
        <v>#N/A</v>
      </c>
      <c r="AZ79" s="12" t="e">
        <f>VLOOKUP(A79,Dividendenrendite!A$3:R$103,18,FALSE)</f>
        <v>#N/A</v>
      </c>
      <c r="BA79" s="32" t="e">
        <f>IF(AX79&lt;Bewertung_Stammdaten!B$64,Bewertung_Stammdaten!A$64,IF(AX79&lt;Bewertung_Stammdaten!B$65,Bewertung_Stammdaten!A$65,IF(AX79&lt;Bewertung_Stammdaten!B$66,Bewertung_Stammdaten!A$66,IF(AX79&lt;Bewertung_Stammdaten!B$67,Bewertung_Stammdaten!A$67,IF(AX79&lt;Bewertung_Stammdaten!B$68,Bewertung_Stammdaten!A$68,IF(AX79&lt;Bewertung_Stammdaten!B$69,Bewertung_Stammdaten!A$69,IF(AX79&lt;Bewertung_Stammdaten!B$70,Bewertung_Stammdaten!A$70,IF(AX79&lt;Bewertung_Stammdaten!B$71,Bewertung_Stammdaten!A$71,IF(AX79&lt;Bewertung_Stammdaten!B$72,Bewertung_Stammdaten!A$72,Bewertung_Stammdaten!A$73)))))))))</f>
        <v>#N/A</v>
      </c>
      <c r="BB79" s="32" t="e">
        <f>IF(AY79&lt;Bewertung_Stammdaten!F$64,Bewertung_Stammdaten!E$64,IF(AY79&lt;Bewertung_Stammdaten!F$65,Bewertung_Stammdaten!E$65,IF(AY79&lt;Bewertung_Stammdaten!F$66,Bewertung_Stammdaten!E$66,IF(AY79&lt;Bewertung_Stammdaten!F$67,Bewertung_Stammdaten!E$67,IF(AY79&lt;Bewertung_Stammdaten!F$68,Bewertung_Stammdaten!E$68,IF(AY79&lt;Bewertung_Stammdaten!F$69,Bewertung_Stammdaten!E$69,IF(AY79&lt;Bewertung_Stammdaten!F$70,Bewertung_Stammdaten!E$70,IF(AY79&lt;Bewertung_Stammdaten!F$71,Bewertung_Stammdaten!E$71,IF(AY79&lt;Bewertung_Stammdaten!F$72,Bewertung_Stammdaten!E$72,Bewertung_Stammdaten!E$73)))))))))</f>
        <v>#N/A</v>
      </c>
      <c r="BC79" s="32" t="e">
        <f>IF(AZ79&lt;Bewertung_Stammdaten!J$64,Bewertung_Stammdaten!I$64,IF(AZ79&lt;Bewertung_Stammdaten!J$65,Bewertung_Stammdaten!I$65,IF(AZ79&lt;Bewertung_Stammdaten!J$66,Bewertung_Stammdaten!I$66,IF(AZ79&lt;Bewertung_Stammdaten!J$67,Bewertung_Stammdaten!I$67,IF(AZ79&lt;Bewertung_Stammdaten!J$68,Bewertung_Stammdaten!I$68,IF(AZ79&lt;Bewertung_Stammdaten!J$69,Bewertung_Stammdaten!I$69,IF(AZ79&lt;Bewertung_Stammdaten!J$70,Bewertung_Stammdaten!I$70,IF(AZ79&lt;Bewertung_Stammdaten!J$71,Bewertung_Stammdaten!I$71,IF(AZ79&lt;Bewertung_Stammdaten!J$72,Bewertung_Stammdaten!I$72,Bewertung_Stammdaten!I$73)))))))))</f>
        <v>#N/A</v>
      </c>
      <c r="BD79" s="43"/>
      <c r="BE79" s="12" t="e">
        <f>VLOOKUP(A79,Aktien_im_Umlauf_splitbereinigt!A$3:Z$103,26,FALSE)</f>
        <v>#N/A</v>
      </c>
      <c r="BF79" s="12" t="e">
        <f>VLOOKUP(A79,Aktien_im_Umlauf_splitbereinigt!A$3:Y$103,24,FALSE)</f>
        <v>#N/A</v>
      </c>
      <c r="BG79" s="12" t="e">
        <f>VLOOKUP(A79,Aktien_im_Umlauf_splitbereinigt!A$3:Y$103,25,FALSE)</f>
        <v>#N/A</v>
      </c>
      <c r="BH79" s="41" t="e">
        <f>IF(BE79&lt;Bewertung_Stammdaten!B$77,Bewertung_Stammdaten!A$77,IF(BE79&lt;Bewertung_Stammdaten!B$78,Bewertung_Stammdaten!A$78,IF(BE79&lt;Bewertung_Stammdaten!B$79,Bewertung_Stammdaten!A$79,IF(BE79&lt;Bewertung_Stammdaten!B$80,Bewertung_Stammdaten!A$80,IF(BE79&lt;Bewertung_Stammdaten!B$81,Bewertung_Stammdaten!A$81,IF(BE79&lt;Bewertung_Stammdaten!B$82,Bewertung_Stammdaten!A$82,IF(BE79&lt;Bewertung_Stammdaten!B$83,Bewertung_Stammdaten!A$83,IF(BE79&lt;Bewertung_Stammdaten!B$84,Bewertung_Stammdaten!A$84,IF(BE79&lt;Bewertung_Stammdaten!B$85,Bewertung_Stammdaten!A$85,Bewertung_Stammdaten!A$86)))))))))</f>
        <v>#N/A</v>
      </c>
      <c r="BI79" s="41" t="e">
        <f>IF(BF79&lt;Bewertung_Stammdaten!F$77,Bewertung_Stammdaten!E$77,IF(BF79&lt;Bewertung_Stammdaten!F$78,Bewertung_Stammdaten!E$78,IF(BF79&lt;Bewertung_Stammdaten!F$79,Bewertung_Stammdaten!E$79,IF(BF79&lt;Bewertung_Stammdaten!F$80,Bewertung_Stammdaten!E$80,IF(BF79&lt;Bewertung_Stammdaten!F$81,Bewertung_Stammdaten!E$81,IF(BF79&lt;Bewertung_Stammdaten!F$82,Bewertung_Stammdaten!E$82,IF(BF79&lt;Bewertung_Stammdaten!F$83,Bewertung_Stammdaten!E$83,IF(BF79&lt;Bewertung_Stammdaten!F$84,Bewertung_Stammdaten!E$84,IF(BF79&lt;Bewertung_Stammdaten!F$85,Bewertung_Stammdaten!E$85,Bewertung_Stammdaten!E$86)))))))))</f>
        <v>#N/A</v>
      </c>
      <c r="BJ79" s="41" t="e">
        <f>IF(BG79&lt;Bewertung_Stammdaten!J$77,Bewertung_Stammdaten!I$77,IF(BG79&lt;Bewertung_Stammdaten!J$78,Bewertung_Stammdaten!I$78,IF(BG79&lt;Bewertung_Stammdaten!J$79,Bewertung_Stammdaten!I$79,IF(BG79&lt;Bewertung_Stammdaten!J$80,Bewertung_Stammdaten!I$80,IF(BG79&lt;Bewertung_Stammdaten!J$81,Bewertung_Stammdaten!I$81,IF(BG79&lt;Bewertung_Stammdaten!J$82,Bewertung_Stammdaten!I$82,IF(BG79&lt;Bewertung_Stammdaten!J$83,Bewertung_Stammdaten!I$83,IF(BG79&lt;Bewertung_Stammdaten!J$84,Bewertung_Stammdaten!I$84,IF(BG79&lt;Bewertung_Stammdaten!J$85,Bewertung_Stammdaten!I$85,Bewertung_Stammdaten!I$86)))))))))</f>
        <v>#N/A</v>
      </c>
      <c r="BK79" s="43"/>
      <c r="BL79" s="12" t="e">
        <f>VLOOKUP(A79,Ausschüttungsquote!A$3:X$103,23,FALSE)</f>
        <v>#N/A</v>
      </c>
      <c r="BM79" s="12" t="e">
        <f>VLOOKUP(A79,Ausschüttungsquote!A$3:X$103,19,FALSE)</f>
        <v>#N/A</v>
      </c>
      <c r="BN79" s="12" t="e">
        <f>VLOOKUP(A79,Ausschüttungsquote!A$3:X$103,24,FALSE)</f>
        <v>#N/A</v>
      </c>
      <c r="BO79" s="32" t="e">
        <f>IF(BL79&lt;Bewertung_Stammdaten!B$90,Bewertung_Stammdaten!A$90,IF(BL79&lt;Bewertung_Stammdaten!B$91,Bewertung_Stammdaten!A$91,IF(BL79&lt;Bewertung_Stammdaten!B$92,Bewertung_Stammdaten!A$92,IF(BL79&lt;Bewertung_Stammdaten!B$93,Bewertung_Stammdaten!A$93,IF(BL79&lt;Bewertung_Stammdaten!B$94,Bewertung_Stammdaten!A$94,IF(BL79&lt;Bewertung_Stammdaten!B$95,Bewertung_Stammdaten!A$95,IF(BL79&lt;Bewertung_Stammdaten!B$96,Bewertung_Stammdaten!A$96,IF(BL79&lt;Bewertung_Stammdaten!B$97,Bewertung_Stammdaten!A$97,IF(BL79&lt;Bewertung_Stammdaten!B$98,Bewertung_Stammdaten!A$98,Bewertung_Stammdaten!A$99)))))))))</f>
        <v>#N/A</v>
      </c>
      <c r="BP79" s="41" t="e">
        <f>IF(BM79&lt;Bewertung_Stammdaten!F$90,Bewertung_Stammdaten!E$90,IF(BM79&lt;Bewertung_Stammdaten!F$91,Bewertung_Stammdaten!E$91,IF(BM79&lt;Bewertung_Stammdaten!F$92,Bewertung_Stammdaten!E$92,IF(BM79&lt;Bewertung_Stammdaten!F$93,Bewertung_Stammdaten!E$93,IF(BM79&lt;Bewertung_Stammdaten!F$94,Bewertung_Stammdaten!E$94,IF(BM79&lt;Bewertung_Stammdaten!F$95,Bewertung_Stammdaten!E$95,IF(BM79&lt;Bewertung_Stammdaten!F$96,Bewertung_Stammdaten!E$96,IF(BM79&lt;Bewertung_Stammdaten!F$97,Bewertung_Stammdaten!E$97,IF(BM79&lt;Bewertung_Stammdaten!F$98,Bewertung_Stammdaten!E$98,Bewertung_Stammdaten!E$99)))))))))</f>
        <v>#N/A</v>
      </c>
      <c r="BQ79" s="32" t="e">
        <f>IF(BN79&lt;Bewertung_Stammdaten!J$90,Bewertung_Stammdaten!I$90,IF(BN79&lt;Bewertung_Stammdaten!J$91,Bewertung_Stammdaten!I$91,IF(BN79&lt;Bewertung_Stammdaten!J$92,Bewertung_Stammdaten!I$92,IF(BN79&lt;Bewertung_Stammdaten!J$93,Bewertung_Stammdaten!I$93,IF(BN79&lt;Bewertung_Stammdaten!J$94,Bewertung_Stammdaten!I$94,IF(BN79&lt;Bewertung_Stammdaten!J$95,Bewertung_Stammdaten!I$95,IF(BN79&lt;Bewertung_Stammdaten!J$96,Bewertung_Stammdaten!I$96,IF(BN79&lt;Bewertung_Stammdaten!J$97,Bewertung_Stammdaten!I$97,IF(BN79&lt;Bewertung_Stammdaten!J$98,Bewertung_Stammdaten!I$98,Bewertung_Stammdaten!I$99)))))))))</f>
        <v>#N/A</v>
      </c>
    </row>
    <row r="80" spans="3:69" x14ac:dyDescent="0.25">
      <c r="C80" s="55" t="s">
        <v>297</v>
      </c>
      <c r="D80" s="32" t="e">
        <f t="shared" si="11"/>
        <v>#N/A</v>
      </c>
      <c r="E80" s="43"/>
      <c r="F80" s="66">
        <v>1</v>
      </c>
      <c r="G80" s="11" t="e">
        <f>VLOOKUP(A80,KGV!A$3:R$103,17,FALSE)</f>
        <v>#N/A</v>
      </c>
      <c r="H80" s="11" t="e">
        <f>VLOOKUP(A80,KGV!A$3:R$103,16,FALSE)</f>
        <v>#N/A</v>
      </c>
      <c r="I80" s="12" t="e">
        <f>VLOOKUP(A80,KGV!A$3:R$103,18,FALSE)</f>
        <v>#N/A</v>
      </c>
      <c r="J80" s="16" t="e">
        <f t="shared" si="12"/>
        <v>#N/A</v>
      </c>
      <c r="K80" s="12" t="e">
        <f t="shared" si="13"/>
        <v>#N/A</v>
      </c>
      <c r="L80" s="11" t="e">
        <f>VLOOKUP(A80,KBV!A$3:R$103,17,FALSE)</f>
        <v>#N/A</v>
      </c>
      <c r="M80" s="11" t="e">
        <f>VLOOKUP(A80,KBV!A$3:R$103,16,FALSE)</f>
        <v>#N/A</v>
      </c>
      <c r="N80" s="12" t="e">
        <f>VLOOKUP(A80,KBV!A$3:R$103,18,FALSE)</f>
        <v>#N/A</v>
      </c>
      <c r="O80" s="16" t="e">
        <f t="shared" si="20"/>
        <v>#N/A</v>
      </c>
      <c r="P80" s="12" t="e">
        <f t="shared" si="21"/>
        <v>#N/A</v>
      </c>
      <c r="Q80" s="32" t="e">
        <f>IF(F80=1,IF(I80&lt;Bewertung_Stammdaten!B$12,Bewertung_Stammdaten!A$12,IF(I80&lt;Bewertung_Stammdaten!B$13,Bewertung_Stammdaten!A$13,IF(I80&lt;Bewertung_Stammdaten!B$14,Bewertung_Stammdaten!A$14,IF(I80&lt;Bewertung_Stammdaten!B$15,Bewertung_Stammdaten!A$15,IF(I80&lt;Bewertung_Stammdaten!B$16,Bewertung_Stammdaten!A$16,IF(I80&lt;Bewertung_Stammdaten!B$17,Bewertung_Stammdaten!A$17,IF(I80&lt;Bewertung_Stammdaten!B$18,Bewertung_Stammdaten!A$18,IF(I80&lt;Bewertung_Stammdaten!B$19,Bewertung_Stammdaten!A$19,IF(I80&lt;Bewertung_Stammdaten!B$20,Bewertung_Stammdaten!A$20,Bewertung_Stammdaten!A$21))))))))),IF(N80&lt;Bewertung_Stammdaten!C$12,Bewertung_Stammdaten!A$12,IF(N80&lt;Bewertung_Stammdaten!C$13,Bewertung_Stammdaten!A$13,IF(N80&lt;Bewertung_Stammdaten!C$14,Bewertung_Stammdaten!A$14,IF(N80&lt;Bewertung_Stammdaten!C$15,Bewertung_Stammdaten!A$15,IF(N80&lt;Bewertung_Stammdaten!C$16,Bewertung_Stammdaten!A$16,IF(N80&lt;Bewertung_Stammdaten!C$17,Bewertung_Stammdaten!A$17,IF(N80&lt;Bewertung_Stammdaten!C$18,Bewertung_Stammdaten!A$18,IF(N80&lt;Bewertung_Stammdaten!C$19,Bewertung_Stammdaten!A$19,IF(N80&lt;Bewertung_Stammdaten!C$20,Bewertung_Stammdaten!A$20,Bewertung_Stammdaten!A$21))))))))))</f>
        <v>#N/A</v>
      </c>
      <c r="R80" s="32" t="e">
        <f>IF(F80=1,IF(K80&lt;Bewertung_Stammdaten!F$12,Bewertung_Stammdaten!E$12,IF(K80&lt;Bewertung_Stammdaten!F$13,Bewertung_Stammdaten!E$13,IF(K80&lt;Bewertung_Stammdaten!F$14,Bewertung_Stammdaten!E$14,IF(K80&lt;Bewertung_Stammdaten!F$15,Bewertung_Stammdaten!E$15,IF(K80&lt;Bewertung_Stammdaten!F$16,Bewertung_Stammdaten!E$16,IF(K80&lt;Bewertung_Stammdaten!F$17,Bewertung_Stammdaten!E$17,IF(K80&lt;Bewertung_Stammdaten!F$18,Bewertung_Stammdaten!E$18,IF(K80&lt;Bewertung_Stammdaten!F$19,Bewertung_Stammdaten!E$19,IF(K80&lt;Bewertung_Stammdaten!F$20,Bewertung_Stammdaten!E$20,Bewertung_Stammdaten!E$21))))))))),IF(P80&lt;Bewertung_Stammdaten!G$12,Bewertung_Stammdaten!E$12,IF(P80&lt;Bewertung_Stammdaten!G$13,Bewertung_Stammdaten!E$13,IF(P80&lt;Bewertung_Stammdaten!G$14,Bewertung_Stammdaten!E$14,IF(P80&lt;Bewertung_Stammdaten!G$15,Bewertung_Stammdaten!E$15,IF(P80&lt;Bewertung_Stammdaten!G$16,Bewertung_Stammdaten!E$16,IF(P80&lt;Bewertung_Stammdaten!G$17,Bewertung_Stammdaten!E$17,IF(P80&lt;Bewertung_Stammdaten!G$18,Bewertung_Stammdaten!E$18,IF(P80&lt;Bewertung_Stammdaten!G$19,Bewertung_Stammdaten!E$19,IF(P80&lt;Bewertung_Stammdaten!G$20,Bewertung_Stammdaten!E$20,Bewertung_Stammdaten!E$21))))))))))</f>
        <v>#N/A</v>
      </c>
      <c r="S80" s="43"/>
      <c r="T80" s="11" t="e">
        <f>VLOOKUP(A80,Buchwert_je_Aktie!A$3:AK$103,23,FALSE)</f>
        <v>#N/A</v>
      </c>
      <c r="U80" s="11" t="e">
        <f>VLOOKUP(A80,Buchwert_je_Aktie!A$3:AK$103,19,FALSE)</f>
        <v>#N/A</v>
      </c>
      <c r="V80" s="12" t="e">
        <f>VLOOKUP(A80,Buchwert_je_Aktie!A$3:AK$103,24,FALSE)</f>
        <v>#N/A</v>
      </c>
      <c r="W80" s="12" t="e">
        <f>VLOOKUP(A80,Buchwert_je_Aktie!A$3:AK$103,37,FALSE)</f>
        <v>#N/A</v>
      </c>
      <c r="X80" s="16" t="e">
        <f t="shared" si="14"/>
        <v>#N/A</v>
      </c>
      <c r="Y80" s="12" t="e">
        <f t="shared" si="15"/>
        <v>#N/A</v>
      </c>
      <c r="Z80" s="51" t="e">
        <f>IF(V80&lt;Bewertung_Stammdaten!B$25,Bewertung_Stammdaten!A$25,IF(V80&lt;Bewertung_Stammdaten!B$26,Bewertung_Stammdaten!A$26,IF(V80&lt;Bewertung_Stammdaten!B$27,Bewertung_Stammdaten!A$27,IF(V80&lt;Bewertung_Stammdaten!B$28,Bewertung_Stammdaten!A$28,IF(V80&lt;Bewertung_Stammdaten!B$29,Bewertung_Stammdaten!A$29,IF(V80&lt;Bewertung_Stammdaten!B$30,Bewertung_Stammdaten!A$30,IF(V80&lt;Bewertung_Stammdaten!B$31,Bewertung_Stammdaten!A$31,IF(V80&lt;Bewertung_Stammdaten!B$32,Bewertung_Stammdaten!A$32,IF(V80&lt;Bewertung_Stammdaten!B$33,Bewertung_Stammdaten!A$33,Bewertung_Stammdaten!A$34)))))))))</f>
        <v>#N/A</v>
      </c>
      <c r="AA80" s="51" t="e">
        <f>IF(W80&lt;Bewertung_Stammdaten!F$25,Bewertung_Stammdaten!E$25,IF(W80&lt;Bewertung_Stammdaten!F$26,Bewertung_Stammdaten!E$26,IF(W80&lt;Bewertung_Stammdaten!F$27,Bewertung_Stammdaten!E$27,IF(W80&lt;Bewertung_Stammdaten!F$28,Bewertung_Stammdaten!E$28,IF(W80&lt;Bewertung_Stammdaten!F$29,Bewertung_Stammdaten!E$29,IF(W80&lt;Bewertung_Stammdaten!F$30,Bewertung_Stammdaten!E$30,IF(W80&lt;Bewertung_Stammdaten!F$31,Bewertung_Stammdaten!E$31,IF(W80&lt;Bewertung_Stammdaten!F$32,Bewertung_Stammdaten!E$32,IF(W80&lt;Bewertung_Stammdaten!F$33,Bewertung_Stammdaten!E$33,Bewertung_Stammdaten!E$34)))))))))</f>
        <v>#N/A</v>
      </c>
      <c r="AB80" s="51" t="e">
        <f>IF(Y80&lt;Bewertung_Stammdaten!J$25,Bewertung_Stammdaten!I$25,IF(Y80&lt;Bewertung_Stammdaten!J$26,Bewertung_Stammdaten!I$26,IF(Y80&lt;Bewertung_Stammdaten!J$27,Bewertung_Stammdaten!I$27,IF(Y80&lt;Bewertung_Stammdaten!J$28,Bewertung_Stammdaten!I$28,IF(Y80&lt;Bewertung_Stammdaten!J$29,Bewertung_Stammdaten!I$29,IF(Y80&lt;Bewertung_Stammdaten!J$30,Bewertung_Stammdaten!I$30,IF(Y80&lt;Bewertung_Stammdaten!J$31,Bewertung_Stammdaten!I$31,IF(Y80&lt;Bewertung_Stammdaten!J$32,Bewertung_Stammdaten!I$32,IF(Y80&lt;Bewertung_Stammdaten!J$33,Bewertung_Stammdaten!I$33,Bewertung_Stammdaten!I$34)))))))))</f>
        <v>#N/A</v>
      </c>
      <c r="AC80" s="43"/>
      <c r="AD80" s="14" t="e">
        <f>VLOOKUP(A80,Ergebnis_je_Aktie_verwässert!A$3:AK$103,23,FALSE)</f>
        <v>#N/A</v>
      </c>
      <c r="AE80" s="14" t="e">
        <f>VLOOKUP(A80,Ergebnis_je_Aktie_verwässert!A$3:AK$103,19,FALSE)</f>
        <v>#N/A</v>
      </c>
      <c r="AF80" s="12" t="e">
        <f>VLOOKUP(A80,Ergebnis_je_Aktie_verwässert!A$3:AK$103,24,FALSE)</f>
        <v>#N/A</v>
      </c>
      <c r="AG80" s="40" t="e">
        <f>VLOOKUP(A80,Ergebnis_je_Aktie_verwässert!A$3:AK$103,37,FALSE)</f>
        <v>#N/A</v>
      </c>
      <c r="AH80" s="16" t="e">
        <f t="shared" si="16"/>
        <v>#N/A</v>
      </c>
      <c r="AI80" s="12" t="e">
        <f t="shared" si="17"/>
        <v>#N/A</v>
      </c>
      <c r="AJ80" s="32" t="e">
        <f>IF(AF80&lt;Bewertung_Stammdaten!B$38,Bewertung_Stammdaten!A$38,IF(AF80&lt;Bewertung_Stammdaten!B$39,Bewertung_Stammdaten!A$39,IF(AF80&lt;Bewertung_Stammdaten!B$40,Bewertung_Stammdaten!A$40,IF(AF80&lt;Bewertung_Stammdaten!B$41,Bewertung_Stammdaten!A$41,IF(AF80&lt;Bewertung_Stammdaten!B$42,Bewertung_Stammdaten!A$42,IF(AF80&lt;Bewertung_Stammdaten!B$43,Bewertung_Stammdaten!A$43,IF(AF80&lt;Bewertung_Stammdaten!B$44,Bewertung_Stammdaten!A$44,IF(AF80&lt;Bewertung_Stammdaten!B$45,Bewertung_Stammdaten!A$45,IF(AF80&lt;Bewertung_Stammdaten!B$46,Bewertung_Stammdaten!A$46,Bewertung_Stammdaten!A$47)))))))))</f>
        <v>#N/A</v>
      </c>
      <c r="AK80" s="32" t="e">
        <f>IF(AG80&lt;Bewertung_Stammdaten!F$38,Bewertung_Stammdaten!E$38,IF(AG80&lt;Bewertung_Stammdaten!F$39,Bewertung_Stammdaten!E$39,IF(AG80&lt;Bewertung_Stammdaten!F$40,Bewertung_Stammdaten!E$40,IF(AG80&lt;Bewertung_Stammdaten!F$41,Bewertung_Stammdaten!E$41,IF(AG80&lt;Bewertung_Stammdaten!F$42,Bewertung_Stammdaten!E$42,IF(AG80&lt;Bewertung_Stammdaten!F$43,Bewertung_Stammdaten!E$43,IF(AG80&lt;Bewertung_Stammdaten!F$44,Bewertung_Stammdaten!E$44,IF(AG80&lt;Bewertung_Stammdaten!F$45,Bewertung_Stammdaten!E$45,IF(AG80&lt;Bewertung_Stammdaten!F$46,Bewertung_Stammdaten!E$46,Bewertung_Stammdaten!E$47)))))))))</f>
        <v>#N/A</v>
      </c>
      <c r="AL80" s="32" t="e">
        <f>IF(AI80&lt;Bewertung_Stammdaten!J$38,Bewertung_Stammdaten!I$38,IF(AI80&lt;Bewertung_Stammdaten!J$39,Bewertung_Stammdaten!I$39,IF(AI80&lt;Bewertung_Stammdaten!J$40,Bewertung_Stammdaten!I$40,IF(AI80&lt;Bewertung_Stammdaten!J$41,Bewertung_Stammdaten!I$41,IF(AI80&lt;Bewertung_Stammdaten!J$42,Bewertung_Stammdaten!I$42,IF(AI80&lt;Bewertung_Stammdaten!J$43,Bewertung_Stammdaten!I$43,IF(AI80&lt;Bewertung_Stammdaten!J$44,Bewertung_Stammdaten!I$44,IF(AI80&lt;Bewertung_Stammdaten!J$45,Bewertung_Stammdaten!I$45,IF(AI80&lt;Bewertung_Stammdaten!J$46,Bewertung_Stammdaten!I$46,Bewertung_Stammdaten!I$47)))))))))</f>
        <v>#N/A</v>
      </c>
      <c r="AM80" s="43"/>
      <c r="AN80" s="14" t="e">
        <f>VLOOKUP(A80,Dividende_je_Aktie!A$3:AM$103,24,FALSE)</f>
        <v>#N/A</v>
      </c>
      <c r="AO80" s="14" t="e">
        <f>VLOOKUP(A80,Dividende_je_Aktie!A$3:AM$103,20,FALSE)</f>
        <v>#N/A</v>
      </c>
      <c r="AP80" s="12" t="e">
        <f>VLOOKUP(A80,Dividende_je_Aktie!A$3:AM$103,25,FALSE)</f>
        <v>#N/A</v>
      </c>
      <c r="AQ80" s="40" t="e">
        <f>VLOOKUP(A80,Dividende_je_Aktie!A$3:AM$103,39,FALSE)</f>
        <v>#N/A</v>
      </c>
      <c r="AR80" s="16" t="e">
        <f t="shared" si="18"/>
        <v>#N/A</v>
      </c>
      <c r="AS80" s="12" t="e">
        <f t="shared" si="19"/>
        <v>#N/A</v>
      </c>
      <c r="AT80" s="32" t="e">
        <f>IF(AP80&lt;Bewertung_Stammdaten!B$51,Bewertung_Stammdaten!A$51,IF(AP80&lt;Bewertung_Stammdaten!B$52,Bewertung_Stammdaten!A$52,IF(AP80&lt;Bewertung_Stammdaten!B$53,Bewertung_Stammdaten!A$53,IF(AP80&lt;Bewertung_Stammdaten!B$54,Bewertung_Stammdaten!A$54,IF(AP80&lt;Bewertung_Stammdaten!B$55,Bewertung_Stammdaten!A$55,IF(AP80&lt;Bewertung_Stammdaten!B$56,Bewertung_Stammdaten!A$56,IF(AP80&lt;Bewertung_Stammdaten!B$57,Bewertung_Stammdaten!A$57,IF(AP80&lt;Bewertung_Stammdaten!B$58,Bewertung_Stammdaten!A$58,IF(AP80&lt;Bewertung_Stammdaten!B$59,Bewertung_Stammdaten!A$59,Bewertung_Stammdaten!A$60)))))))))</f>
        <v>#N/A</v>
      </c>
      <c r="AU80" s="32" t="e">
        <f>IF(AQ80&lt;Bewertung_Stammdaten!F$51,Bewertung_Stammdaten!E$51,IF(AQ80&lt;Bewertung_Stammdaten!F$52,Bewertung_Stammdaten!E$52,IF(AQ80&lt;Bewertung_Stammdaten!F$53,Bewertung_Stammdaten!E$53,IF(AQ80&lt;Bewertung_Stammdaten!F$54,Bewertung_Stammdaten!E$54,IF(AQ80&lt;Bewertung_Stammdaten!F$55,Bewertung_Stammdaten!E$55,IF(AQ80&lt;Bewertung_Stammdaten!F$56,Bewertung_Stammdaten!E$56,IF(AQ80&lt;Bewertung_Stammdaten!F$57,Bewertung_Stammdaten!E$57,IF(AQ80&lt;Bewertung_Stammdaten!F$58,Bewertung_Stammdaten!E$58,IF(AQ80&lt;Bewertung_Stammdaten!F$59,Bewertung_Stammdaten!E$59,Bewertung_Stammdaten!E$60)))))))))</f>
        <v>#N/A</v>
      </c>
      <c r="AV80" s="32" t="e">
        <f>IF(AS80&lt;Bewertung_Stammdaten!J$51,Bewertung_Stammdaten!I$51,IF(AS80&lt;Bewertung_Stammdaten!J$52,Bewertung_Stammdaten!I$52,IF(AS80&lt;Bewertung_Stammdaten!J$53,Bewertung_Stammdaten!I$53,IF(AS80&lt;Bewertung_Stammdaten!J$54,Bewertung_Stammdaten!I$54,IF(AS80&lt;Bewertung_Stammdaten!J$55,Bewertung_Stammdaten!I$55,IF(AS80&lt;Bewertung_Stammdaten!J$56,Bewertung_Stammdaten!I$56,IF(AS80&lt;Bewertung_Stammdaten!J$57,Bewertung_Stammdaten!I$57,IF(AS80&lt;Bewertung_Stammdaten!J$58,Bewertung_Stammdaten!I$58,IF(AS80&lt;Bewertung_Stammdaten!J$59,Bewertung_Stammdaten!I$59,Bewertung_Stammdaten!I$60)))))))))</f>
        <v>#N/A</v>
      </c>
      <c r="AW80" s="43"/>
      <c r="AX80" s="12" t="e">
        <f>VLOOKUP(A80,Dividendenrendite!A$3:R$103,17,FALSE)</f>
        <v>#N/A</v>
      </c>
      <c r="AY80" s="12" t="e">
        <f>VLOOKUP(A80,Dividendenrendite!A$3:R$103,16,FALSE)</f>
        <v>#N/A</v>
      </c>
      <c r="AZ80" s="12" t="e">
        <f>VLOOKUP(A80,Dividendenrendite!A$3:R$103,18,FALSE)</f>
        <v>#N/A</v>
      </c>
      <c r="BA80" s="32" t="e">
        <f>IF(AX80&lt;Bewertung_Stammdaten!B$64,Bewertung_Stammdaten!A$64,IF(AX80&lt;Bewertung_Stammdaten!B$65,Bewertung_Stammdaten!A$65,IF(AX80&lt;Bewertung_Stammdaten!B$66,Bewertung_Stammdaten!A$66,IF(AX80&lt;Bewertung_Stammdaten!B$67,Bewertung_Stammdaten!A$67,IF(AX80&lt;Bewertung_Stammdaten!B$68,Bewertung_Stammdaten!A$68,IF(AX80&lt;Bewertung_Stammdaten!B$69,Bewertung_Stammdaten!A$69,IF(AX80&lt;Bewertung_Stammdaten!B$70,Bewertung_Stammdaten!A$70,IF(AX80&lt;Bewertung_Stammdaten!B$71,Bewertung_Stammdaten!A$71,IF(AX80&lt;Bewertung_Stammdaten!B$72,Bewertung_Stammdaten!A$72,Bewertung_Stammdaten!A$73)))))))))</f>
        <v>#N/A</v>
      </c>
      <c r="BB80" s="32" t="e">
        <f>IF(AY80&lt;Bewertung_Stammdaten!F$64,Bewertung_Stammdaten!E$64,IF(AY80&lt;Bewertung_Stammdaten!F$65,Bewertung_Stammdaten!E$65,IF(AY80&lt;Bewertung_Stammdaten!F$66,Bewertung_Stammdaten!E$66,IF(AY80&lt;Bewertung_Stammdaten!F$67,Bewertung_Stammdaten!E$67,IF(AY80&lt;Bewertung_Stammdaten!F$68,Bewertung_Stammdaten!E$68,IF(AY80&lt;Bewertung_Stammdaten!F$69,Bewertung_Stammdaten!E$69,IF(AY80&lt;Bewertung_Stammdaten!F$70,Bewertung_Stammdaten!E$70,IF(AY80&lt;Bewertung_Stammdaten!F$71,Bewertung_Stammdaten!E$71,IF(AY80&lt;Bewertung_Stammdaten!F$72,Bewertung_Stammdaten!E$72,Bewertung_Stammdaten!E$73)))))))))</f>
        <v>#N/A</v>
      </c>
      <c r="BC80" s="32" t="e">
        <f>IF(AZ80&lt;Bewertung_Stammdaten!J$64,Bewertung_Stammdaten!I$64,IF(AZ80&lt;Bewertung_Stammdaten!J$65,Bewertung_Stammdaten!I$65,IF(AZ80&lt;Bewertung_Stammdaten!J$66,Bewertung_Stammdaten!I$66,IF(AZ80&lt;Bewertung_Stammdaten!J$67,Bewertung_Stammdaten!I$67,IF(AZ80&lt;Bewertung_Stammdaten!J$68,Bewertung_Stammdaten!I$68,IF(AZ80&lt;Bewertung_Stammdaten!J$69,Bewertung_Stammdaten!I$69,IF(AZ80&lt;Bewertung_Stammdaten!J$70,Bewertung_Stammdaten!I$70,IF(AZ80&lt;Bewertung_Stammdaten!J$71,Bewertung_Stammdaten!I$71,IF(AZ80&lt;Bewertung_Stammdaten!J$72,Bewertung_Stammdaten!I$72,Bewertung_Stammdaten!I$73)))))))))</f>
        <v>#N/A</v>
      </c>
      <c r="BD80" s="43"/>
      <c r="BE80" s="12" t="e">
        <f>VLOOKUP(A80,Aktien_im_Umlauf_splitbereinigt!A$3:Z$103,26,FALSE)</f>
        <v>#N/A</v>
      </c>
      <c r="BF80" s="12" t="e">
        <f>VLOOKUP(A80,Aktien_im_Umlauf_splitbereinigt!A$3:Y$103,24,FALSE)</f>
        <v>#N/A</v>
      </c>
      <c r="BG80" s="12" t="e">
        <f>VLOOKUP(A80,Aktien_im_Umlauf_splitbereinigt!A$3:Y$103,25,FALSE)</f>
        <v>#N/A</v>
      </c>
      <c r="BH80" s="41" t="e">
        <f>IF(BE80&lt;Bewertung_Stammdaten!B$77,Bewertung_Stammdaten!A$77,IF(BE80&lt;Bewertung_Stammdaten!B$78,Bewertung_Stammdaten!A$78,IF(BE80&lt;Bewertung_Stammdaten!B$79,Bewertung_Stammdaten!A$79,IF(BE80&lt;Bewertung_Stammdaten!B$80,Bewertung_Stammdaten!A$80,IF(BE80&lt;Bewertung_Stammdaten!B$81,Bewertung_Stammdaten!A$81,IF(BE80&lt;Bewertung_Stammdaten!B$82,Bewertung_Stammdaten!A$82,IF(BE80&lt;Bewertung_Stammdaten!B$83,Bewertung_Stammdaten!A$83,IF(BE80&lt;Bewertung_Stammdaten!B$84,Bewertung_Stammdaten!A$84,IF(BE80&lt;Bewertung_Stammdaten!B$85,Bewertung_Stammdaten!A$85,Bewertung_Stammdaten!A$86)))))))))</f>
        <v>#N/A</v>
      </c>
      <c r="BI80" s="41" t="e">
        <f>IF(BF80&lt;Bewertung_Stammdaten!F$77,Bewertung_Stammdaten!E$77,IF(BF80&lt;Bewertung_Stammdaten!F$78,Bewertung_Stammdaten!E$78,IF(BF80&lt;Bewertung_Stammdaten!F$79,Bewertung_Stammdaten!E$79,IF(BF80&lt;Bewertung_Stammdaten!F$80,Bewertung_Stammdaten!E$80,IF(BF80&lt;Bewertung_Stammdaten!F$81,Bewertung_Stammdaten!E$81,IF(BF80&lt;Bewertung_Stammdaten!F$82,Bewertung_Stammdaten!E$82,IF(BF80&lt;Bewertung_Stammdaten!F$83,Bewertung_Stammdaten!E$83,IF(BF80&lt;Bewertung_Stammdaten!F$84,Bewertung_Stammdaten!E$84,IF(BF80&lt;Bewertung_Stammdaten!F$85,Bewertung_Stammdaten!E$85,Bewertung_Stammdaten!E$86)))))))))</f>
        <v>#N/A</v>
      </c>
      <c r="BJ80" s="41" t="e">
        <f>IF(BG80&lt;Bewertung_Stammdaten!J$77,Bewertung_Stammdaten!I$77,IF(BG80&lt;Bewertung_Stammdaten!J$78,Bewertung_Stammdaten!I$78,IF(BG80&lt;Bewertung_Stammdaten!J$79,Bewertung_Stammdaten!I$79,IF(BG80&lt;Bewertung_Stammdaten!J$80,Bewertung_Stammdaten!I$80,IF(BG80&lt;Bewertung_Stammdaten!J$81,Bewertung_Stammdaten!I$81,IF(BG80&lt;Bewertung_Stammdaten!J$82,Bewertung_Stammdaten!I$82,IF(BG80&lt;Bewertung_Stammdaten!J$83,Bewertung_Stammdaten!I$83,IF(BG80&lt;Bewertung_Stammdaten!J$84,Bewertung_Stammdaten!I$84,IF(BG80&lt;Bewertung_Stammdaten!J$85,Bewertung_Stammdaten!I$85,Bewertung_Stammdaten!I$86)))))))))</f>
        <v>#N/A</v>
      </c>
      <c r="BK80" s="43"/>
      <c r="BL80" s="12" t="e">
        <f>VLOOKUP(A80,Ausschüttungsquote!A$3:X$103,23,FALSE)</f>
        <v>#N/A</v>
      </c>
      <c r="BM80" s="12" t="e">
        <f>VLOOKUP(A80,Ausschüttungsquote!A$3:X$103,19,FALSE)</f>
        <v>#N/A</v>
      </c>
      <c r="BN80" s="12" t="e">
        <f>VLOOKUP(A80,Ausschüttungsquote!A$3:X$103,24,FALSE)</f>
        <v>#N/A</v>
      </c>
      <c r="BO80" s="32" t="e">
        <f>IF(BL80&lt;Bewertung_Stammdaten!B$90,Bewertung_Stammdaten!A$90,IF(BL80&lt;Bewertung_Stammdaten!B$91,Bewertung_Stammdaten!A$91,IF(BL80&lt;Bewertung_Stammdaten!B$92,Bewertung_Stammdaten!A$92,IF(BL80&lt;Bewertung_Stammdaten!B$93,Bewertung_Stammdaten!A$93,IF(BL80&lt;Bewertung_Stammdaten!B$94,Bewertung_Stammdaten!A$94,IF(BL80&lt;Bewertung_Stammdaten!B$95,Bewertung_Stammdaten!A$95,IF(BL80&lt;Bewertung_Stammdaten!B$96,Bewertung_Stammdaten!A$96,IF(BL80&lt;Bewertung_Stammdaten!B$97,Bewertung_Stammdaten!A$97,IF(BL80&lt;Bewertung_Stammdaten!B$98,Bewertung_Stammdaten!A$98,Bewertung_Stammdaten!A$99)))))))))</f>
        <v>#N/A</v>
      </c>
      <c r="BP80" s="41" t="e">
        <f>IF(BM80&lt;Bewertung_Stammdaten!F$90,Bewertung_Stammdaten!E$90,IF(BM80&lt;Bewertung_Stammdaten!F$91,Bewertung_Stammdaten!E$91,IF(BM80&lt;Bewertung_Stammdaten!F$92,Bewertung_Stammdaten!E$92,IF(BM80&lt;Bewertung_Stammdaten!F$93,Bewertung_Stammdaten!E$93,IF(BM80&lt;Bewertung_Stammdaten!F$94,Bewertung_Stammdaten!E$94,IF(BM80&lt;Bewertung_Stammdaten!F$95,Bewertung_Stammdaten!E$95,IF(BM80&lt;Bewertung_Stammdaten!F$96,Bewertung_Stammdaten!E$96,IF(BM80&lt;Bewertung_Stammdaten!F$97,Bewertung_Stammdaten!E$97,IF(BM80&lt;Bewertung_Stammdaten!F$98,Bewertung_Stammdaten!E$98,Bewertung_Stammdaten!E$99)))))))))</f>
        <v>#N/A</v>
      </c>
      <c r="BQ80" s="32" t="e">
        <f>IF(BN80&lt;Bewertung_Stammdaten!J$90,Bewertung_Stammdaten!I$90,IF(BN80&lt;Bewertung_Stammdaten!J$91,Bewertung_Stammdaten!I$91,IF(BN80&lt;Bewertung_Stammdaten!J$92,Bewertung_Stammdaten!I$92,IF(BN80&lt;Bewertung_Stammdaten!J$93,Bewertung_Stammdaten!I$93,IF(BN80&lt;Bewertung_Stammdaten!J$94,Bewertung_Stammdaten!I$94,IF(BN80&lt;Bewertung_Stammdaten!J$95,Bewertung_Stammdaten!I$95,IF(BN80&lt;Bewertung_Stammdaten!J$96,Bewertung_Stammdaten!I$96,IF(BN80&lt;Bewertung_Stammdaten!J$97,Bewertung_Stammdaten!I$97,IF(BN80&lt;Bewertung_Stammdaten!J$98,Bewertung_Stammdaten!I$98,Bewertung_Stammdaten!I$99)))))))))</f>
        <v>#N/A</v>
      </c>
    </row>
    <row r="81" spans="3:69" x14ac:dyDescent="0.25">
      <c r="C81" s="55" t="s">
        <v>297</v>
      </c>
      <c r="D81" s="32" t="e">
        <f t="shared" si="11"/>
        <v>#N/A</v>
      </c>
      <c r="E81" s="43"/>
      <c r="F81" s="66">
        <v>1</v>
      </c>
      <c r="G81" s="11" t="e">
        <f>VLOOKUP(A81,KGV!A$3:R$103,17,FALSE)</f>
        <v>#N/A</v>
      </c>
      <c r="H81" s="11" t="e">
        <f>VLOOKUP(A81,KGV!A$3:R$103,16,FALSE)</f>
        <v>#N/A</v>
      </c>
      <c r="I81" s="12" t="e">
        <f>VLOOKUP(A81,KGV!A$3:R$103,18,FALSE)</f>
        <v>#N/A</v>
      </c>
      <c r="J81" s="16" t="e">
        <f t="shared" si="12"/>
        <v>#N/A</v>
      </c>
      <c r="K81" s="12" t="e">
        <f t="shared" si="13"/>
        <v>#N/A</v>
      </c>
      <c r="L81" s="11" t="e">
        <f>VLOOKUP(A81,KBV!A$3:R$103,17,FALSE)</f>
        <v>#N/A</v>
      </c>
      <c r="M81" s="11" t="e">
        <f>VLOOKUP(A81,KBV!A$3:R$103,16,FALSE)</f>
        <v>#N/A</v>
      </c>
      <c r="N81" s="12" t="e">
        <f>VLOOKUP(A81,KBV!A$3:R$103,18,FALSE)</f>
        <v>#N/A</v>
      </c>
      <c r="O81" s="16" t="e">
        <f t="shared" si="20"/>
        <v>#N/A</v>
      </c>
      <c r="P81" s="12" t="e">
        <f t="shared" si="21"/>
        <v>#N/A</v>
      </c>
      <c r="Q81" s="32" t="e">
        <f>IF(F81=1,IF(I81&lt;Bewertung_Stammdaten!B$12,Bewertung_Stammdaten!A$12,IF(I81&lt;Bewertung_Stammdaten!B$13,Bewertung_Stammdaten!A$13,IF(I81&lt;Bewertung_Stammdaten!B$14,Bewertung_Stammdaten!A$14,IF(I81&lt;Bewertung_Stammdaten!B$15,Bewertung_Stammdaten!A$15,IF(I81&lt;Bewertung_Stammdaten!B$16,Bewertung_Stammdaten!A$16,IF(I81&lt;Bewertung_Stammdaten!B$17,Bewertung_Stammdaten!A$17,IF(I81&lt;Bewertung_Stammdaten!B$18,Bewertung_Stammdaten!A$18,IF(I81&lt;Bewertung_Stammdaten!B$19,Bewertung_Stammdaten!A$19,IF(I81&lt;Bewertung_Stammdaten!B$20,Bewertung_Stammdaten!A$20,Bewertung_Stammdaten!A$21))))))))),IF(N81&lt;Bewertung_Stammdaten!C$12,Bewertung_Stammdaten!A$12,IF(N81&lt;Bewertung_Stammdaten!C$13,Bewertung_Stammdaten!A$13,IF(N81&lt;Bewertung_Stammdaten!C$14,Bewertung_Stammdaten!A$14,IF(N81&lt;Bewertung_Stammdaten!C$15,Bewertung_Stammdaten!A$15,IF(N81&lt;Bewertung_Stammdaten!C$16,Bewertung_Stammdaten!A$16,IF(N81&lt;Bewertung_Stammdaten!C$17,Bewertung_Stammdaten!A$17,IF(N81&lt;Bewertung_Stammdaten!C$18,Bewertung_Stammdaten!A$18,IF(N81&lt;Bewertung_Stammdaten!C$19,Bewertung_Stammdaten!A$19,IF(N81&lt;Bewertung_Stammdaten!C$20,Bewertung_Stammdaten!A$20,Bewertung_Stammdaten!A$21))))))))))</f>
        <v>#N/A</v>
      </c>
      <c r="R81" s="32" t="e">
        <f>IF(F81=1,IF(K81&lt;Bewertung_Stammdaten!F$12,Bewertung_Stammdaten!E$12,IF(K81&lt;Bewertung_Stammdaten!F$13,Bewertung_Stammdaten!E$13,IF(K81&lt;Bewertung_Stammdaten!F$14,Bewertung_Stammdaten!E$14,IF(K81&lt;Bewertung_Stammdaten!F$15,Bewertung_Stammdaten!E$15,IF(K81&lt;Bewertung_Stammdaten!F$16,Bewertung_Stammdaten!E$16,IF(K81&lt;Bewertung_Stammdaten!F$17,Bewertung_Stammdaten!E$17,IF(K81&lt;Bewertung_Stammdaten!F$18,Bewertung_Stammdaten!E$18,IF(K81&lt;Bewertung_Stammdaten!F$19,Bewertung_Stammdaten!E$19,IF(K81&lt;Bewertung_Stammdaten!F$20,Bewertung_Stammdaten!E$20,Bewertung_Stammdaten!E$21))))))))),IF(P81&lt;Bewertung_Stammdaten!G$12,Bewertung_Stammdaten!E$12,IF(P81&lt;Bewertung_Stammdaten!G$13,Bewertung_Stammdaten!E$13,IF(P81&lt;Bewertung_Stammdaten!G$14,Bewertung_Stammdaten!E$14,IF(P81&lt;Bewertung_Stammdaten!G$15,Bewertung_Stammdaten!E$15,IF(P81&lt;Bewertung_Stammdaten!G$16,Bewertung_Stammdaten!E$16,IF(P81&lt;Bewertung_Stammdaten!G$17,Bewertung_Stammdaten!E$17,IF(P81&lt;Bewertung_Stammdaten!G$18,Bewertung_Stammdaten!E$18,IF(P81&lt;Bewertung_Stammdaten!G$19,Bewertung_Stammdaten!E$19,IF(P81&lt;Bewertung_Stammdaten!G$20,Bewertung_Stammdaten!E$20,Bewertung_Stammdaten!E$21))))))))))</f>
        <v>#N/A</v>
      </c>
      <c r="S81" s="43"/>
      <c r="T81" s="11" t="e">
        <f>VLOOKUP(A81,Buchwert_je_Aktie!A$3:AK$103,23,FALSE)</f>
        <v>#N/A</v>
      </c>
      <c r="U81" s="11" t="e">
        <f>VLOOKUP(A81,Buchwert_je_Aktie!A$3:AK$103,19,FALSE)</f>
        <v>#N/A</v>
      </c>
      <c r="V81" s="12" t="e">
        <f>VLOOKUP(A81,Buchwert_je_Aktie!A$3:AK$103,24,FALSE)</f>
        <v>#N/A</v>
      </c>
      <c r="W81" s="12" t="e">
        <f>VLOOKUP(A81,Buchwert_je_Aktie!A$3:AK$103,37,FALSE)</f>
        <v>#N/A</v>
      </c>
      <c r="X81" s="16" t="e">
        <f t="shared" si="14"/>
        <v>#N/A</v>
      </c>
      <c r="Y81" s="12" t="e">
        <f t="shared" si="15"/>
        <v>#N/A</v>
      </c>
      <c r="Z81" s="51" t="e">
        <f>IF(V81&lt;Bewertung_Stammdaten!B$25,Bewertung_Stammdaten!A$25,IF(V81&lt;Bewertung_Stammdaten!B$26,Bewertung_Stammdaten!A$26,IF(V81&lt;Bewertung_Stammdaten!B$27,Bewertung_Stammdaten!A$27,IF(V81&lt;Bewertung_Stammdaten!B$28,Bewertung_Stammdaten!A$28,IF(V81&lt;Bewertung_Stammdaten!B$29,Bewertung_Stammdaten!A$29,IF(V81&lt;Bewertung_Stammdaten!B$30,Bewertung_Stammdaten!A$30,IF(V81&lt;Bewertung_Stammdaten!B$31,Bewertung_Stammdaten!A$31,IF(V81&lt;Bewertung_Stammdaten!B$32,Bewertung_Stammdaten!A$32,IF(V81&lt;Bewertung_Stammdaten!B$33,Bewertung_Stammdaten!A$33,Bewertung_Stammdaten!A$34)))))))))</f>
        <v>#N/A</v>
      </c>
      <c r="AA81" s="51" t="e">
        <f>IF(W81&lt;Bewertung_Stammdaten!F$25,Bewertung_Stammdaten!E$25,IF(W81&lt;Bewertung_Stammdaten!F$26,Bewertung_Stammdaten!E$26,IF(W81&lt;Bewertung_Stammdaten!F$27,Bewertung_Stammdaten!E$27,IF(W81&lt;Bewertung_Stammdaten!F$28,Bewertung_Stammdaten!E$28,IF(W81&lt;Bewertung_Stammdaten!F$29,Bewertung_Stammdaten!E$29,IF(W81&lt;Bewertung_Stammdaten!F$30,Bewertung_Stammdaten!E$30,IF(W81&lt;Bewertung_Stammdaten!F$31,Bewertung_Stammdaten!E$31,IF(W81&lt;Bewertung_Stammdaten!F$32,Bewertung_Stammdaten!E$32,IF(W81&lt;Bewertung_Stammdaten!F$33,Bewertung_Stammdaten!E$33,Bewertung_Stammdaten!E$34)))))))))</f>
        <v>#N/A</v>
      </c>
      <c r="AB81" s="51" t="e">
        <f>IF(Y81&lt;Bewertung_Stammdaten!J$25,Bewertung_Stammdaten!I$25,IF(Y81&lt;Bewertung_Stammdaten!J$26,Bewertung_Stammdaten!I$26,IF(Y81&lt;Bewertung_Stammdaten!J$27,Bewertung_Stammdaten!I$27,IF(Y81&lt;Bewertung_Stammdaten!J$28,Bewertung_Stammdaten!I$28,IF(Y81&lt;Bewertung_Stammdaten!J$29,Bewertung_Stammdaten!I$29,IF(Y81&lt;Bewertung_Stammdaten!J$30,Bewertung_Stammdaten!I$30,IF(Y81&lt;Bewertung_Stammdaten!J$31,Bewertung_Stammdaten!I$31,IF(Y81&lt;Bewertung_Stammdaten!J$32,Bewertung_Stammdaten!I$32,IF(Y81&lt;Bewertung_Stammdaten!J$33,Bewertung_Stammdaten!I$33,Bewertung_Stammdaten!I$34)))))))))</f>
        <v>#N/A</v>
      </c>
      <c r="AC81" s="43"/>
      <c r="AD81" s="14" t="e">
        <f>VLOOKUP(A81,Ergebnis_je_Aktie_verwässert!A$3:AK$103,23,FALSE)</f>
        <v>#N/A</v>
      </c>
      <c r="AE81" s="14" t="e">
        <f>VLOOKUP(A81,Ergebnis_je_Aktie_verwässert!A$3:AK$103,19,FALSE)</f>
        <v>#N/A</v>
      </c>
      <c r="AF81" s="12" t="e">
        <f>VLOOKUP(A81,Ergebnis_je_Aktie_verwässert!A$3:AK$103,24,FALSE)</f>
        <v>#N/A</v>
      </c>
      <c r="AG81" s="40" t="e">
        <f>VLOOKUP(A81,Ergebnis_je_Aktie_verwässert!A$3:AK$103,37,FALSE)</f>
        <v>#N/A</v>
      </c>
      <c r="AH81" s="16" t="e">
        <f t="shared" si="16"/>
        <v>#N/A</v>
      </c>
      <c r="AI81" s="12" t="e">
        <f t="shared" si="17"/>
        <v>#N/A</v>
      </c>
      <c r="AJ81" s="32" t="e">
        <f>IF(AF81&lt;Bewertung_Stammdaten!B$38,Bewertung_Stammdaten!A$38,IF(AF81&lt;Bewertung_Stammdaten!B$39,Bewertung_Stammdaten!A$39,IF(AF81&lt;Bewertung_Stammdaten!B$40,Bewertung_Stammdaten!A$40,IF(AF81&lt;Bewertung_Stammdaten!B$41,Bewertung_Stammdaten!A$41,IF(AF81&lt;Bewertung_Stammdaten!B$42,Bewertung_Stammdaten!A$42,IF(AF81&lt;Bewertung_Stammdaten!B$43,Bewertung_Stammdaten!A$43,IF(AF81&lt;Bewertung_Stammdaten!B$44,Bewertung_Stammdaten!A$44,IF(AF81&lt;Bewertung_Stammdaten!B$45,Bewertung_Stammdaten!A$45,IF(AF81&lt;Bewertung_Stammdaten!B$46,Bewertung_Stammdaten!A$46,Bewertung_Stammdaten!A$47)))))))))</f>
        <v>#N/A</v>
      </c>
      <c r="AK81" s="32" t="e">
        <f>IF(AG81&lt;Bewertung_Stammdaten!F$38,Bewertung_Stammdaten!E$38,IF(AG81&lt;Bewertung_Stammdaten!F$39,Bewertung_Stammdaten!E$39,IF(AG81&lt;Bewertung_Stammdaten!F$40,Bewertung_Stammdaten!E$40,IF(AG81&lt;Bewertung_Stammdaten!F$41,Bewertung_Stammdaten!E$41,IF(AG81&lt;Bewertung_Stammdaten!F$42,Bewertung_Stammdaten!E$42,IF(AG81&lt;Bewertung_Stammdaten!F$43,Bewertung_Stammdaten!E$43,IF(AG81&lt;Bewertung_Stammdaten!F$44,Bewertung_Stammdaten!E$44,IF(AG81&lt;Bewertung_Stammdaten!F$45,Bewertung_Stammdaten!E$45,IF(AG81&lt;Bewertung_Stammdaten!F$46,Bewertung_Stammdaten!E$46,Bewertung_Stammdaten!E$47)))))))))</f>
        <v>#N/A</v>
      </c>
      <c r="AL81" s="32" t="e">
        <f>IF(AI81&lt;Bewertung_Stammdaten!J$38,Bewertung_Stammdaten!I$38,IF(AI81&lt;Bewertung_Stammdaten!J$39,Bewertung_Stammdaten!I$39,IF(AI81&lt;Bewertung_Stammdaten!J$40,Bewertung_Stammdaten!I$40,IF(AI81&lt;Bewertung_Stammdaten!J$41,Bewertung_Stammdaten!I$41,IF(AI81&lt;Bewertung_Stammdaten!J$42,Bewertung_Stammdaten!I$42,IF(AI81&lt;Bewertung_Stammdaten!J$43,Bewertung_Stammdaten!I$43,IF(AI81&lt;Bewertung_Stammdaten!J$44,Bewertung_Stammdaten!I$44,IF(AI81&lt;Bewertung_Stammdaten!J$45,Bewertung_Stammdaten!I$45,IF(AI81&lt;Bewertung_Stammdaten!J$46,Bewertung_Stammdaten!I$46,Bewertung_Stammdaten!I$47)))))))))</f>
        <v>#N/A</v>
      </c>
      <c r="AM81" s="43"/>
      <c r="AN81" s="14" t="e">
        <f>VLOOKUP(A81,Dividende_je_Aktie!A$3:AM$103,24,FALSE)</f>
        <v>#N/A</v>
      </c>
      <c r="AO81" s="14" t="e">
        <f>VLOOKUP(A81,Dividende_je_Aktie!A$3:AM$103,20,FALSE)</f>
        <v>#N/A</v>
      </c>
      <c r="AP81" s="12" t="e">
        <f>VLOOKUP(A81,Dividende_je_Aktie!A$3:AM$103,25,FALSE)</f>
        <v>#N/A</v>
      </c>
      <c r="AQ81" s="40" t="e">
        <f>VLOOKUP(A81,Dividende_je_Aktie!A$3:AM$103,39,FALSE)</f>
        <v>#N/A</v>
      </c>
      <c r="AR81" s="16" t="e">
        <f t="shared" si="18"/>
        <v>#N/A</v>
      </c>
      <c r="AS81" s="12" t="e">
        <f t="shared" si="19"/>
        <v>#N/A</v>
      </c>
      <c r="AT81" s="32" t="e">
        <f>IF(AP81&lt;Bewertung_Stammdaten!B$51,Bewertung_Stammdaten!A$51,IF(AP81&lt;Bewertung_Stammdaten!B$52,Bewertung_Stammdaten!A$52,IF(AP81&lt;Bewertung_Stammdaten!B$53,Bewertung_Stammdaten!A$53,IF(AP81&lt;Bewertung_Stammdaten!B$54,Bewertung_Stammdaten!A$54,IF(AP81&lt;Bewertung_Stammdaten!B$55,Bewertung_Stammdaten!A$55,IF(AP81&lt;Bewertung_Stammdaten!B$56,Bewertung_Stammdaten!A$56,IF(AP81&lt;Bewertung_Stammdaten!B$57,Bewertung_Stammdaten!A$57,IF(AP81&lt;Bewertung_Stammdaten!B$58,Bewertung_Stammdaten!A$58,IF(AP81&lt;Bewertung_Stammdaten!B$59,Bewertung_Stammdaten!A$59,Bewertung_Stammdaten!A$60)))))))))</f>
        <v>#N/A</v>
      </c>
      <c r="AU81" s="32" t="e">
        <f>IF(AQ81&lt;Bewertung_Stammdaten!F$51,Bewertung_Stammdaten!E$51,IF(AQ81&lt;Bewertung_Stammdaten!F$52,Bewertung_Stammdaten!E$52,IF(AQ81&lt;Bewertung_Stammdaten!F$53,Bewertung_Stammdaten!E$53,IF(AQ81&lt;Bewertung_Stammdaten!F$54,Bewertung_Stammdaten!E$54,IF(AQ81&lt;Bewertung_Stammdaten!F$55,Bewertung_Stammdaten!E$55,IF(AQ81&lt;Bewertung_Stammdaten!F$56,Bewertung_Stammdaten!E$56,IF(AQ81&lt;Bewertung_Stammdaten!F$57,Bewertung_Stammdaten!E$57,IF(AQ81&lt;Bewertung_Stammdaten!F$58,Bewertung_Stammdaten!E$58,IF(AQ81&lt;Bewertung_Stammdaten!F$59,Bewertung_Stammdaten!E$59,Bewertung_Stammdaten!E$60)))))))))</f>
        <v>#N/A</v>
      </c>
      <c r="AV81" s="32" t="e">
        <f>IF(AS81&lt;Bewertung_Stammdaten!J$51,Bewertung_Stammdaten!I$51,IF(AS81&lt;Bewertung_Stammdaten!J$52,Bewertung_Stammdaten!I$52,IF(AS81&lt;Bewertung_Stammdaten!J$53,Bewertung_Stammdaten!I$53,IF(AS81&lt;Bewertung_Stammdaten!J$54,Bewertung_Stammdaten!I$54,IF(AS81&lt;Bewertung_Stammdaten!J$55,Bewertung_Stammdaten!I$55,IF(AS81&lt;Bewertung_Stammdaten!J$56,Bewertung_Stammdaten!I$56,IF(AS81&lt;Bewertung_Stammdaten!J$57,Bewertung_Stammdaten!I$57,IF(AS81&lt;Bewertung_Stammdaten!J$58,Bewertung_Stammdaten!I$58,IF(AS81&lt;Bewertung_Stammdaten!J$59,Bewertung_Stammdaten!I$59,Bewertung_Stammdaten!I$60)))))))))</f>
        <v>#N/A</v>
      </c>
      <c r="AW81" s="43"/>
      <c r="AX81" s="12" t="e">
        <f>VLOOKUP(A81,Dividendenrendite!A$3:R$103,17,FALSE)</f>
        <v>#N/A</v>
      </c>
      <c r="AY81" s="12" t="e">
        <f>VLOOKUP(A81,Dividendenrendite!A$3:R$103,16,FALSE)</f>
        <v>#N/A</v>
      </c>
      <c r="AZ81" s="12" t="e">
        <f>VLOOKUP(A81,Dividendenrendite!A$3:R$103,18,FALSE)</f>
        <v>#N/A</v>
      </c>
      <c r="BA81" s="32" t="e">
        <f>IF(AX81&lt;Bewertung_Stammdaten!B$64,Bewertung_Stammdaten!A$64,IF(AX81&lt;Bewertung_Stammdaten!B$65,Bewertung_Stammdaten!A$65,IF(AX81&lt;Bewertung_Stammdaten!B$66,Bewertung_Stammdaten!A$66,IF(AX81&lt;Bewertung_Stammdaten!B$67,Bewertung_Stammdaten!A$67,IF(AX81&lt;Bewertung_Stammdaten!B$68,Bewertung_Stammdaten!A$68,IF(AX81&lt;Bewertung_Stammdaten!B$69,Bewertung_Stammdaten!A$69,IF(AX81&lt;Bewertung_Stammdaten!B$70,Bewertung_Stammdaten!A$70,IF(AX81&lt;Bewertung_Stammdaten!B$71,Bewertung_Stammdaten!A$71,IF(AX81&lt;Bewertung_Stammdaten!B$72,Bewertung_Stammdaten!A$72,Bewertung_Stammdaten!A$73)))))))))</f>
        <v>#N/A</v>
      </c>
      <c r="BB81" s="32" t="e">
        <f>IF(AY81&lt;Bewertung_Stammdaten!F$64,Bewertung_Stammdaten!E$64,IF(AY81&lt;Bewertung_Stammdaten!F$65,Bewertung_Stammdaten!E$65,IF(AY81&lt;Bewertung_Stammdaten!F$66,Bewertung_Stammdaten!E$66,IF(AY81&lt;Bewertung_Stammdaten!F$67,Bewertung_Stammdaten!E$67,IF(AY81&lt;Bewertung_Stammdaten!F$68,Bewertung_Stammdaten!E$68,IF(AY81&lt;Bewertung_Stammdaten!F$69,Bewertung_Stammdaten!E$69,IF(AY81&lt;Bewertung_Stammdaten!F$70,Bewertung_Stammdaten!E$70,IF(AY81&lt;Bewertung_Stammdaten!F$71,Bewertung_Stammdaten!E$71,IF(AY81&lt;Bewertung_Stammdaten!F$72,Bewertung_Stammdaten!E$72,Bewertung_Stammdaten!E$73)))))))))</f>
        <v>#N/A</v>
      </c>
      <c r="BC81" s="32" t="e">
        <f>IF(AZ81&lt;Bewertung_Stammdaten!J$64,Bewertung_Stammdaten!I$64,IF(AZ81&lt;Bewertung_Stammdaten!J$65,Bewertung_Stammdaten!I$65,IF(AZ81&lt;Bewertung_Stammdaten!J$66,Bewertung_Stammdaten!I$66,IF(AZ81&lt;Bewertung_Stammdaten!J$67,Bewertung_Stammdaten!I$67,IF(AZ81&lt;Bewertung_Stammdaten!J$68,Bewertung_Stammdaten!I$68,IF(AZ81&lt;Bewertung_Stammdaten!J$69,Bewertung_Stammdaten!I$69,IF(AZ81&lt;Bewertung_Stammdaten!J$70,Bewertung_Stammdaten!I$70,IF(AZ81&lt;Bewertung_Stammdaten!J$71,Bewertung_Stammdaten!I$71,IF(AZ81&lt;Bewertung_Stammdaten!J$72,Bewertung_Stammdaten!I$72,Bewertung_Stammdaten!I$73)))))))))</f>
        <v>#N/A</v>
      </c>
      <c r="BD81" s="43"/>
      <c r="BE81" s="12" t="e">
        <f>VLOOKUP(A81,Aktien_im_Umlauf_splitbereinigt!A$3:Z$103,26,FALSE)</f>
        <v>#N/A</v>
      </c>
      <c r="BF81" s="12" t="e">
        <f>VLOOKUP(A81,Aktien_im_Umlauf_splitbereinigt!A$3:Y$103,24,FALSE)</f>
        <v>#N/A</v>
      </c>
      <c r="BG81" s="12" t="e">
        <f>VLOOKUP(A81,Aktien_im_Umlauf_splitbereinigt!A$3:Y$103,25,FALSE)</f>
        <v>#N/A</v>
      </c>
      <c r="BH81" s="41" t="e">
        <f>IF(BE81&lt;Bewertung_Stammdaten!B$77,Bewertung_Stammdaten!A$77,IF(BE81&lt;Bewertung_Stammdaten!B$78,Bewertung_Stammdaten!A$78,IF(BE81&lt;Bewertung_Stammdaten!B$79,Bewertung_Stammdaten!A$79,IF(BE81&lt;Bewertung_Stammdaten!B$80,Bewertung_Stammdaten!A$80,IF(BE81&lt;Bewertung_Stammdaten!B$81,Bewertung_Stammdaten!A$81,IF(BE81&lt;Bewertung_Stammdaten!B$82,Bewertung_Stammdaten!A$82,IF(BE81&lt;Bewertung_Stammdaten!B$83,Bewertung_Stammdaten!A$83,IF(BE81&lt;Bewertung_Stammdaten!B$84,Bewertung_Stammdaten!A$84,IF(BE81&lt;Bewertung_Stammdaten!B$85,Bewertung_Stammdaten!A$85,Bewertung_Stammdaten!A$86)))))))))</f>
        <v>#N/A</v>
      </c>
      <c r="BI81" s="41" t="e">
        <f>IF(BF81&lt;Bewertung_Stammdaten!F$77,Bewertung_Stammdaten!E$77,IF(BF81&lt;Bewertung_Stammdaten!F$78,Bewertung_Stammdaten!E$78,IF(BF81&lt;Bewertung_Stammdaten!F$79,Bewertung_Stammdaten!E$79,IF(BF81&lt;Bewertung_Stammdaten!F$80,Bewertung_Stammdaten!E$80,IF(BF81&lt;Bewertung_Stammdaten!F$81,Bewertung_Stammdaten!E$81,IF(BF81&lt;Bewertung_Stammdaten!F$82,Bewertung_Stammdaten!E$82,IF(BF81&lt;Bewertung_Stammdaten!F$83,Bewertung_Stammdaten!E$83,IF(BF81&lt;Bewertung_Stammdaten!F$84,Bewertung_Stammdaten!E$84,IF(BF81&lt;Bewertung_Stammdaten!F$85,Bewertung_Stammdaten!E$85,Bewertung_Stammdaten!E$86)))))))))</f>
        <v>#N/A</v>
      </c>
      <c r="BJ81" s="41" t="e">
        <f>IF(BG81&lt;Bewertung_Stammdaten!J$77,Bewertung_Stammdaten!I$77,IF(BG81&lt;Bewertung_Stammdaten!J$78,Bewertung_Stammdaten!I$78,IF(BG81&lt;Bewertung_Stammdaten!J$79,Bewertung_Stammdaten!I$79,IF(BG81&lt;Bewertung_Stammdaten!J$80,Bewertung_Stammdaten!I$80,IF(BG81&lt;Bewertung_Stammdaten!J$81,Bewertung_Stammdaten!I$81,IF(BG81&lt;Bewertung_Stammdaten!J$82,Bewertung_Stammdaten!I$82,IF(BG81&lt;Bewertung_Stammdaten!J$83,Bewertung_Stammdaten!I$83,IF(BG81&lt;Bewertung_Stammdaten!J$84,Bewertung_Stammdaten!I$84,IF(BG81&lt;Bewertung_Stammdaten!J$85,Bewertung_Stammdaten!I$85,Bewertung_Stammdaten!I$86)))))))))</f>
        <v>#N/A</v>
      </c>
      <c r="BK81" s="43"/>
      <c r="BL81" s="12" t="e">
        <f>VLOOKUP(A81,Ausschüttungsquote!A$3:X$103,23,FALSE)</f>
        <v>#N/A</v>
      </c>
      <c r="BM81" s="12" t="e">
        <f>VLOOKUP(A81,Ausschüttungsquote!A$3:X$103,19,FALSE)</f>
        <v>#N/A</v>
      </c>
      <c r="BN81" s="12" t="e">
        <f>VLOOKUP(A81,Ausschüttungsquote!A$3:X$103,24,FALSE)</f>
        <v>#N/A</v>
      </c>
      <c r="BO81" s="32" t="e">
        <f>IF(BL81&lt;Bewertung_Stammdaten!B$90,Bewertung_Stammdaten!A$90,IF(BL81&lt;Bewertung_Stammdaten!B$91,Bewertung_Stammdaten!A$91,IF(BL81&lt;Bewertung_Stammdaten!B$92,Bewertung_Stammdaten!A$92,IF(BL81&lt;Bewertung_Stammdaten!B$93,Bewertung_Stammdaten!A$93,IF(BL81&lt;Bewertung_Stammdaten!B$94,Bewertung_Stammdaten!A$94,IF(BL81&lt;Bewertung_Stammdaten!B$95,Bewertung_Stammdaten!A$95,IF(BL81&lt;Bewertung_Stammdaten!B$96,Bewertung_Stammdaten!A$96,IF(BL81&lt;Bewertung_Stammdaten!B$97,Bewertung_Stammdaten!A$97,IF(BL81&lt;Bewertung_Stammdaten!B$98,Bewertung_Stammdaten!A$98,Bewertung_Stammdaten!A$99)))))))))</f>
        <v>#N/A</v>
      </c>
      <c r="BP81" s="41" t="e">
        <f>IF(BM81&lt;Bewertung_Stammdaten!F$90,Bewertung_Stammdaten!E$90,IF(BM81&lt;Bewertung_Stammdaten!F$91,Bewertung_Stammdaten!E$91,IF(BM81&lt;Bewertung_Stammdaten!F$92,Bewertung_Stammdaten!E$92,IF(BM81&lt;Bewertung_Stammdaten!F$93,Bewertung_Stammdaten!E$93,IF(BM81&lt;Bewertung_Stammdaten!F$94,Bewertung_Stammdaten!E$94,IF(BM81&lt;Bewertung_Stammdaten!F$95,Bewertung_Stammdaten!E$95,IF(BM81&lt;Bewertung_Stammdaten!F$96,Bewertung_Stammdaten!E$96,IF(BM81&lt;Bewertung_Stammdaten!F$97,Bewertung_Stammdaten!E$97,IF(BM81&lt;Bewertung_Stammdaten!F$98,Bewertung_Stammdaten!E$98,Bewertung_Stammdaten!E$99)))))))))</f>
        <v>#N/A</v>
      </c>
      <c r="BQ81" s="32" t="e">
        <f>IF(BN81&lt;Bewertung_Stammdaten!J$90,Bewertung_Stammdaten!I$90,IF(BN81&lt;Bewertung_Stammdaten!J$91,Bewertung_Stammdaten!I$91,IF(BN81&lt;Bewertung_Stammdaten!J$92,Bewertung_Stammdaten!I$92,IF(BN81&lt;Bewertung_Stammdaten!J$93,Bewertung_Stammdaten!I$93,IF(BN81&lt;Bewertung_Stammdaten!J$94,Bewertung_Stammdaten!I$94,IF(BN81&lt;Bewertung_Stammdaten!J$95,Bewertung_Stammdaten!I$95,IF(BN81&lt;Bewertung_Stammdaten!J$96,Bewertung_Stammdaten!I$96,IF(BN81&lt;Bewertung_Stammdaten!J$97,Bewertung_Stammdaten!I$97,IF(BN81&lt;Bewertung_Stammdaten!J$98,Bewertung_Stammdaten!I$98,Bewertung_Stammdaten!I$99)))))))))</f>
        <v>#N/A</v>
      </c>
    </row>
    <row r="82" spans="3:69" x14ac:dyDescent="0.25">
      <c r="C82" s="55" t="s">
        <v>297</v>
      </c>
      <c r="D82" s="32" t="e">
        <f t="shared" si="11"/>
        <v>#N/A</v>
      </c>
      <c r="E82" s="43"/>
      <c r="F82" s="66">
        <v>1</v>
      </c>
      <c r="G82" s="11" t="e">
        <f>VLOOKUP(A82,KGV!A$3:R$103,17,FALSE)</f>
        <v>#N/A</v>
      </c>
      <c r="H82" s="11" t="e">
        <f>VLOOKUP(A82,KGV!A$3:R$103,16,FALSE)</f>
        <v>#N/A</v>
      </c>
      <c r="I82" s="12" t="e">
        <f>VLOOKUP(A82,KGV!A$3:R$103,18,FALSE)</f>
        <v>#N/A</v>
      </c>
      <c r="J82" s="16" t="e">
        <f t="shared" si="12"/>
        <v>#N/A</v>
      </c>
      <c r="K82" s="12" t="e">
        <f t="shared" si="13"/>
        <v>#N/A</v>
      </c>
      <c r="L82" s="11" t="e">
        <f>VLOOKUP(A82,KBV!A$3:R$103,17,FALSE)</f>
        <v>#N/A</v>
      </c>
      <c r="M82" s="11" t="e">
        <f>VLOOKUP(A82,KBV!A$3:R$103,16,FALSE)</f>
        <v>#N/A</v>
      </c>
      <c r="N82" s="12" t="e">
        <f>VLOOKUP(A82,KBV!A$3:R$103,18,FALSE)</f>
        <v>#N/A</v>
      </c>
      <c r="O82" s="16" t="e">
        <f t="shared" si="20"/>
        <v>#N/A</v>
      </c>
      <c r="P82" s="12" t="e">
        <f t="shared" si="21"/>
        <v>#N/A</v>
      </c>
      <c r="Q82" s="32" t="e">
        <f>IF(F82=1,IF(I82&lt;Bewertung_Stammdaten!B$12,Bewertung_Stammdaten!A$12,IF(I82&lt;Bewertung_Stammdaten!B$13,Bewertung_Stammdaten!A$13,IF(I82&lt;Bewertung_Stammdaten!B$14,Bewertung_Stammdaten!A$14,IF(I82&lt;Bewertung_Stammdaten!B$15,Bewertung_Stammdaten!A$15,IF(I82&lt;Bewertung_Stammdaten!B$16,Bewertung_Stammdaten!A$16,IF(I82&lt;Bewertung_Stammdaten!B$17,Bewertung_Stammdaten!A$17,IF(I82&lt;Bewertung_Stammdaten!B$18,Bewertung_Stammdaten!A$18,IF(I82&lt;Bewertung_Stammdaten!B$19,Bewertung_Stammdaten!A$19,IF(I82&lt;Bewertung_Stammdaten!B$20,Bewertung_Stammdaten!A$20,Bewertung_Stammdaten!A$21))))))))),IF(N82&lt;Bewertung_Stammdaten!C$12,Bewertung_Stammdaten!A$12,IF(N82&lt;Bewertung_Stammdaten!C$13,Bewertung_Stammdaten!A$13,IF(N82&lt;Bewertung_Stammdaten!C$14,Bewertung_Stammdaten!A$14,IF(N82&lt;Bewertung_Stammdaten!C$15,Bewertung_Stammdaten!A$15,IF(N82&lt;Bewertung_Stammdaten!C$16,Bewertung_Stammdaten!A$16,IF(N82&lt;Bewertung_Stammdaten!C$17,Bewertung_Stammdaten!A$17,IF(N82&lt;Bewertung_Stammdaten!C$18,Bewertung_Stammdaten!A$18,IF(N82&lt;Bewertung_Stammdaten!C$19,Bewertung_Stammdaten!A$19,IF(N82&lt;Bewertung_Stammdaten!C$20,Bewertung_Stammdaten!A$20,Bewertung_Stammdaten!A$21))))))))))</f>
        <v>#N/A</v>
      </c>
      <c r="R82" s="32" t="e">
        <f>IF(F82=1,IF(K82&lt;Bewertung_Stammdaten!F$12,Bewertung_Stammdaten!E$12,IF(K82&lt;Bewertung_Stammdaten!F$13,Bewertung_Stammdaten!E$13,IF(K82&lt;Bewertung_Stammdaten!F$14,Bewertung_Stammdaten!E$14,IF(K82&lt;Bewertung_Stammdaten!F$15,Bewertung_Stammdaten!E$15,IF(K82&lt;Bewertung_Stammdaten!F$16,Bewertung_Stammdaten!E$16,IF(K82&lt;Bewertung_Stammdaten!F$17,Bewertung_Stammdaten!E$17,IF(K82&lt;Bewertung_Stammdaten!F$18,Bewertung_Stammdaten!E$18,IF(K82&lt;Bewertung_Stammdaten!F$19,Bewertung_Stammdaten!E$19,IF(K82&lt;Bewertung_Stammdaten!F$20,Bewertung_Stammdaten!E$20,Bewertung_Stammdaten!E$21))))))))),IF(P82&lt;Bewertung_Stammdaten!G$12,Bewertung_Stammdaten!E$12,IF(P82&lt;Bewertung_Stammdaten!G$13,Bewertung_Stammdaten!E$13,IF(P82&lt;Bewertung_Stammdaten!G$14,Bewertung_Stammdaten!E$14,IF(P82&lt;Bewertung_Stammdaten!G$15,Bewertung_Stammdaten!E$15,IF(P82&lt;Bewertung_Stammdaten!G$16,Bewertung_Stammdaten!E$16,IF(P82&lt;Bewertung_Stammdaten!G$17,Bewertung_Stammdaten!E$17,IF(P82&lt;Bewertung_Stammdaten!G$18,Bewertung_Stammdaten!E$18,IF(P82&lt;Bewertung_Stammdaten!G$19,Bewertung_Stammdaten!E$19,IF(P82&lt;Bewertung_Stammdaten!G$20,Bewertung_Stammdaten!E$20,Bewertung_Stammdaten!E$21))))))))))</f>
        <v>#N/A</v>
      </c>
      <c r="S82" s="43"/>
      <c r="T82" s="11" t="e">
        <f>VLOOKUP(A82,Buchwert_je_Aktie!A$3:AK$103,23,FALSE)</f>
        <v>#N/A</v>
      </c>
      <c r="U82" s="11" t="e">
        <f>VLOOKUP(A82,Buchwert_je_Aktie!A$3:AK$103,19,FALSE)</f>
        <v>#N/A</v>
      </c>
      <c r="V82" s="12" t="e">
        <f>VLOOKUP(A82,Buchwert_je_Aktie!A$3:AK$103,24,FALSE)</f>
        <v>#N/A</v>
      </c>
      <c r="W82" s="12" t="e">
        <f>VLOOKUP(A82,Buchwert_je_Aktie!A$3:AK$103,37,FALSE)</f>
        <v>#N/A</v>
      </c>
      <c r="X82" s="16" t="e">
        <f t="shared" si="14"/>
        <v>#N/A</v>
      </c>
      <c r="Y82" s="12" t="e">
        <f t="shared" si="15"/>
        <v>#N/A</v>
      </c>
      <c r="Z82" s="51" t="e">
        <f>IF(V82&lt;Bewertung_Stammdaten!B$25,Bewertung_Stammdaten!A$25,IF(V82&lt;Bewertung_Stammdaten!B$26,Bewertung_Stammdaten!A$26,IF(V82&lt;Bewertung_Stammdaten!B$27,Bewertung_Stammdaten!A$27,IF(V82&lt;Bewertung_Stammdaten!B$28,Bewertung_Stammdaten!A$28,IF(V82&lt;Bewertung_Stammdaten!B$29,Bewertung_Stammdaten!A$29,IF(V82&lt;Bewertung_Stammdaten!B$30,Bewertung_Stammdaten!A$30,IF(V82&lt;Bewertung_Stammdaten!B$31,Bewertung_Stammdaten!A$31,IF(V82&lt;Bewertung_Stammdaten!B$32,Bewertung_Stammdaten!A$32,IF(V82&lt;Bewertung_Stammdaten!B$33,Bewertung_Stammdaten!A$33,Bewertung_Stammdaten!A$34)))))))))</f>
        <v>#N/A</v>
      </c>
      <c r="AA82" s="51" t="e">
        <f>IF(W82&lt;Bewertung_Stammdaten!F$25,Bewertung_Stammdaten!E$25,IF(W82&lt;Bewertung_Stammdaten!F$26,Bewertung_Stammdaten!E$26,IF(W82&lt;Bewertung_Stammdaten!F$27,Bewertung_Stammdaten!E$27,IF(W82&lt;Bewertung_Stammdaten!F$28,Bewertung_Stammdaten!E$28,IF(W82&lt;Bewertung_Stammdaten!F$29,Bewertung_Stammdaten!E$29,IF(W82&lt;Bewertung_Stammdaten!F$30,Bewertung_Stammdaten!E$30,IF(W82&lt;Bewertung_Stammdaten!F$31,Bewertung_Stammdaten!E$31,IF(W82&lt;Bewertung_Stammdaten!F$32,Bewertung_Stammdaten!E$32,IF(W82&lt;Bewertung_Stammdaten!F$33,Bewertung_Stammdaten!E$33,Bewertung_Stammdaten!E$34)))))))))</f>
        <v>#N/A</v>
      </c>
      <c r="AB82" s="51" t="e">
        <f>IF(Y82&lt;Bewertung_Stammdaten!J$25,Bewertung_Stammdaten!I$25,IF(Y82&lt;Bewertung_Stammdaten!J$26,Bewertung_Stammdaten!I$26,IF(Y82&lt;Bewertung_Stammdaten!J$27,Bewertung_Stammdaten!I$27,IF(Y82&lt;Bewertung_Stammdaten!J$28,Bewertung_Stammdaten!I$28,IF(Y82&lt;Bewertung_Stammdaten!J$29,Bewertung_Stammdaten!I$29,IF(Y82&lt;Bewertung_Stammdaten!J$30,Bewertung_Stammdaten!I$30,IF(Y82&lt;Bewertung_Stammdaten!J$31,Bewertung_Stammdaten!I$31,IF(Y82&lt;Bewertung_Stammdaten!J$32,Bewertung_Stammdaten!I$32,IF(Y82&lt;Bewertung_Stammdaten!J$33,Bewertung_Stammdaten!I$33,Bewertung_Stammdaten!I$34)))))))))</f>
        <v>#N/A</v>
      </c>
      <c r="AC82" s="43"/>
      <c r="AD82" s="14" t="e">
        <f>VLOOKUP(A82,Ergebnis_je_Aktie_verwässert!A$3:AK$103,23,FALSE)</f>
        <v>#N/A</v>
      </c>
      <c r="AE82" s="14" t="e">
        <f>VLOOKUP(A82,Ergebnis_je_Aktie_verwässert!A$3:AK$103,19,FALSE)</f>
        <v>#N/A</v>
      </c>
      <c r="AF82" s="12" t="e">
        <f>VLOOKUP(A82,Ergebnis_je_Aktie_verwässert!A$3:AK$103,24,FALSE)</f>
        <v>#N/A</v>
      </c>
      <c r="AG82" s="40" t="e">
        <f>VLOOKUP(A82,Ergebnis_je_Aktie_verwässert!A$3:AK$103,37,FALSE)</f>
        <v>#N/A</v>
      </c>
      <c r="AH82" s="16" t="e">
        <f t="shared" si="16"/>
        <v>#N/A</v>
      </c>
      <c r="AI82" s="12" t="e">
        <f t="shared" si="17"/>
        <v>#N/A</v>
      </c>
      <c r="AJ82" s="32" t="e">
        <f>IF(AF82&lt;Bewertung_Stammdaten!B$38,Bewertung_Stammdaten!A$38,IF(AF82&lt;Bewertung_Stammdaten!B$39,Bewertung_Stammdaten!A$39,IF(AF82&lt;Bewertung_Stammdaten!B$40,Bewertung_Stammdaten!A$40,IF(AF82&lt;Bewertung_Stammdaten!B$41,Bewertung_Stammdaten!A$41,IF(AF82&lt;Bewertung_Stammdaten!B$42,Bewertung_Stammdaten!A$42,IF(AF82&lt;Bewertung_Stammdaten!B$43,Bewertung_Stammdaten!A$43,IF(AF82&lt;Bewertung_Stammdaten!B$44,Bewertung_Stammdaten!A$44,IF(AF82&lt;Bewertung_Stammdaten!B$45,Bewertung_Stammdaten!A$45,IF(AF82&lt;Bewertung_Stammdaten!B$46,Bewertung_Stammdaten!A$46,Bewertung_Stammdaten!A$47)))))))))</f>
        <v>#N/A</v>
      </c>
      <c r="AK82" s="32" t="e">
        <f>IF(AG82&lt;Bewertung_Stammdaten!F$38,Bewertung_Stammdaten!E$38,IF(AG82&lt;Bewertung_Stammdaten!F$39,Bewertung_Stammdaten!E$39,IF(AG82&lt;Bewertung_Stammdaten!F$40,Bewertung_Stammdaten!E$40,IF(AG82&lt;Bewertung_Stammdaten!F$41,Bewertung_Stammdaten!E$41,IF(AG82&lt;Bewertung_Stammdaten!F$42,Bewertung_Stammdaten!E$42,IF(AG82&lt;Bewertung_Stammdaten!F$43,Bewertung_Stammdaten!E$43,IF(AG82&lt;Bewertung_Stammdaten!F$44,Bewertung_Stammdaten!E$44,IF(AG82&lt;Bewertung_Stammdaten!F$45,Bewertung_Stammdaten!E$45,IF(AG82&lt;Bewertung_Stammdaten!F$46,Bewertung_Stammdaten!E$46,Bewertung_Stammdaten!E$47)))))))))</f>
        <v>#N/A</v>
      </c>
      <c r="AL82" s="32" t="e">
        <f>IF(AI82&lt;Bewertung_Stammdaten!J$38,Bewertung_Stammdaten!I$38,IF(AI82&lt;Bewertung_Stammdaten!J$39,Bewertung_Stammdaten!I$39,IF(AI82&lt;Bewertung_Stammdaten!J$40,Bewertung_Stammdaten!I$40,IF(AI82&lt;Bewertung_Stammdaten!J$41,Bewertung_Stammdaten!I$41,IF(AI82&lt;Bewertung_Stammdaten!J$42,Bewertung_Stammdaten!I$42,IF(AI82&lt;Bewertung_Stammdaten!J$43,Bewertung_Stammdaten!I$43,IF(AI82&lt;Bewertung_Stammdaten!J$44,Bewertung_Stammdaten!I$44,IF(AI82&lt;Bewertung_Stammdaten!J$45,Bewertung_Stammdaten!I$45,IF(AI82&lt;Bewertung_Stammdaten!J$46,Bewertung_Stammdaten!I$46,Bewertung_Stammdaten!I$47)))))))))</f>
        <v>#N/A</v>
      </c>
      <c r="AM82" s="43"/>
      <c r="AN82" s="14" t="e">
        <f>VLOOKUP(A82,Dividende_je_Aktie!A$3:AM$103,24,FALSE)</f>
        <v>#N/A</v>
      </c>
      <c r="AO82" s="14" t="e">
        <f>VLOOKUP(A82,Dividende_je_Aktie!A$3:AM$103,20,FALSE)</f>
        <v>#N/A</v>
      </c>
      <c r="AP82" s="12" t="e">
        <f>VLOOKUP(A82,Dividende_je_Aktie!A$3:AM$103,25,FALSE)</f>
        <v>#N/A</v>
      </c>
      <c r="AQ82" s="40" t="e">
        <f>VLOOKUP(A82,Dividende_je_Aktie!A$3:AM$103,39,FALSE)</f>
        <v>#N/A</v>
      </c>
      <c r="AR82" s="16" t="e">
        <f t="shared" si="18"/>
        <v>#N/A</v>
      </c>
      <c r="AS82" s="12" t="e">
        <f t="shared" si="19"/>
        <v>#N/A</v>
      </c>
      <c r="AT82" s="32" t="e">
        <f>IF(AP82&lt;Bewertung_Stammdaten!B$51,Bewertung_Stammdaten!A$51,IF(AP82&lt;Bewertung_Stammdaten!B$52,Bewertung_Stammdaten!A$52,IF(AP82&lt;Bewertung_Stammdaten!B$53,Bewertung_Stammdaten!A$53,IF(AP82&lt;Bewertung_Stammdaten!B$54,Bewertung_Stammdaten!A$54,IF(AP82&lt;Bewertung_Stammdaten!B$55,Bewertung_Stammdaten!A$55,IF(AP82&lt;Bewertung_Stammdaten!B$56,Bewertung_Stammdaten!A$56,IF(AP82&lt;Bewertung_Stammdaten!B$57,Bewertung_Stammdaten!A$57,IF(AP82&lt;Bewertung_Stammdaten!B$58,Bewertung_Stammdaten!A$58,IF(AP82&lt;Bewertung_Stammdaten!B$59,Bewertung_Stammdaten!A$59,Bewertung_Stammdaten!A$60)))))))))</f>
        <v>#N/A</v>
      </c>
      <c r="AU82" s="32" t="e">
        <f>IF(AQ82&lt;Bewertung_Stammdaten!F$51,Bewertung_Stammdaten!E$51,IF(AQ82&lt;Bewertung_Stammdaten!F$52,Bewertung_Stammdaten!E$52,IF(AQ82&lt;Bewertung_Stammdaten!F$53,Bewertung_Stammdaten!E$53,IF(AQ82&lt;Bewertung_Stammdaten!F$54,Bewertung_Stammdaten!E$54,IF(AQ82&lt;Bewertung_Stammdaten!F$55,Bewertung_Stammdaten!E$55,IF(AQ82&lt;Bewertung_Stammdaten!F$56,Bewertung_Stammdaten!E$56,IF(AQ82&lt;Bewertung_Stammdaten!F$57,Bewertung_Stammdaten!E$57,IF(AQ82&lt;Bewertung_Stammdaten!F$58,Bewertung_Stammdaten!E$58,IF(AQ82&lt;Bewertung_Stammdaten!F$59,Bewertung_Stammdaten!E$59,Bewertung_Stammdaten!E$60)))))))))</f>
        <v>#N/A</v>
      </c>
      <c r="AV82" s="32" t="e">
        <f>IF(AS82&lt;Bewertung_Stammdaten!J$51,Bewertung_Stammdaten!I$51,IF(AS82&lt;Bewertung_Stammdaten!J$52,Bewertung_Stammdaten!I$52,IF(AS82&lt;Bewertung_Stammdaten!J$53,Bewertung_Stammdaten!I$53,IF(AS82&lt;Bewertung_Stammdaten!J$54,Bewertung_Stammdaten!I$54,IF(AS82&lt;Bewertung_Stammdaten!J$55,Bewertung_Stammdaten!I$55,IF(AS82&lt;Bewertung_Stammdaten!J$56,Bewertung_Stammdaten!I$56,IF(AS82&lt;Bewertung_Stammdaten!J$57,Bewertung_Stammdaten!I$57,IF(AS82&lt;Bewertung_Stammdaten!J$58,Bewertung_Stammdaten!I$58,IF(AS82&lt;Bewertung_Stammdaten!J$59,Bewertung_Stammdaten!I$59,Bewertung_Stammdaten!I$60)))))))))</f>
        <v>#N/A</v>
      </c>
      <c r="AW82" s="43"/>
      <c r="AX82" s="12" t="e">
        <f>VLOOKUP(A82,Dividendenrendite!A$3:R$103,17,FALSE)</f>
        <v>#N/A</v>
      </c>
      <c r="AY82" s="12" t="e">
        <f>VLOOKUP(A82,Dividendenrendite!A$3:R$103,16,FALSE)</f>
        <v>#N/A</v>
      </c>
      <c r="AZ82" s="12" t="e">
        <f>VLOOKUP(A82,Dividendenrendite!A$3:R$103,18,FALSE)</f>
        <v>#N/A</v>
      </c>
      <c r="BA82" s="32" t="e">
        <f>IF(AX82&lt;Bewertung_Stammdaten!B$64,Bewertung_Stammdaten!A$64,IF(AX82&lt;Bewertung_Stammdaten!B$65,Bewertung_Stammdaten!A$65,IF(AX82&lt;Bewertung_Stammdaten!B$66,Bewertung_Stammdaten!A$66,IF(AX82&lt;Bewertung_Stammdaten!B$67,Bewertung_Stammdaten!A$67,IF(AX82&lt;Bewertung_Stammdaten!B$68,Bewertung_Stammdaten!A$68,IF(AX82&lt;Bewertung_Stammdaten!B$69,Bewertung_Stammdaten!A$69,IF(AX82&lt;Bewertung_Stammdaten!B$70,Bewertung_Stammdaten!A$70,IF(AX82&lt;Bewertung_Stammdaten!B$71,Bewertung_Stammdaten!A$71,IF(AX82&lt;Bewertung_Stammdaten!B$72,Bewertung_Stammdaten!A$72,Bewertung_Stammdaten!A$73)))))))))</f>
        <v>#N/A</v>
      </c>
      <c r="BB82" s="32" t="e">
        <f>IF(AY82&lt;Bewertung_Stammdaten!F$64,Bewertung_Stammdaten!E$64,IF(AY82&lt;Bewertung_Stammdaten!F$65,Bewertung_Stammdaten!E$65,IF(AY82&lt;Bewertung_Stammdaten!F$66,Bewertung_Stammdaten!E$66,IF(AY82&lt;Bewertung_Stammdaten!F$67,Bewertung_Stammdaten!E$67,IF(AY82&lt;Bewertung_Stammdaten!F$68,Bewertung_Stammdaten!E$68,IF(AY82&lt;Bewertung_Stammdaten!F$69,Bewertung_Stammdaten!E$69,IF(AY82&lt;Bewertung_Stammdaten!F$70,Bewertung_Stammdaten!E$70,IF(AY82&lt;Bewertung_Stammdaten!F$71,Bewertung_Stammdaten!E$71,IF(AY82&lt;Bewertung_Stammdaten!F$72,Bewertung_Stammdaten!E$72,Bewertung_Stammdaten!E$73)))))))))</f>
        <v>#N/A</v>
      </c>
      <c r="BC82" s="32" t="e">
        <f>IF(AZ82&lt;Bewertung_Stammdaten!J$64,Bewertung_Stammdaten!I$64,IF(AZ82&lt;Bewertung_Stammdaten!J$65,Bewertung_Stammdaten!I$65,IF(AZ82&lt;Bewertung_Stammdaten!J$66,Bewertung_Stammdaten!I$66,IF(AZ82&lt;Bewertung_Stammdaten!J$67,Bewertung_Stammdaten!I$67,IF(AZ82&lt;Bewertung_Stammdaten!J$68,Bewertung_Stammdaten!I$68,IF(AZ82&lt;Bewertung_Stammdaten!J$69,Bewertung_Stammdaten!I$69,IF(AZ82&lt;Bewertung_Stammdaten!J$70,Bewertung_Stammdaten!I$70,IF(AZ82&lt;Bewertung_Stammdaten!J$71,Bewertung_Stammdaten!I$71,IF(AZ82&lt;Bewertung_Stammdaten!J$72,Bewertung_Stammdaten!I$72,Bewertung_Stammdaten!I$73)))))))))</f>
        <v>#N/A</v>
      </c>
      <c r="BD82" s="43"/>
      <c r="BE82" s="12" t="e">
        <f>VLOOKUP(A82,Aktien_im_Umlauf_splitbereinigt!A$3:Z$103,26,FALSE)</f>
        <v>#N/A</v>
      </c>
      <c r="BF82" s="12" t="e">
        <f>VLOOKUP(A82,Aktien_im_Umlauf_splitbereinigt!A$3:Y$103,24,FALSE)</f>
        <v>#N/A</v>
      </c>
      <c r="BG82" s="12" t="e">
        <f>VLOOKUP(A82,Aktien_im_Umlauf_splitbereinigt!A$3:Y$103,25,FALSE)</f>
        <v>#N/A</v>
      </c>
      <c r="BH82" s="41" t="e">
        <f>IF(BE82&lt;Bewertung_Stammdaten!B$77,Bewertung_Stammdaten!A$77,IF(BE82&lt;Bewertung_Stammdaten!B$78,Bewertung_Stammdaten!A$78,IF(BE82&lt;Bewertung_Stammdaten!B$79,Bewertung_Stammdaten!A$79,IF(BE82&lt;Bewertung_Stammdaten!B$80,Bewertung_Stammdaten!A$80,IF(BE82&lt;Bewertung_Stammdaten!B$81,Bewertung_Stammdaten!A$81,IF(BE82&lt;Bewertung_Stammdaten!B$82,Bewertung_Stammdaten!A$82,IF(BE82&lt;Bewertung_Stammdaten!B$83,Bewertung_Stammdaten!A$83,IF(BE82&lt;Bewertung_Stammdaten!B$84,Bewertung_Stammdaten!A$84,IF(BE82&lt;Bewertung_Stammdaten!B$85,Bewertung_Stammdaten!A$85,Bewertung_Stammdaten!A$86)))))))))</f>
        <v>#N/A</v>
      </c>
      <c r="BI82" s="41" t="e">
        <f>IF(BF82&lt;Bewertung_Stammdaten!F$77,Bewertung_Stammdaten!E$77,IF(BF82&lt;Bewertung_Stammdaten!F$78,Bewertung_Stammdaten!E$78,IF(BF82&lt;Bewertung_Stammdaten!F$79,Bewertung_Stammdaten!E$79,IF(BF82&lt;Bewertung_Stammdaten!F$80,Bewertung_Stammdaten!E$80,IF(BF82&lt;Bewertung_Stammdaten!F$81,Bewertung_Stammdaten!E$81,IF(BF82&lt;Bewertung_Stammdaten!F$82,Bewertung_Stammdaten!E$82,IF(BF82&lt;Bewertung_Stammdaten!F$83,Bewertung_Stammdaten!E$83,IF(BF82&lt;Bewertung_Stammdaten!F$84,Bewertung_Stammdaten!E$84,IF(BF82&lt;Bewertung_Stammdaten!F$85,Bewertung_Stammdaten!E$85,Bewertung_Stammdaten!E$86)))))))))</f>
        <v>#N/A</v>
      </c>
      <c r="BJ82" s="41" t="e">
        <f>IF(BG82&lt;Bewertung_Stammdaten!J$77,Bewertung_Stammdaten!I$77,IF(BG82&lt;Bewertung_Stammdaten!J$78,Bewertung_Stammdaten!I$78,IF(BG82&lt;Bewertung_Stammdaten!J$79,Bewertung_Stammdaten!I$79,IF(BG82&lt;Bewertung_Stammdaten!J$80,Bewertung_Stammdaten!I$80,IF(BG82&lt;Bewertung_Stammdaten!J$81,Bewertung_Stammdaten!I$81,IF(BG82&lt;Bewertung_Stammdaten!J$82,Bewertung_Stammdaten!I$82,IF(BG82&lt;Bewertung_Stammdaten!J$83,Bewertung_Stammdaten!I$83,IF(BG82&lt;Bewertung_Stammdaten!J$84,Bewertung_Stammdaten!I$84,IF(BG82&lt;Bewertung_Stammdaten!J$85,Bewertung_Stammdaten!I$85,Bewertung_Stammdaten!I$86)))))))))</f>
        <v>#N/A</v>
      </c>
      <c r="BK82" s="43"/>
      <c r="BL82" s="12" t="e">
        <f>VLOOKUP(A82,Ausschüttungsquote!A$3:X$103,23,FALSE)</f>
        <v>#N/A</v>
      </c>
      <c r="BM82" s="12" t="e">
        <f>VLOOKUP(A82,Ausschüttungsquote!A$3:X$103,19,FALSE)</f>
        <v>#N/A</v>
      </c>
      <c r="BN82" s="12" t="e">
        <f>VLOOKUP(A82,Ausschüttungsquote!A$3:X$103,24,FALSE)</f>
        <v>#N/A</v>
      </c>
      <c r="BO82" s="32" t="e">
        <f>IF(BL82&lt;Bewertung_Stammdaten!B$90,Bewertung_Stammdaten!A$90,IF(BL82&lt;Bewertung_Stammdaten!B$91,Bewertung_Stammdaten!A$91,IF(BL82&lt;Bewertung_Stammdaten!B$92,Bewertung_Stammdaten!A$92,IF(BL82&lt;Bewertung_Stammdaten!B$93,Bewertung_Stammdaten!A$93,IF(BL82&lt;Bewertung_Stammdaten!B$94,Bewertung_Stammdaten!A$94,IF(BL82&lt;Bewertung_Stammdaten!B$95,Bewertung_Stammdaten!A$95,IF(BL82&lt;Bewertung_Stammdaten!B$96,Bewertung_Stammdaten!A$96,IF(BL82&lt;Bewertung_Stammdaten!B$97,Bewertung_Stammdaten!A$97,IF(BL82&lt;Bewertung_Stammdaten!B$98,Bewertung_Stammdaten!A$98,Bewertung_Stammdaten!A$99)))))))))</f>
        <v>#N/A</v>
      </c>
      <c r="BP82" s="41" t="e">
        <f>IF(BM82&lt;Bewertung_Stammdaten!F$90,Bewertung_Stammdaten!E$90,IF(BM82&lt;Bewertung_Stammdaten!F$91,Bewertung_Stammdaten!E$91,IF(BM82&lt;Bewertung_Stammdaten!F$92,Bewertung_Stammdaten!E$92,IF(BM82&lt;Bewertung_Stammdaten!F$93,Bewertung_Stammdaten!E$93,IF(BM82&lt;Bewertung_Stammdaten!F$94,Bewertung_Stammdaten!E$94,IF(BM82&lt;Bewertung_Stammdaten!F$95,Bewertung_Stammdaten!E$95,IF(BM82&lt;Bewertung_Stammdaten!F$96,Bewertung_Stammdaten!E$96,IF(BM82&lt;Bewertung_Stammdaten!F$97,Bewertung_Stammdaten!E$97,IF(BM82&lt;Bewertung_Stammdaten!F$98,Bewertung_Stammdaten!E$98,Bewertung_Stammdaten!E$99)))))))))</f>
        <v>#N/A</v>
      </c>
      <c r="BQ82" s="32" t="e">
        <f>IF(BN82&lt;Bewertung_Stammdaten!J$90,Bewertung_Stammdaten!I$90,IF(BN82&lt;Bewertung_Stammdaten!J$91,Bewertung_Stammdaten!I$91,IF(BN82&lt;Bewertung_Stammdaten!J$92,Bewertung_Stammdaten!I$92,IF(BN82&lt;Bewertung_Stammdaten!J$93,Bewertung_Stammdaten!I$93,IF(BN82&lt;Bewertung_Stammdaten!J$94,Bewertung_Stammdaten!I$94,IF(BN82&lt;Bewertung_Stammdaten!J$95,Bewertung_Stammdaten!I$95,IF(BN82&lt;Bewertung_Stammdaten!J$96,Bewertung_Stammdaten!I$96,IF(BN82&lt;Bewertung_Stammdaten!J$97,Bewertung_Stammdaten!I$97,IF(BN82&lt;Bewertung_Stammdaten!J$98,Bewertung_Stammdaten!I$98,Bewertung_Stammdaten!I$99)))))))))</f>
        <v>#N/A</v>
      </c>
    </row>
    <row r="83" spans="3:69" x14ac:dyDescent="0.25">
      <c r="C83" s="55" t="s">
        <v>297</v>
      </c>
      <c r="D83" s="32" t="e">
        <f t="shared" si="11"/>
        <v>#N/A</v>
      </c>
      <c r="E83" s="43"/>
      <c r="F83" s="66">
        <v>1</v>
      </c>
      <c r="G83" s="11" t="e">
        <f>VLOOKUP(A83,KGV!A$3:R$103,17,FALSE)</f>
        <v>#N/A</v>
      </c>
      <c r="H83" s="11" t="e">
        <f>VLOOKUP(A83,KGV!A$3:R$103,16,FALSE)</f>
        <v>#N/A</v>
      </c>
      <c r="I83" s="12" t="e">
        <f>VLOOKUP(A83,KGV!A$3:R$103,18,FALSE)</f>
        <v>#N/A</v>
      </c>
      <c r="J83" s="16" t="e">
        <f t="shared" si="12"/>
        <v>#N/A</v>
      </c>
      <c r="K83" s="12" t="e">
        <f t="shared" si="13"/>
        <v>#N/A</v>
      </c>
      <c r="L83" s="11" t="e">
        <f>VLOOKUP(A83,KBV!A$3:R$103,17,FALSE)</f>
        <v>#N/A</v>
      </c>
      <c r="M83" s="11" t="e">
        <f>VLOOKUP(A83,KBV!A$3:R$103,16,FALSE)</f>
        <v>#N/A</v>
      </c>
      <c r="N83" s="12" t="e">
        <f>VLOOKUP(A83,KBV!A$3:R$103,18,FALSE)</f>
        <v>#N/A</v>
      </c>
      <c r="O83" s="16" t="e">
        <f t="shared" si="20"/>
        <v>#N/A</v>
      </c>
      <c r="P83" s="12" t="e">
        <f t="shared" si="21"/>
        <v>#N/A</v>
      </c>
      <c r="Q83" s="32" t="e">
        <f>IF(F83=1,IF(I83&lt;Bewertung_Stammdaten!B$12,Bewertung_Stammdaten!A$12,IF(I83&lt;Bewertung_Stammdaten!B$13,Bewertung_Stammdaten!A$13,IF(I83&lt;Bewertung_Stammdaten!B$14,Bewertung_Stammdaten!A$14,IF(I83&lt;Bewertung_Stammdaten!B$15,Bewertung_Stammdaten!A$15,IF(I83&lt;Bewertung_Stammdaten!B$16,Bewertung_Stammdaten!A$16,IF(I83&lt;Bewertung_Stammdaten!B$17,Bewertung_Stammdaten!A$17,IF(I83&lt;Bewertung_Stammdaten!B$18,Bewertung_Stammdaten!A$18,IF(I83&lt;Bewertung_Stammdaten!B$19,Bewertung_Stammdaten!A$19,IF(I83&lt;Bewertung_Stammdaten!B$20,Bewertung_Stammdaten!A$20,Bewertung_Stammdaten!A$21))))))))),IF(N83&lt;Bewertung_Stammdaten!C$12,Bewertung_Stammdaten!A$12,IF(N83&lt;Bewertung_Stammdaten!C$13,Bewertung_Stammdaten!A$13,IF(N83&lt;Bewertung_Stammdaten!C$14,Bewertung_Stammdaten!A$14,IF(N83&lt;Bewertung_Stammdaten!C$15,Bewertung_Stammdaten!A$15,IF(N83&lt;Bewertung_Stammdaten!C$16,Bewertung_Stammdaten!A$16,IF(N83&lt;Bewertung_Stammdaten!C$17,Bewertung_Stammdaten!A$17,IF(N83&lt;Bewertung_Stammdaten!C$18,Bewertung_Stammdaten!A$18,IF(N83&lt;Bewertung_Stammdaten!C$19,Bewertung_Stammdaten!A$19,IF(N83&lt;Bewertung_Stammdaten!C$20,Bewertung_Stammdaten!A$20,Bewertung_Stammdaten!A$21))))))))))</f>
        <v>#N/A</v>
      </c>
      <c r="R83" s="32" t="e">
        <f>IF(F83=1,IF(K83&lt;Bewertung_Stammdaten!F$12,Bewertung_Stammdaten!E$12,IF(K83&lt;Bewertung_Stammdaten!F$13,Bewertung_Stammdaten!E$13,IF(K83&lt;Bewertung_Stammdaten!F$14,Bewertung_Stammdaten!E$14,IF(K83&lt;Bewertung_Stammdaten!F$15,Bewertung_Stammdaten!E$15,IF(K83&lt;Bewertung_Stammdaten!F$16,Bewertung_Stammdaten!E$16,IF(K83&lt;Bewertung_Stammdaten!F$17,Bewertung_Stammdaten!E$17,IF(K83&lt;Bewertung_Stammdaten!F$18,Bewertung_Stammdaten!E$18,IF(K83&lt;Bewertung_Stammdaten!F$19,Bewertung_Stammdaten!E$19,IF(K83&lt;Bewertung_Stammdaten!F$20,Bewertung_Stammdaten!E$20,Bewertung_Stammdaten!E$21))))))))),IF(P83&lt;Bewertung_Stammdaten!G$12,Bewertung_Stammdaten!E$12,IF(P83&lt;Bewertung_Stammdaten!G$13,Bewertung_Stammdaten!E$13,IF(P83&lt;Bewertung_Stammdaten!G$14,Bewertung_Stammdaten!E$14,IF(P83&lt;Bewertung_Stammdaten!G$15,Bewertung_Stammdaten!E$15,IF(P83&lt;Bewertung_Stammdaten!G$16,Bewertung_Stammdaten!E$16,IF(P83&lt;Bewertung_Stammdaten!G$17,Bewertung_Stammdaten!E$17,IF(P83&lt;Bewertung_Stammdaten!G$18,Bewertung_Stammdaten!E$18,IF(P83&lt;Bewertung_Stammdaten!G$19,Bewertung_Stammdaten!E$19,IF(P83&lt;Bewertung_Stammdaten!G$20,Bewertung_Stammdaten!E$20,Bewertung_Stammdaten!E$21))))))))))</f>
        <v>#N/A</v>
      </c>
      <c r="S83" s="43"/>
      <c r="T83" s="11" t="e">
        <f>VLOOKUP(A83,Buchwert_je_Aktie!A$3:AK$103,23,FALSE)</f>
        <v>#N/A</v>
      </c>
      <c r="U83" s="11" t="e">
        <f>VLOOKUP(A83,Buchwert_je_Aktie!A$3:AK$103,19,FALSE)</f>
        <v>#N/A</v>
      </c>
      <c r="V83" s="12" t="e">
        <f>VLOOKUP(A83,Buchwert_je_Aktie!A$3:AK$103,24,FALSE)</f>
        <v>#N/A</v>
      </c>
      <c r="W83" s="12" t="e">
        <f>VLOOKUP(A83,Buchwert_je_Aktie!A$3:AK$103,37,FALSE)</f>
        <v>#N/A</v>
      </c>
      <c r="X83" s="16" t="e">
        <f t="shared" si="14"/>
        <v>#N/A</v>
      </c>
      <c r="Y83" s="12" t="e">
        <f t="shared" si="15"/>
        <v>#N/A</v>
      </c>
      <c r="Z83" s="51" t="e">
        <f>IF(V83&lt;Bewertung_Stammdaten!B$25,Bewertung_Stammdaten!A$25,IF(V83&lt;Bewertung_Stammdaten!B$26,Bewertung_Stammdaten!A$26,IF(V83&lt;Bewertung_Stammdaten!B$27,Bewertung_Stammdaten!A$27,IF(V83&lt;Bewertung_Stammdaten!B$28,Bewertung_Stammdaten!A$28,IF(V83&lt;Bewertung_Stammdaten!B$29,Bewertung_Stammdaten!A$29,IF(V83&lt;Bewertung_Stammdaten!B$30,Bewertung_Stammdaten!A$30,IF(V83&lt;Bewertung_Stammdaten!B$31,Bewertung_Stammdaten!A$31,IF(V83&lt;Bewertung_Stammdaten!B$32,Bewertung_Stammdaten!A$32,IF(V83&lt;Bewertung_Stammdaten!B$33,Bewertung_Stammdaten!A$33,Bewertung_Stammdaten!A$34)))))))))</f>
        <v>#N/A</v>
      </c>
      <c r="AA83" s="51" t="e">
        <f>IF(W83&lt;Bewertung_Stammdaten!F$25,Bewertung_Stammdaten!E$25,IF(W83&lt;Bewertung_Stammdaten!F$26,Bewertung_Stammdaten!E$26,IF(W83&lt;Bewertung_Stammdaten!F$27,Bewertung_Stammdaten!E$27,IF(W83&lt;Bewertung_Stammdaten!F$28,Bewertung_Stammdaten!E$28,IF(W83&lt;Bewertung_Stammdaten!F$29,Bewertung_Stammdaten!E$29,IF(W83&lt;Bewertung_Stammdaten!F$30,Bewertung_Stammdaten!E$30,IF(W83&lt;Bewertung_Stammdaten!F$31,Bewertung_Stammdaten!E$31,IF(W83&lt;Bewertung_Stammdaten!F$32,Bewertung_Stammdaten!E$32,IF(W83&lt;Bewertung_Stammdaten!F$33,Bewertung_Stammdaten!E$33,Bewertung_Stammdaten!E$34)))))))))</f>
        <v>#N/A</v>
      </c>
      <c r="AB83" s="51" t="e">
        <f>IF(Y83&lt;Bewertung_Stammdaten!J$25,Bewertung_Stammdaten!I$25,IF(Y83&lt;Bewertung_Stammdaten!J$26,Bewertung_Stammdaten!I$26,IF(Y83&lt;Bewertung_Stammdaten!J$27,Bewertung_Stammdaten!I$27,IF(Y83&lt;Bewertung_Stammdaten!J$28,Bewertung_Stammdaten!I$28,IF(Y83&lt;Bewertung_Stammdaten!J$29,Bewertung_Stammdaten!I$29,IF(Y83&lt;Bewertung_Stammdaten!J$30,Bewertung_Stammdaten!I$30,IF(Y83&lt;Bewertung_Stammdaten!J$31,Bewertung_Stammdaten!I$31,IF(Y83&lt;Bewertung_Stammdaten!J$32,Bewertung_Stammdaten!I$32,IF(Y83&lt;Bewertung_Stammdaten!J$33,Bewertung_Stammdaten!I$33,Bewertung_Stammdaten!I$34)))))))))</f>
        <v>#N/A</v>
      </c>
      <c r="AC83" s="43"/>
      <c r="AD83" s="14" t="e">
        <f>VLOOKUP(A83,Ergebnis_je_Aktie_verwässert!A$3:AK$103,23,FALSE)</f>
        <v>#N/A</v>
      </c>
      <c r="AE83" s="14" t="e">
        <f>VLOOKUP(A83,Ergebnis_je_Aktie_verwässert!A$3:AK$103,19,FALSE)</f>
        <v>#N/A</v>
      </c>
      <c r="AF83" s="12" t="e">
        <f>VLOOKUP(A83,Ergebnis_je_Aktie_verwässert!A$3:AK$103,24,FALSE)</f>
        <v>#N/A</v>
      </c>
      <c r="AG83" s="40" t="e">
        <f>VLOOKUP(A83,Ergebnis_je_Aktie_verwässert!A$3:AK$103,37,FALSE)</f>
        <v>#N/A</v>
      </c>
      <c r="AH83" s="16" t="e">
        <f t="shared" si="16"/>
        <v>#N/A</v>
      </c>
      <c r="AI83" s="12" t="e">
        <f t="shared" si="17"/>
        <v>#N/A</v>
      </c>
      <c r="AJ83" s="32" t="e">
        <f>IF(AF83&lt;Bewertung_Stammdaten!B$38,Bewertung_Stammdaten!A$38,IF(AF83&lt;Bewertung_Stammdaten!B$39,Bewertung_Stammdaten!A$39,IF(AF83&lt;Bewertung_Stammdaten!B$40,Bewertung_Stammdaten!A$40,IF(AF83&lt;Bewertung_Stammdaten!B$41,Bewertung_Stammdaten!A$41,IF(AF83&lt;Bewertung_Stammdaten!B$42,Bewertung_Stammdaten!A$42,IF(AF83&lt;Bewertung_Stammdaten!B$43,Bewertung_Stammdaten!A$43,IF(AF83&lt;Bewertung_Stammdaten!B$44,Bewertung_Stammdaten!A$44,IF(AF83&lt;Bewertung_Stammdaten!B$45,Bewertung_Stammdaten!A$45,IF(AF83&lt;Bewertung_Stammdaten!B$46,Bewertung_Stammdaten!A$46,Bewertung_Stammdaten!A$47)))))))))</f>
        <v>#N/A</v>
      </c>
      <c r="AK83" s="32" t="e">
        <f>IF(AG83&lt;Bewertung_Stammdaten!F$38,Bewertung_Stammdaten!E$38,IF(AG83&lt;Bewertung_Stammdaten!F$39,Bewertung_Stammdaten!E$39,IF(AG83&lt;Bewertung_Stammdaten!F$40,Bewertung_Stammdaten!E$40,IF(AG83&lt;Bewertung_Stammdaten!F$41,Bewertung_Stammdaten!E$41,IF(AG83&lt;Bewertung_Stammdaten!F$42,Bewertung_Stammdaten!E$42,IF(AG83&lt;Bewertung_Stammdaten!F$43,Bewertung_Stammdaten!E$43,IF(AG83&lt;Bewertung_Stammdaten!F$44,Bewertung_Stammdaten!E$44,IF(AG83&lt;Bewertung_Stammdaten!F$45,Bewertung_Stammdaten!E$45,IF(AG83&lt;Bewertung_Stammdaten!F$46,Bewertung_Stammdaten!E$46,Bewertung_Stammdaten!E$47)))))))))</f>
        <v>#N/A</v>
      </c>
      <c r="AL83" s="32" t="e">
        <f>IF(AI83&lt;Bewertung_Stammdaten!J$38,Bewertung_Stammdaten!I$38,IF(AI83&lt;Bewertung_Stammdaten!J$39,Bewertung_Stammdaten!I$39,IF(AI83&lt;Bewertung_Stammdaten!J$40,Bewertung_Stammdaten!I$40,IF(AI83&lt;Bewertung_Stammdaten!J$41,Bewertung_Stammdaten!I$41,IF(AI83&lt;Bewertung_Stammdaten!J$42,Bewertung_Stammdaten!I$42,IF(AI83&lt;Bewertung_Stammdaten!J$43,Bewertung_Stammdaten!I$43,IF(AI83&lt;Bewertung_Stammdaten!J$44,Bewertung_Stammdaten!I$44,IF(AI83&lt;Bewertung_Stammdaten!J$45,Bewertung_Stammdaten!I$45,IF(AI83&lt;Bewertung_Stammdaten!J$46,Bewertung_Stammdaten!I$46,Bewertung_Stammdaten!I$47)))))))))</f>
        <v>#N/A</v>
      </c>
      <c r="AM83" s="43"/>
      <c r="AN83" s="14" t="e">
        <f>VLOOKUP(A83,Dividende_je_Aktie!A$3:AM$103,24,FALSE)</f>
        <v>#N/A</v>
      </c>
      <c r="AO83" s="14" t="e">
        <f>VLOOKUP(A83,Dividende_je_Aktie!A$3:AM$103,20,FALSE)</f>
        <v>#N/A</v>
      </c>
      <c r="AP83" s="12" t="e">
        <f>VLOOKUP(A83,Dividende_je_Aktie!A$3:AM$103,25,FALSE)</f>
        <v>#N/A</v>
      </c>
      <c r="AQ83" s="40" t="e">
        <f>VLOOKUP(A83,Dividende_je_Aktie!A$3:AM$103,39,FALSE)</f>
        <v>#N/A</v>
      </c>
      <c r="AR83" s="16" t="e">
        <f t="shared" si="18"/>
        <v>#N/A</v>
      </c>
      <c r="AS83" s="12" t="e">
        <f t="shared" si="19"/>
        <v>#N/A</v>
      </c>
      <c r="AT83" s="32" t="e">
        <f>IF(AP83&lt;Bewertung_Stammdaten!B$51,Bewertung_Stammdaten!A$51,IF(AP83&lt;Bewertung_Stammdaten!B$52,Bewertung_Stammdaten!A$52,IF(AP83&lt;Bewertung_Stammdaten!B$53,Bewertung_Stammdaten!A$53,IF(AP83&lt;Bewertung_Stammdaten!B$54,Bewertung_Stammdaten!A$54,IF(AP83&lt;Bewertung_Stammdaten!B$55,Bewertung_Stammdaten!A$55,IF(AP83&lt;Bewertung_Stammdaten!B$56,Bewertung_Stammdaten!A$56,IF(AP83&lt;Bewertung_Stammdaten!B$57,Bewertung_Stammdaten!A$57,IF(AP83&lt;Bewertung_Stammdaten!B$58,Bewertung_Stammdaten!A$58,IF(AP83&lt;Bewertung_Stammdaten!B$59,Bewertung_Stammdaten!A$59,Bewertung_Stammdaten!A$60)))))))))</f>
        <v>#N/A</v>
      </c>
      <c r="AU83" s="32" t="e">
        <f>IF(AQ83&lt;Bewertung_Stammdaten!F$51,Bewertung_Stammdaten!E$51,IF(AQ83&lt;Bewertung_Stammdaten!F$52,Bewertung_Stammdaten!E$52,IF(AQ83&lt;Bewertung_Stammdaten!F$53,Bewertung_Stammdaten!E$53,IF(AQ83&lt;Bewertung_Stammdaten!F$54,Bewertung_Stammdaten!E$54,IF(AQ83&lt;Bewertung_Stammdaten!F$55,Bewertung_Stammdaten!E$55,IF(AQ83&lt;Bewertung_Stammdaten!F$56,Bewertung_Stammdaten!E$56,IF(AQ83&lt;Bewertung_Stammdaten!F$57,Bewertung_Stammdaten!E$57,IF(AQ83&lt;Bewertung_Stammdaten!F$58,Bewertung_Stammdaten!E$58,IF(AQ83&lt;Bewertung_Stammdaten!F$59,Bewertung_Stammdaten!E$59,Bewertung_Stammdaten!E$60)))))))))</f>
        <v>#N/A</v>
      </c>
      <c r="AV83" s="32" t="e">
        <f>IF(AS83&lt;Bewertung_Stammdaten!J$51,Bewertung_Stammdaten!I$51,IF(AS83&lt;Bewertung_Stammdaten!J$52,Bewertung_Stammdaten!I$52,IF(AS83&lt;Bewertung_Stammdaten!J$53,Bewertung_Stammdaten!I$53,IF(AS83&lt;Bewertung_Stammdaten!J$54,Bewertung_Stammdaten!I$54,IF(AS83&lt;Bewertung_Stammdaten!J$55,Bewertung_Stammdaten!I$55,IF(AS83&lt;Bewertung_Stammdaten!J$56,Bewertung_Stammdaten!I$56,IF(AS83&lt;Bewertung_Stammdaten!J$57,Bewertung_Stammdaten!I$57,IF(AS83&lt;Bewertung_Stammdaten!J$58,Bewertung_Stammdaten!I$58,IF(AS83&lt;Bewertung_Stammdaten!J$59,Bewertung_Stammdaten!I$59,Bewertung_Stammdaten!I$60)))))))))</f>
        <v>#N/A</v>
      </c>
      <c r="AW83" s="43"/>
      <c r="AX83" s="12" t="e">
        <f>VLOOKUP(A83,Dividendenrendite!A$3:R$103,17,FALSE)</f>
        <v>#N/A</v>
      </c>
      <c r="AY83" s="12" t="e">
        <f>VLOOKUP(A83,Dividendenrendite!A$3:R$103,16,FALSE)</f>
        <v>#N/A</v>
      </c>
      <c r="AZ83" s="12" t="e">
        <f>VLOOKUP(A83,Dividendenrendite!A$3:R$103,18,FALSE)</f>
        <v>#N/A</v>
      </c>
      <c r="BA83" s="32" t="e">
        <f>IF(AX83&lt;Bewertung_Stammdaten!B$64,Bewertung_Stammdaten!A$64,IF(AX83&lt;Bewertung_Stammdaten!B$65,Bewertung_Stammdaten!A$65,IF(AX83&lt;Bewertung_Stammdaten!B$66,Bewertung_Stammdaten!A$66,IF(AX83&lt;Bewertung_Stammdaten!B$67,Bewertung_Stammdaten!A$67,IF(AX83&lt;Bewertung_Stammdaten!B$68,Bewertung_Stammdaten!A$68,IF(AX83&lt;Bewertung_Stammdaten!B$69,Bewertung_Stammdaten!A$69,IF(AX83&lt;Bewertung_Stammdaten!B$70,Bewertung_Stammdaten!A$70,IF(AX83&lt;Bewertung_Stammdaten!B$71,Bewertung_Stammdaten!A$71,IF(AX83&lt;Bewertung_Stammdaten!B$72,Bewertung_Stammdaten!A$72,Bewertung_Stammdaten!A$73)))))))))</f>
        <v>#N/A</v>
      </c>
      <c r="BB83" s="32" t="e">
        <f>IF(AY83&lt;Bewertung_Stammdaten!F$64,Bewertung_Stammdaten!E$64,IF(AY83&lt;Bewertung_Stammdaten!F$65,Bewertung_Stammdaten!E$65,IF(AY83&lt;Bewertung_Stammdaten!F$66,Bewertung_Stammdaten!E$66,IF(AY83&lt;Bewertung_Stammdaten!F$67,Bewertung_Stammdaten!E$67,IF(AY83&lt;Bewertung_Stammdaten!F$68,Bewertung_Stammdaten!E$68,IF(AY83&lt;Bewertung_Stammdaten!F$69,Bewertung_Stammdaten!E$69,IF(AY83&lt;Bewertung_Stammdaten!F$70,Bewertung_Stammdaten!E$70,IF(AY83&lt;Bewertung_Stammdaten!F$71,Bewertung_Stammdaten!E$71,IF(AY83&lt;Bewertung_Stammdaten!F$72,Bewertung_Stammdaten!E$72,Bewertung_Stammdaten!E$73)))))))))</f>
        <v>#N/A</v>
      </c>
      <c r="BC83" s="32" t="e">
        <f>IF(AZ83&lt;Bewertung_Stammdaten!J$64,Bewertung_Stammdaten!I$64,IF(AZ83&lt;Bewertung_Stammdaten!J$65,Bewertung_Stammdaten!I$65,IF(AZ83&lt;Bewertung_Stammdaten!J$66,Bewertung_Stammdaten!I$66,IF(AZ83&lt;Bewertung_Stammdaten!J$67,Bewertung_Stammdaten!I$67,IF(AZ83&lt;Bewertung_Stammdaten!J$68,Bewertung_Stammdaten!I$68,IF(AZ83&lt;Bewertung_Stammdaten!J$69,Bewertung_Stammdaten!I$69,IF(AZ83&lt;Bewertung_Stammdaten!J$70,Bewertung_Stammdaten!I$70,IF(AZ83&lt;Bewertung_Stammdaten!J$71,Bewertung_Stammdaten!I$71,IF(AZ83&lt;Bewertung_Stammdaten!J$72,Bewertung_Stammdaten!I$72,Bewertung_Stammdaten!I$73)))))))))</f>
        <v>#N/A</v>
      </c>
      <c r="BD83" s="43"/>
      <c r="BE83" s="12" t="e">
        <f>VLOOKUP(A83,Aktien_im_Umlauf_splitbereinigt!A$3:Z$103,26,FALSE)</f>
        <v>#N/A</v>
      </c>
      <c r="BF83" s="12" t="e">
        <f>VLOOKUP(A83,Aktien_im_Umlauf_splitbereinigt!A$3:Y$103,24,FALSE)</f>
        <v>#N/A</v>
      </c>
      <c r="BG83" s="12" t="e">
        <f>VLOOKUP(A83,Aktien_im_Umlauf_splitbereinigt!A$3:Y$103,25,FALSE)</f>
        <v>#N/A</v>
      </c>
      <c r="BH83" s="41" t="e">
        <f>IF(BE83&lt;Bewertung_Stammdaten!B$77,Bewertung_Stammdaten!A$77,IF(BE83&lt;Bewertung_Stammdaten!B$78,Bewertung_Stammdaten!A$78,IF(BE83&lt;Bewertung_Stammdaten!B$79,Bewertung_Stammdaten!A$79,IF(BE83&lt;Bewertung_Stammdaten!B$80,Bewertung_Stammdaten!A$80,IF(BE83&lt;Bewertung_Stammdaten!B$81,Bewertung_Stammdaten!A$81,IF(BE83&lt;Bewertung_Stammdaten!B$82,Bewertung_Stammdaten!A$82,IF(BE83&lt;Bewertung_Stammdaten!B$83,Bewertung_Stammdaten!A$83,IF(BE83&lt;Bewertung_Stammdaten!B$84,Bewertung_Stammdaten!A$84,IF(BE83&lt;Bewertung_Stammdaten!B$85,Bewertung_Stammdaten!A$85,Bewertung_Stammdaten!A$86)))))))))</f>
        <v>#N/A</v>
      </c>
      <c r="BI83" s="41" t="e">
        <f>IF(BF83&lt;Bewertung_Stammdaten!F$77,Bewertung_Stammdaten!E$77,IF(BF83&lt;Bewertung_Stammdaten!F$78,Bewertung_Stammdaten!E$78,IF(BF83&lt;Bewertung_Stammdaten!F$79,Bewertung_Stammdaten!E$79,IF(BF83&lt;Bewertung_Stammdaten!F$80,Bewertung_Stammdaten!E$80,IF(BF83&lt;Bewertung_Stammdaten!F$81,Bewertung_Stammdaten!E$81,IF(BF83&lt;Bewertung_Stammdaten!F$82,Bewertung_Stammdaten!E$82,IF(BF83&lt;Bewertung_Stammdaten!F$83,Bewertung_Stammdaten!E$83,IF(BF83&lt;Bewertung_Stammdaten!F$84,Bewertung_Stammdaten!E$84,IF(BF83&lt;Bewertung_Stammdaten!F$85,Bewertung_Stammdaten!E$85,Bewertung_Stammdaten!E$86)))))))))</f>
        <v>#N/A</v>
      </c>
      <c r="BJ83" s="41" t="e">
        <f>IF(BG83&lt;Bewertung_Stammdaten!J$77,Bewertung_Stammdaten!I$77,IF(BG83&lt;Bewertung_Stammdaten!J$78,Bewertung_Stammdaten!I$78,IF(BG83&lt;Bewertung_Stammdaten!J$79,Bewertung_Stammdaten!I$79,IF(BG83&lt;Bewertung_Stammdaten!J$80,Bewertung_Stammdaten!I$80,IF(BG83&lt;Bewertung_Stammdaten!J$81,Bewertung_Stammdaten!I$81,IF(BG83&lt;Bewertung_Stammdaten!J$82,Bewertung_Stammdaten!I$82,IF(BG83&lt;Bewertung_Stammdaten!J$83,Bewertung_Stammdaten!I$83,IF(BG83&lt;Bewertung_Stammdaten!J$84,Bewertung_Stammdaten!I$84,IF(BG83&lt;Bewertung_Stammdaten!J$85,Bewertung_Stammdaten!I$85,Bewertung_Stammdaten!I$86)))))))))</f>
        <v>#N/A</v>
      </c>
      <c r="BK83" s="43"/>
      <c r="BL83" s="12" t="e">
        <f>VLOOKUP(A83,Ausschüttungsquote!A$3:X$103,23,FALSE)</f>
        <v>#N/A</v>
      </c>
      <c r="BM83" s="12" t="e">
        <f>VLOOKUP(A83,Ausschüttungsquote!A$3:X$103,19,FALSE)</f>
        <v>#N/A</v>
      </c>
      <c r="BN83" s="12" t="e">
        <f>VLOOKUP(A83,Ausschüttungsquote!A$3:X$103,24,FALSE)</f>
        <v>#N/A</v>
      </c>
      <c r="BO83" s="32" t="e">
        <f>IF(BL83&lt;Bewertung_Stammdaten!B$90,Bewertung_Stammdaten!A$90,IF(BL83&lt;Bewertung_Stammdaten!B$91,Bewertung_Stammdaten!A$91,IF(BL83&lt;Bewertung_Stammdaten!B$92,Bewertung_Stammdaten!A$92,IF(BL83&lt;Bewertung_Stammdaten!B$93,Bewertung_Stammdaten!A$93,IF(BL83&lt;Bewertung_Stammdaten!B$94,Bewertung_Stammdaten!A$94,IF(BL83&lt;Bewertung_Stammdaten!B$95,Bewertung_Stammdaten!A$95,IF(BL83&lt;Bewertung_Stammdaten!B$96,Bewertung_Stammdaten!A$96,IF(BL83&lt;Bewertung_Stammdaten!B$97,Bewertung_Stammdaten!A$97,IF(BL83&lt;Bewertung_Stammdaten!B$98,Bewertung_Stammdaten!A$98,Bewertung_Stammdaten!A$99)))))))))</f>
        <v>#N/A</v>
      </c>
      <c r="BP83" s="41" t="e">
        <f>IF(BM83&lt;Bewertung_Stammdaten!F$90,Bewertung_Stammdaten!E$90,IF(BM83&lt;Bewertung_Stammdaten!F$91,Bewertung_Stammdaten!E$91,IF(BM83&lt;Bewertung_Stammdaten!F$92,Bewertung_Stammdaten!E$92,IF(BM83&lt;Bewertung_Stammdaten!F$93,Bewertung_Stammdaten!E$93,IF(BM83&lt;Bewertung_Stammdaten!F$94,Bewertung_Stammdaten!E$94,IF(BM83&lt;Bewertung_Stammdaten!F$95,Bewertung_Stammdaten!E$95,IF(BM83&lt;Bewertung_Stammdaten!F$96,Bewertung_Stammdaten!E$96,IF(BM83&lt;Bewertung_Stammdaten!F$97,Bewertung_Stammdaten!E$97,IF(BM83&lt;Bewertung_Stammdaten!F$98,Bewertung_Stammdaten!E$98,Bewertung_Stammdaten!E$99)))))))))</f>
        <v>#N/A</v>
      </c>
      <c r="BQ83" s="32" t="e">
        <f>IF(BN83&lt;Bewertung_Stammdaten!J$90,Bewertung_Stammdaten!I$90,IF(BN83&lt;Bewertung_Stammdaten!J$91,Bewertung_Stammdaten!I$91,IF(BN83&lt;Bewertung_Stammdaten!J$92,Bewertung_Stammdaten!I$92,IF(BN83&lt;Bewertung_Stammdaten!J$93,Bewertung_Stammdaten!I$93,IF(BN83&lt;Bewertung_Stammdaten!J$94,Bewertung_Stammdaten!I$94,IF(BN83&lt;Bewertung_Stammdaten!J$95,Bewertung_Stammdaten!I$95,IF(BN83&lt;Bewertung_Stammdaten!J$96,Bewertung_Stammdaten!I$96,IF(BN83&lt;Bewertung_Stammdaten!J$97,Bewertung_Stammdaten!I$97,IF(BN83&lt;Bewertung_Stammdaten!J$98,Bewertung_Stammdaten!I$98,Bewertung_Stammdaten!I$99)))))))))</f>
        <v>#N/A</v>
      </c>
    </row>
    <row r="84" spans="3:69" x14ac:dyDescent="0.25">
      <c r="C84" s="55" t="s">
        <v>297</v>
      </c>
      <c r="D84" s="32" t="e">
        <f t="shared" si="11"/>
        <v>#N/A</v>
      </c>
      <c r="E84" s="43"/>
      <c r="F84" s="66">
        <v>1</v>
      </c>
      <c r="G84" s="11" t="e">
        <f>VLOOKUP(A84,KGV!A$3:R$103,17,FALSE)</f>
        <v>#N/A</v>
      </c>
      <c r="H84" s="11" t="e">
        <f>VLOOKUP(A84,KGV!A$3:R$103,16,FALSE)</f>
        <v>#N/A</v>
      </c>
      <c r="I84" s="12" t="e">
        <f>VLOOKUP(A84,KGV!A$3:R$103,18,FALSE)</f>
        <v>#N/A</v>
      </c>
      <c r="J84" s="16" t="e">
        <f t="shared" si="12"/>
        <v>#N/A</v>
      </c>
      <c r="K84" s="12" t="e">
        <f t="shared" si="13"/>
        <v>#N/A</v>
      </c>
      <c r="L84" s="11" t="e">
        <f>VLOOKUP(A84,KBV!A$3:R$103,17,FALSE)</f>
        <v>#N/A</v>
      </c>
      <c r="M84" s="11" t="e">
        <f>VLOOKUP(A84,KBV!A$3:R$103,16,FALSE)</f>
        <v>#N/A</v>
      </c>
      <c r="N84" s="12" t="e">
        <f>VLOOKUP(A84,KBV!A$3:R$103,18,FALSE)</f>
        <v>#N/A</v>
      </c>
      <c r="O84" s="16" t="e">
        <f t="shared" si="20"/>
        <v>#N/A</v>
      </c>
      <c r="P84" s="12" t="e">
        <f t="shared" si="21"/>
        <v>#N/A</v>
      </c>
      <c r="Q84" s="32" t="e">
        <f>IF(F84=1,IF(I84&lt;Bewertung_Stammdaten!B$12,Bewertung_Stammdaten!A$12,IF(I84&lt;Bewertung_Stammdaten!B$13,Bewertung_Stammdaten!A$13,IF(I84&lt;Bewertung_Stammdaten!B$14,Bewertung_Stammdaten!A$14,IF(I84&lt;Bewertung_Stammdaten!B$15,Bewertung_Stammdaten!A$15,IF(I84&lt;Bewertung_Stammdaten!B$16,Bewertung_Stammdaten!A$16,IF(I84&lt;Bewertung_Stammdaten!B$17,Bewertung_Stammdaten!A$17,IF(I84&lt;Bewertung_Stammdaten!B$18,Bewertung_Stammdaten!A$18,IF(I84&lt;Bewertung_Stammdaten!B$19,Bewertung_Stammdaten!A$19,IF(I84&lt;Bewertung_Stammdaten!B$20,Bewertung_Stammdaten!A$20,Bewertung_Stammdaten!A$21))))))))),IF(N84&lt;Bewertung_Stammdaten!C$12,Bewertung_Stammdaten!A$12,IF(N84&lt;Bewertung_Stammdaten!C$13,Bewertung_Stammdaten!A$13,IF(N84&lt;Bewertung_Stammdaten!C$14,Bewertung_Stammdaten!A$14,IF(N84&lt;Bewertung_Stammdaten!C$15,Bewertung_Stammdaten!A$15,IF(N84&lt;Bewertung_Stammdaten!C$16,Bewertung_Stammdaten!A$16,IF(N84&lt;Bewertung_Stammdaten!C$17,Bewertung_Stammdaten!A$17,IF(N84&lt;Bewertung_Stammdaten!C$18,Bewertung_Stammdaten!A$18,IF(N84&lt;Bewertung_Stammdaten!C$19,Bewertung_Stammdaten!A$19,IF(N84&lt;Bewertung_Stammdaten!C$20,Bewertung_Stammdaten!A$20,Bewertung_Stammdaten!A$21))))))))))</f>
        <v>#N/A</v>
      </c>
      <c r="R84" s="32" t="e">
        <f>IF(F84=1,IF(K84&lt;Bewertung_Stammdaten!F$12,Bewertung_Stammdaten!E$12,IF(K84&lt;Bewertung_Stammdaten!F$13,Bewertung_Stammdaten!E$13,IF(K84&lt;Bewertung_Stammdaten!F$14,Bewertung_Stammdaten!E$14,IF(K84&lt;Bewertung_Stammdaten!F$15,Bewertung_Stammdaten!E$15,IF(K84&lt;Bewertung_Stammdaten!F$16,Bewertung_Stammdaten!E$16,IF(K84&lt;Bewertung_Stammdaten!F$17,Bewertung_Stammdaten!E$17,IF(K84&lt;Bewertung_Stammdaten!F$18,Bewertung_Stammdaten!E$18,IF(K84&lt;Bewertung_Stammdaten!F$19,Bewertung_Stammdaten!E$19,IF(K84&lt;Bewertung_Stammdaten!F$20,Bewertung_Stammdaten!E$20,Bewertung_Stammdaten!E$21))))))))),IF(P84&lt;Bewertung_Stammdaten!G$12,Bewertung_Stammdaten!E$12,IF(P84&lt;Bewertung_Stammdaten!G$13,Bewertung_Stammdaten!E$13,IF(P84&lt;Bewertung_Stammdaten!G$14,Bewertung_Stammdaten!E$14,IF(P84&lt;Bewertung_Stammdaten!G$15,Bewertung_Stammdaten!E$15,IF(P84&lt;Bewertung_Stammdaten!G$16,Bewertung_Stammdaten!E$16,IF(P84&lt;Bewertung_Stammdaten!G$17,Bewertung_Stammdaten!E$17,IF(P84&lt;Bewertung_Stammdaten!G$18,Bewertung_Stammdaten!E$18,IF(P84&lt;Bewertung_Stammdaten!G$19,Bewertung_Stammdaten!E$19,IF(P84&lt;Bewertung_Stammdaten!G$20,Bewertung_Stammdaten!E$20,Bewertung_Stammdaten!E$21))))))))))</f>
        <v>#N/A</v>
      </c>
      <c r="S84" s="43"/>
      <c r="T84" s="11" t="e">
        <f>VLOOKUP(A84,Buchwert_je_Aktie!A$3:AK$103,23,FALSE)</f>
        <v>#N/A</v>
      </c>
      <c r="U84" s="11" t="e">
        <f>VLOOKUP(A84,Buchwert_je_Aktie!A$3:AK$103,19,FALSE)</f>
        <v>#N/A</v>
      </c>
      <c r="V84" s="12" t="e">
        <f>VLOOKUP(A84,Buchwert_je_Aktie!A$3:AK$103,24,FALSE)</f>
        <v>#N/A</v>
      </c>
      <c r="W84" s="12" t="e">
        <f>VLOOKUP(A84,Buchwert_je_Aktie!A$3:AK$103,37,FALSE)</f>
        <v>#N/A</v>
      </c>
      <c r="X84" s="16" t="e">
        <f t="shared" si="14"/>
        <v>#N/A</v>
      </c>
      <c r="Y84" s="12" t="e">
        <f t="shared" si="15"/>
        <v>#N/A</v>
      </c>
      <c r="Z84" s="51" t="e">
        <f>IF(V84&lt;Bewertung_Stammdaten!B$25,Bewertung_Stammdaten!A$25,IF(V84&lt;Bewertung_Stammdaten!B$26,Bewertung_Stammdaten!A$26,IF(V84&lt;Bewertung_Stammdaten!B$27,Bewertung_Stammdaten!A$27,IF(V84&lt;Bewertung_Stammdaten!B$28,Bewertung_Stammdaten!A$28,IF(V84&lt;Bewertung_Stammdaten!B$29,Bewertung_Stammdaten!A$29,IF(V84&lt;Bewertung_Stammdaten!B$30,Bewertung_Stammdaten!A$30,IF(V84&lt;Bewertung_Stammdaten!B$31,Bewertung_Stammdaten!A$31,IF(V84&lt;Bewertung_Stammdaten!B$32,Bewertung_Stammdaten!A$32,IF(V84&lt;Bewertung_Stammdaten!B$33,Bewertung_Stammdaten!A$33,Bewertung_Stammdaten!A$34)))))))))</f>
        <v>#N/A</v>
      </c>
      <c r="AA84" s="51" t="e">
        <f>IF(W84&lt;Bewertung_Stammdaten!F$25,Bewertung_Stammdaten!E$25,IF(W84&lt;Bewertung_Stammdaten!F$26,Bewertung_Stammdaten!E$26,IF(W84&lt;Bewertung_Stammdaten!F$27,Bewertung_Stammdaten!E$27,IF(W84&lt;Bewertung_Stammdaten!F$28,Bewertung_Stammdaten!E$28,IF(W84&lt;Bewertung_Stammdaten!F$29,Bewertung_Stammdaten!E$29,IF(W84&lt;Bewertung_Stammdaten!F$30,Bewertung_Stammdaten!E$30,IF(W84&lt;Bewertung_Stammdaten!F$31,Bewertung_Stammdaten!E$31,IF(W84&lt;Bewertung_Stammdaten!F$32,Bewertung_Stammdaten!E$32,IF(W84&lt;Bewertung_Stammdaten!F$33,Bewertung_Stammdaten!E$33,Bewertung_Stammdaten!E$34)))))))))</f>
        <v>#N/A</v>
      </c>
      <c r="AB84" s="51" t="e">
        <f>IF(Y84&lt;Bewertung_Stammdaten!J$25,Bewertung_Stammdaten!I$25,IF(Y84&lt;Bewertung_Stammdaten!J$26,Bewertung_Stammdaten!I$26,IF(Y84&lt;Bewertung_Stammdaten!J$27,Bewertung_Stammdaten!I$27,IF(Y84&lt;Bewertung_Stammdaten!J$28,Bewertung_Stammdaten!I$28,IF(Y84&lt;Bewertung_Stammdaten!J$29,Bewertung_Stammdaten!I$29,IF(Y84&lt;Bewertung_Stammdaten!J$30,Bewertung_Stammdaten!I$30,IF(Y84&lt;Bewertung_Stammdaten!J$31,Bewertung_Stammdaten!I$31,IF(Y84&lt;Bewertung_Stammdaten!J$32,Bewertung_Stammdaten!I$32,IF(Y84&lt;Bewertung_Stammdaten!J$33,Bewertung_Stammdaten!I$33,Bewertung_Stammdaten!I$34)))))))))</f>
        <v>#N/A</v>
      </c>
      <c r="AC84" s="43"/>
      <c r="AD84" s="14" t="e">
        <f>VLOOKUP(A84,Ergebnis_je_Aktie_verwässert!A$3:AK$103,23,FALSE)</f>
        <v>#N/A</v>
      </c>
      <c r="AE84" s="14" t="e">
        <f>VLOOKUP(A84,Ergebnis_je_Aktie_verwässert!A$3:AK$103,19,FALSE)</f>
        <v>#N/A</v>
      </c>
      <c r="AF84" s="12" t="e">
        <f>VLOOKUP(A84,Ergebnis_je_Aktie_verwässert!A$3:AK$103,24,FALSE)</f>
        <v>#N/A</v>
      </c>
      <c r="AG84" s="40" t="e">
        <f>VLOOKUP(A84,Ergebnis_je_Aktie_verwässert!A$3:AK$103,37,FALSE)</f>
        <v>#N/A</v>
      </c>
      <c r="AH84" s="16" t="e">
        <f t="shared" si="16"/>
        <v>#N/A</v>
      </c>
      <c r="AI84" s="12" t="e">
        <f t="shared" si="17"/>
        <v>#N/A</v>
      </c>
      <c r="AJ84" s="32" t="e">
        <f>IF(AF84&lt;Bewertung_Stammdaten!B$38,Bewertung_Stammdaten!A$38,IF(AF84&lt;Bewertung_Stammdaten!B$39,Bewertung_Stammdaten!A$39,IF(AF84&lt;Bewertung_Stammdaten!B$40,Bewertung_Stammdaten!A$40,IF(AF84&lt;Bewertung_Stammdaten!B$41,Bewertung_Stammdaten!A$41,IF(AF84&lt;Bewertung_Stammdaten!B$42,Bewertung_Stammdaten!A$42,IF(AF84&lt;Bewertung_Stammdaten!B$43,Bewertung_Stammdaten!A$43,IF(AF84&lt;Bewertung_Stammdaten!B$44,Bewertung_Stammdaten!A$44,IF(AF84&lt;Bewertung_Stammdaten!B$45,Bewertung_Stammdaten!A$45,IF(AF84&lt;Bewertung_Stammdaten!B$46,Bewertung_Stammdaten!A$46,Bewertung_Stammdaten!A$47)))))))))</f>
        <v>#N/A</v>
      </c>
      <c r="AK84" s="32" t="e">
        <f>IF(AG84&lt;Bewertung_Stammdaten!F$38,Bewertung_Stammdaten!E$38,IF(AG84&lt;Bewertung_Stammdaten!F$39,Bewertung_Stammdaten!E$39,IF(AG84&lt;Bewertung_Stammdaten!F$40,Bewertung_Stammdaten!E$40,IF(AG84&lt;Bewertung_Stammdaten!F$41,Bewertung_Stammdaten!E$41,IF(AG84&lt;Bewertung_Stammdaten!F$42,Bewertung_Stammdaten!E$42,IF(AG84&lt;Bewertung_Stammdaten!F$43,Bewertung_Stammdaten!E$43,IF(AG84&lt;Bewertung_Stammdaten!F$44,Bewertung_Stammdaten!E$44,IF(AG84&lt;Bewertung_Stammdaten!F$45,Bewertung_Stammdaten!E$45,IF(AG84&lt;Bewertung_Stammdaten!F$46,Bewertung_Stammdaten!E$46,Bewertung_Stammdaten!E$47)))))))))</f>
        <v>#N/A</v>
      </c>
      <c r="AL84" s="32" t="e">
        <f>IF(AI84&lt;Bewertung_Stammdaten!J$38,Bewertung_Stammdaten!I$38,IF(AI84&lt;Bewertung_Stammdaten!J$39,Bewertung_Stammdaten!I$39,IF(AI84&lt;Bewertung_Stammdaten!J$40,Bewertung_Stammdaten!I$40,IF(AI84&lt;Bewertung_Stammdaten!J$41,Bewertung_Stammdaten!I$41,IF(AI84&lt;Bewertung_Stammdaten!J$42,Bewertung_Stammdaten!I$42,IF(AI84&lt;Bewertung_Stammdaten!J$43,Bewertung_Stammdaten!I$43,IF(AI84&lt;Bewertung_Stammdaten!J$44,Bewertung_Stammdaten!I$44,IF(AI84&lt;Bewertung_Stammdaten!J$45,Bewertung_Stammdaten!I$45,IF(AI84&lt;Bewertung_Stammdaten!J$46,Bewertung_Stammdaten!I$46,Bewertung_Stammdaten!I$47)))))))))</f>
        <v>#N/A</v>
      </c>
      <c r="AM84" s="43"/>
      <c r="AN84" s="14" t="e">
        <f>VLOOKUP(A84,Dividende_je_Aktie!A$3:AM$103,24,FALSE)</f>
        <v>#N/A</v>
      </c>
      <c r="AO84" s="14" t="e">
        <f>VLOOKUP(A84,Dividende_je_Aktie!A$3:AM$103,20,FALSE)</f>
        <v>#N/A</v>
      </c>
      <c r="AP84" s="12" t="e">
        <f>VLOOKUP(A84,Dividende_je_Aktie!A$3:AM$103,25,FALSE)</f>
        <v>#N/A</v>
      </c>
      <c r="AQ84" s="40" t="e">
        <f>VLOOKUP(A84,Dividende_je_Aktie!A$3:AM$103,39,FALSE)</f>
        <v>#N/A</v>
      </c>
      <c r="AR84" s="16" t="e">
        <f t="shared" si="18"/>
        <v>#N/A</v>
      </c>
      <c r="AS84" s="12" t="e">
        <f t="shared" si="19"/>
        <v>#N/A</v>
      </c>
      <c r="AT84" s="32" t="e">
        <f>IF(AP84&lt;Bewertung_Stammdaten!B$51,Bewertung_Stammdaten!A$51,IF(AP84&lt;Bewertung_Stammdaten!B$52,Bewertung_Stammdaten!A$52,IF(AP84&lt;Bewertung_Stammdaten!B$53,Bewertung_Stammdaten!A$53,IF(AP84&lt;Bewertung_Stammdaten!B$54,Bewertung_Stammdaten!A$54,IF(AP84&lt;Bewertung_Stammdaten!B$55,Bewertung_Stammdaten!A$55,IF(AP84&lt;Bewertung_Stammdaten!B$56,Bewertung_Stammdaten!A$56,IF(AP84&lt;Bewertung_Stammdaten!B$57,Bewertung_Stammdaten!A$57,IF(AP84&lt;Bewertung_Stammdaten!B$58,Bewertung_Stammdaten!A$58,IF(AP84&lt;Bewertung_Stammdaten!B$59,Bewertung_Stammdaten!A$59,Bewertung_Stammdaten!A$60)))))))))</f>
        <v>#N/A</v>
      </c>
      <c r="AU84" s="32" t="e">
        <f>IF(AQ84&lt;Bewertung_Stammdaten!F$51,Bewertung_Stammdaten!E$51,IF(AQ84&lt;Bewertung_Stammdaten!F$52,Bewertung_Stammdaten!E$52,IF(AQ84&lt;Bewertung_Stammdaten!F$53,Bewertung_Stammdaten!E$53,IF(AQ84&lt;Bewertung_Stammdaten!F$54,Bewertung_Stammdaten!E$54,IF(AQ84&lt;Bewertung_Stammdaten!F$55,Bewertung_Stammdaten!E$55,IF(AQ84&lt;Bewertung_Stammdaten!F$56,Bewertung_Stammdaten!E$56,IF(AQ84&lt;Bewertung_Stammdaten!F$57,Bewertung_Stammdaten!E$57,IF(AQ84&lt;Bewertung_Stammdaten!F$58,Bewertung_Stammdaten!E$58,IF(AQ84&lt;Bewertung_Stammdaten!F$59,Bewertung_Stammdaten!E$59,Bewertung_Stammdaten!E$60)))))))))</f>
        <v>#N/A</v>
      </c>
      <c r="AV84" s="32" t="e">
        <f>IF(AS84&lt;Bewertung_Stammdaten!J$51,Bewertung_Stammdaten!I$51,IF(AS84&lt;Bewertung_Stammdaten!J$52,Bewertung_Stammdaten!I$52,IF(AS84&lt;Bewertung_Stammdaten!J$53,Bewertung_Stammdaten!I$53,IF(AS84&lt;Bewertung_Stammdaten!J$54,Bewertung_Stammdaten!I$54,IF(AS84&lt;Bewertung_Stammdaten!J$55,Bewertung_Stammdaten!I$55,IF(AS84&lt;Bewertung_Stammdaten!J$56,Bewertung_Stammdaten!I$56,IF(AS84&lt;Bewertung_Stammdaten!J$57,Bewertung_Stammdaten!I$57,IF(AS84&lt;Bewertung_Stammdaten!J$58,Bewertung_Stammdaten!I$58,IF(AS84&lt;Bewertung_Stammdaten!J$59,Bewertung_Stammdaten!I$59,Bewertung_Stammdaten!I$60)))))))))</f>
        <v>#N/A</v>
      </c>
      <c r="AW84" s="43"/>
      <c r="AX84" s="12" t="e">
        <f>VLOOKUP(A84,Dividendenrendite!A$3:R$103,17,FALSE)</f>
        <v>#N/A</v>
      </c>
      <c r="AY84" s="12" t="e">
        <f>VLOOKUP(A84,Dividendenrendite!A$3:R$103,16,FALSE)</f>
        <v>#N/A</v>
      </c>
      <c r="AZ84" s="12" t="e">
        <f>VLOOKUP(A84,Dividendenrendite!A$3:R$103,18,FALSE)</f>
        <v>#N/A</v>
      </c>
      <c r="BA84" s="32" t="e">
        <f>IF(AX84&lt;Bewertung_Stammdaten!B$64,Bewertung_Stammdaten!A$64,IF(AX84&lt;Bewertung_Stammdaten!B$65,Bewertung_Stammdaten!A$65,IF(AX84&lt;Bewertung_Stammdaten!B$66,Bewertung_Stammdaten!A$66,IF(AX84&lt;Bewertung_Stammdaten!B$67,Bewertung_Stammdaten!A$67,IF(AX84&lt;Bewertung_Stammdaten!B$68,Bewertung_Stammdaten!A$68,IF(AX84&lt;Bewertung_Stammdaten!B$69,Bewertung_Stammdaten!A$69,IF(AX84&lt;Bewertung_Stammdaten!B$70,Bewertung_Stammdaten!A$70,IF(AX84&lt;Bewertung_Stammdaten!B$71,Bewertung_Stammdaten!A$71,IF(AX84&lt;Bewertung_Stammdaten!B$72,Bewertung_Stammdaten!A$72,Bewertung_Stammdaten!A$73)))))))))</f>
        <v>#N/A</v>
      </c>
      <c r="BB84" s="32" t="e">
        <f>IF(AY84&lt;Bewertung_Stammdaten!F$64,Bewertung_Stammdaten!E$64,IF(AY84&lt;Bewertung_Stammdaten!F$65,Bewertung_Stammdaten!E$65,IF(AY84&lt;Bewertung_Stammdaten!F$66,Bewertung_Stammdaten!E$66,IF(AY84&lt;Bewertung_Stammdaten!F$67,Bewertung_Stammdaten!E$67,IF(AY84&lt;Bewertung_Stammdaten!F$68,Bewertung_Stammdaten!E$68,IF(AY84&lt;Bewertung_Stammdaten!F$69,Bewertung_Stammdaten!E$69,IF(AY84&lt;Bewertung_Stammdaten!F$70,Bewertung_Stammdaten!E$70,IF(AY84&lt;Bewertung_Stammdaten!F$71,Bewertung_Stammdaten!E$71,IF(AY84&lt;Bewertung_Stammdaten!F$72,Bewertung_Stammdaten!E$72,Bewertung_Stammdaten!E$73)))))))))</f>
        <v>#N/A</v>
      </c>
      <c r="BC84" s="32" t="e">
        <f>IF(AZ84&lt;Bewertung_Stammdaten!J$64,Bewertung_Stammdaten!I$64,IF(AZ84&lt;Bewertung_Stammdaten!J$65,Bewertung_Stammdaten!I$65,IF(AZ84&lt;Bewertung_Stammdaten!J$66,Bewertung_Stammdaten!I$66,IF(AZ84&lt;Bewertung_Stammdaten!J$67,Bewertung_Stammdaten!I$67,IF(AZ84&lt;Bewertung_Stammdaten!J$68,Bewertung_Stammdaten!I$68,IF(AZ84&lt;Bewertung_Stammdaten!J$69,Bewertung_Stammdaten!I$69,IF(AZ84&lt;Bewertung_Stammdaten!J$70,Bewertung_Stammdaten!I$70,IF(AZ84&lt;Bewertung_Stammdaten!J$71,Bewertung_Stammdaten!I$71,IF(AZ84&lt;Bewertung_Stammdaten!J$72,Bewertung_Stammdaten!I$72,Bewertung_Stammdaten!I$73)))))))))</f>
        <v>#N/A</v>
      </c>
      <c r="BD84" s="43"/>
      <c r="BE84" s="12" t="e">
        <f>VLOOKUP(A84,Aktien_im_Umlauf_splitbereinigt!A$3:Z$103,26,FALSE)</f>
        <v>#N/A</v>
      </c>
      <c r="BF84" s="12" t="e">
        <f>VLOOKUP(A84,Aktien_im_Umlauf_splitbereinigt!A$3:Y$103,24,FALSE)</f>
        <v>#N/A</v>
      </c>
      <c r="BG84" s="12" t="e">
        <f>VLOOKUP(A84,Aktien_im_Umlauf_splitbereinigt!A$3:Y$103,25,FALSE)</f>
        <v>#N/A</v>
      </c>
      <c r="BH84" s="41" t="e">
        <f>IF(BE84&lt;Bewertung_Stammdaten!B$77,Bewertung_Stammdaten!A$77,IF(BE84&lt;Bewertung_Stammdaten!B$78,Bewertung_Stammdaten!A$78,IF(BE84&lt;Bewertung_Stammdaten!B$79,Bewertung_Stammdaten!A$79,IF(BE84&lt;Bewertung_Stammdaten!B$80,Bewertung_Stammdaten!A$80,IF(BE84&lt;Bewertung_Stammdaten!B$81,Bewertung_Stammdaten!A$81,IF(BE84&lt;Bewertung_Stammdaten!B$82,Bewertung_Stammdaten!A$82,IF(BE84&lt;Bewertung_Stammdaten!B$83,Bewertung_Stammdaten!A$83,IF(BE84&lt;Bewertung_Stammdaten!B$84,Bewertung_Stammdaten!A$84,IF(BE84&lt;Bewertung_Stammdaten!B$85,Bewertung_Stammdaten!A$85,Bewertung_Stammdaten!A$86)))))))))</f>
        <v>#N/A</v>
      </c>
      <c r="BI84" s="41" t="e">
        <f>IF(BF84&lt;Bewertung_Stammdaten!F$77,Bewertung_Stammdaten!E$77,IF(BF84&lt;Bewertung_Stammdaten!F$78,Bewertung_Stammdaten!E$78,IF(BF84&lt;Bewertung_Stammdaten!F$79,Bewertung_Stammdaten!E$79,IF(BF84&lt;Bewertung_Stammdaten!F$80,Bewertung_Stammdaten!E$80,IF(BF84&lt;Bewertung_Stammdaten!F$81,Bewertung_Stammdaten!E$81,IF(BF84&lt;Bewertung_Stammdaten!F$82,Bewertung_Stammdaten!E$82,IF(BF84&lt;Bewertung_Stammdaten!F$83,Bewertung_Stammdaten!E$83,IF(BF84&lt;Bewertung_Stammdaten!F$84,Bewertung_Stammdaten!E$84,IF(BF84&lt;Bewertung_Stammdaten!F$85,Bewertung_Stammdaten!E$85,Bewertung_Stammdaten!E$86)))))))))</f>
        <v>#N/A</v>
      </c>
      <c r="BJ84" s="41" t="e">
        <f>IF(BG84&lt;Bewertung_Stammdaten!J$77,Bewertung_Stammdaten!I$77,IF(BG84&lt;Bewertung_Stammdaten!J$78,Bewertung_Stammdaten!I$78,IF(BG84&lt;Bewertung_Stammdaten!J$79,Bewertung_Stammdaten!I$79,IF(BG84&lt;Bewertung_Stammdaten!J$80,Bewertung_Stammdaten!I$80,IF(BG84&lt;Bewertung_Stammdaten!J$81,Bewertung_Stammdaten!I$81,IF(BG84&lt;Bewertung_Stammdaten!J$82,Bewertung_Stammdaten!I$82,IF(BG84&lt;Bewertung_Stammdaten!J$83,Bewertung_Stammdaten!I$83,IF(BG84&lt;Bewertung_Stammdaten!J$84,Bewertung_Stammdaten!I$84,IF(BG84&lt;Bewertung_Stammdaten!J$85,Bewertung_Stammdaten!I$85,Bewertung_Stammdaten!I$86)))))))))</f>
        <v>#N/A</v>
      </c>
      <c r="BK84" s="43"/>
      <c r="BL84" s="12" t="e">
        <f>VLOOKUP(A84,Ausschüttungsquote!A$3:X$103,23,FALSE)</f>
        <v>#N/A</v>
      </c>
      <c r="BM84" s="12" t="e">
        <f>VLOOKUP(A84,Ausschüttungsquote!A$3:X$103,19,FALSE)</f>
        <v>#N/A</v>
      </c>
      <c r="BN84" s="12" t="e">
        <f>VLOOKUP(A84,Ausschüttungsquote!A$3:X$103,24,FALSE)</f>
        <v>#N/A</v>
      </c>
      <c r="BO84" s="32" t="e">
        <f>IF(BL84&lt;Bewertung_Stammdaten!B$90,Bewertung_Stammdaten!A$90,IF(BL84&lt;Bewertung_Stammdaten!B$91,Bewertung_Stammdaten!A$91,IF(BL84&lt;Bewertung_Stammdaten!B$92,Bewertung_Stammdaten!A$92,IF(BL84&lt;Bewertung_Stammdaten!B$93,Bewertung_Stammdaten!A$93,IF(BL84&lt;Bewertung_Stammdaten!B$94,Bewertung_Stammdaten!A$94,IF(BL84&lt;Bewertung_Stammdaten!B$95,Bewertung_Stammdaten!A$95,IF(BL84&lt;Bewertung_Stammdaten!B$96,Bewertung_Stammdaten!A$96,IF(BL84&lt;Bewertung_Stammdaten!B$97,Bewertung_Stammdaten!A$97,IF(BL84&lt;Bewertung_Stammdaten!B$98,Bewertung_Stammdaten!A$98,Bewertung_Stammdaten!A$99)))))))))</f>
        <v>#N/A</v>
      </c>
      <c r="BP84" s="41" t="e">
        <f>IF(BM84&lt;Bewertung_Stammdaten!F$90,Bewertung_Stammdaten!E$90,IF(BM84&lt;Bewertung_Stammdaten!F$91,Bewertung_Stammdaten!E$91,IF(BM84&lt;Bewertung_Stammdaten!F$92,Bewertung_Stammdaten!E$92,IF(BM84&lt;Bewertung_Stammdaten!F$93,Bewertung_Stammdaten!E$93,IF(BM84&lt;Bewertung_Stammdaten!F$94,Bewertung_Stammdaten!E$94,IF(BM84&lt;Bewertung_Stammdaten!F$95,Bewertung_Stammdaten!E$95,IF(BM84&lt;Bewertung_Stammdaten!F$96,Bewertung_Stammdaten!E$96,IF(BM84&lt;Bewertung_Stammdaten!F$97,Bewertung_Stammdaten!E$97,IF(BM84&lt;Bewertung_Stammdaten!F$98,Bewertung_Stammdaten!E$98,Bewertung_Stammdaten!E$99)))))))))</f>
        <v>#N/A</v>
      </c>
      <c r="BQ84" s="32" t="e">
        <f>IF(BN84&lt;Bewertung_Stammdaten!J$90,Bewertung_Stammdaten!I$90,IF(BN84&lt;Bewertung_Stammdaten!J$91,Bewertung_Stammdaten!I$91,IF(BN84&lt;Bewertung_Stammdaten!J$92,Bewertung_Stammdaten!I$92,IF(BN84&lt;Bewertung_Stammdaten!J$93,Bewertung_Stammdaten!I$93,IF(BN84&lt;Bewertung_Stammdaten!J$94,Bewertung_Stammdaten!I$94,IF(BN84&lt;Bewertung_Stammdaten!J$95,Bewertung_Stammdaten!I$95,IF(BN84&lt;Bewertung_Stammdaten!J$96,Bewertung_Stammdaten!I$96,IF(BN84&lt;Bewertung_Stammdaten!J$97,Bewertung_Stammdaten!I$97,IF(BN84&lt;Bewertung_Stammdaten!J$98,Bewertung_Stammdaten!I$98,Bewertung_Stammdaten!I$99)))))))))</f>
        <v>#N/A</v>
      </c>
    </row>
    <row r="85" spans="3:69" x14ac:dyDescent="0.25">
      <c r="C85" s="55" t="s">
        <v>297</v>
      </c>
      <c r="D85" s="32" t="e">
        <f t="shared" si="11"/>
        <v>#N/A</v>
      </c>
      <c r="E85" s="43"/>
      <c r="F85" s="66">
        <v>1</v>
      </c>
      <c r="G85" s="11" t="e">
        <f>VLOOKUP(A85,KGV!A$3:R$103,17,FALSE)</f>
        <v>#N/A</v>
      </c>
      <c r="H85" s="11" t="e">
        <f>VLOOKUP(A85,KGV!A$3:R$103,16,FALSE)</f>
        <v>#N/A</v>
      </c>
      <c r="I85" s="12" t="e">
        <f>VLOOKUP(A85,KGV!A$3:R$103,18,FALSE)</f>
        <v>#N/A</v>
      </c>
      <c r="J85" s="16" t="e">
        <f t="shared" si="12"/>
        <v>#N/A</v>
      </c>
      <c r="K85" s="12" t="e">
        <f t="shared" si="13"/>
        <v>#N/A</v>
      </c>
      <c r="L85" s="11" t="e">
        <f>VLOOKUP(A85,KBV!A$3:R$103,17,FALSE)</f>
        <v>#N/A</v>
      </c>
      <c r="M85" s="11" t="e">
        <f>VLOOKUP(A85,KBV!A$3:R$103,16,FALSE)</f>
        <v>#N/A</v>
      </c>
      <c r="N85" s="12" t="e">
        <f>VLOOKUP(A85,KBV!A$3:R$103,18,FALSE)</f>
        <v>#N/A</v>
      </c>
      <c r="O85" s="16" t="e">
        <f t="shared" si="20"/>
        <v>#N/A</v>
      </c>
      <c r="P85" s="12" t="e">
        <f t="shared" si="21"/>
        <v>#N/A</v>
      </c>
      <c r="Q85" s="32" t="e">
        <f>IF(F85=1,IF(I85&lt;Bewertung_Stammdaten!B$12,Bewertung_Stammdaten!A$12,IF(I85&lt;Bewertung_Stammdaten!B$13,Bewertung_Stammdaten!A$13,IF(I85&lt;Bewertung_Stammdaten!B$14,Bewertung_Stammdaten!A$14,IF(I85&lt;Bewertung_Stammdaten!B$15,Bewertung_Stammdaten!A$15,IF(I85&lt;Bewertung_Stammdaten!B$16,Bewertung_Stammdaten!A$16,IF(I85&lt;Bewertung_Stammdaten!B$17,Bewertung_Stammdaten!A$17,IF(I85&lt;Bewertung_Stammdaten!B$18,Bewertung_Stammdaten!A$18,IF(I85&lt;Bewertung_Stammdaten!B$19,Bewertung_Stammdaten!A$19,IF(I85&lt;Bewertung_Stammdaten!B$20,Bewertung_Stammdaten!A$20,Bewertung_Stammdaten!A$21))))))))),IF(N85&lt;Bewertung_Stammdaten!C$12,Bewertung_Stammdaten!A$12,IF(N85&lt;Bewertung_Stammdaten!C$13,Bewertung_Stammdaten!A$13,IF(N85&lt;Bewertung_Stammdaten!C$14,Bewertung_Stammdaten!A$14,IF(N85&lt;Bewertung_Stammdaten!C$15,Bewertung_Stammdaten!A$15,IF(N85&lt;Bewertung_Stammdaten!C$16,Bewertung_Stammdaten!A$16,IF(N85&lt;Bewertung_Stammdaten!C$17,Bewertung_Stammdaten!A$17,IF(N85&lt;Bewertung_Stammdaten!C$18,Bewertung_Stammdaten!A$18,IF(N85&lt;Bewertung_Stammdaten!C$19,Bewertung_Stammdaten!A$19,IF(N85&lt;Bewertung_Stammdaten!C$20,Bewertung_Stammdaten!A$20,Bewertung_Stammdaten!A$21))))))))))</f>
        <v>#N/A</v>
      </c>
      <c r="R85" s="32" t="e">
        <f>IF(F85=1,IF(K85&lt;Bewertung_Stammdaten!F$12,Bewertung_Stammdaten!E$12,IF(K85&lt;Bewertung_Stammdaten!F$13,Bewertung_Stammdaten!E$13,IF(K85&lt;Bewertung_Stammdaten!F$14,Bewertung_Stammdaten!E$14,IF(K85&lt;Bewertung_Stammdaten!F$15,Bewertung_Stammdaten!E$15,IF(K85&lt;Bewertung_Stammdaten!F$16,Bewertung_Stammdaten!E$16,IF(K85&lt;Bewertung_Stammdaten!F$17,Bewertung_Stammdaten!E$17,IF(K85&lt;Bewertung_Stammdaten!F$18,Bewertung_Stammdaten!E$18,IF(K85&lt;Bewertung_Stammdaten!F$19,Bewertung_Stammdaten!E$19,IF(K85&lt;Bewertung_Stammdaten!F$20,Bewertung_Stammdaten!E$20,Bewertung_Stammdaten!E$21))))))))),IF(P85&lt;Bewertung_Stammdaten!G$12,Bewertung_Stammdaten!E$12,IF(P85&lt;Bewertung_Stammdaten!G$13,Bewertung_Stammdaten!E$13,IF(P85&lt;Bewertung_Stammdaten!G$14,Bewertung_Stammdaten!E$14,IF(P85&lt;Bewertung_Stammdaten!G$15,Bewertung_Stammdaten!E$15,IF(P85&lt;Bewertung_Stammdaten!G$16,Bewertung_Stammdaten!E$16,IF(P85&lt;Bewertung_Stammdaten!G$17,Bewertung_Stammdaten!E$17,IF(P85&lt;Bewertung_Stammdaten!G$18,Bewertung_Stammdaten!E$18,IF(P85&lt;Bewertung_Stammdaten!G$19,Bewertung_Stammdaten!E$19,IF(P85&lt;Bewertung_Stammdaten!G$20,Bewertung_Stammdaten!E$20,Bewertung_Stammdaten!E$21))))))))))</f>
        <v>#N/A</v>
      </c>
      <c r="S85" s="43"/>
      <c r="T85" s="11" t="e">
        <f>VLOOKUP(A85,Buchwert_je_Aktie!A$3:AK$103,23,FALSE)</f>
        <v>#N/A</v>
      </c>
      <c r="U85" s="11" t="e">
        <f>VLOOKUP(A85,Buchwert_je_Aktie!A$3:AK$103,19,FALSE)</f>
        <v>#N/A</v>
      </c>
      <c r="V85" s="12" t="e">
        <f>VLOOKUP(A85,Buchwert_je_Aktie!A$3:AK$103,24,FALSE)</f>
        <v>#N/A</v>
      </c>
      <c r="W85" s="12" t="e">
        <f>VLOOKUP(A85,Buchwert_je_Aktie!A$3:AK$103,37,FALSE)</f>
        <v>#N/A</v>
      </c>
      <c r="X85" s="16" t="e">
        <f t="shared" si="14"/>
        <v>#N/A</v>
      </c>
      <c r="Y85" s="12" t="e">
        <f t="shared" si="15"/>
        <v>#N/A</v>
      </c>
      <c r="Z85" s="51" t="e">
        <f>IF(V85&lt;Bewertung_Stammdaten!B$25,Bewertung_Stammdaten!A$25,IF(V85&lt;Bewertung_Stammdaten!B$26,Bewertung_Stammdaten!A$26,IF(V85&lt;Bewertung_Stammdaten!B$27,Bewertung_Stammdaten!A$27,IF(V85&lt;Bewertung_Stammdaten!B$28,Bewertung_Stammdaten!A$28,IF(V85&lt;Bewertung_Stammdaten!B$29,Bewertung_Stammdaten!A$29,IF(V85&lt;Bewertung_Stammdaten!B$30,Bewertung_Stammdaten!A$30,IF(V85&lt;Bewertung_Stammdaten!B$31,Bewertung_Stammdaten!A$31,IF(V85&lt;Bewertung_Stammdaten!B$32,Bewertung_Stammdaten!A$32,IF(V85&lt;Bewertung_Stammdaten!B$33,Bewertung_Stammdaten!A$33,Bewertung_Stammdaten!A$34)))))))))</f>
        <v>#N/A</v>
      </c>
      <c r="AA85" s="51" t="e">
        <f>IF(W85&lt;Bewertung_Stammdaten!F$25,Bewertung_Stammdaten!E$25,IF(W85&lt;Bewertung_Stammdaten!F$26,Bewertung_Stammdaten!E$26,IF(W85&lt;Bewertung_Stammdaten!F$27,Bewertung_Stammdaten!E$27,IF(W85&lt;Bewertung_Stammdaten!F$28,Bewertung_Stammdaten!E$28,IF(W85&lt;Bewertung_Stammdaten!F$29,Bewertung_Stammdaten!E$29,IF(W85&lt;Bewertung_Stammdaten!F$30,Bewertung_Stammdaten!E$30,IF(W85&lt;Bewertung_Stammdaten!F$31,Bewertung_Stammdaten!E$31,IF(W85&lt;Bewertung_Stammdaten!F$32,Bewertung_Stammdaten!E$32,IF(W85&lt;Bewertung_Stammdaten!F$33,Bewertung_Stammdaten!E$33,Bewertung_Stammdaten!E$34)))))))))</f>
        <v>#N/A</v>
      </c>
      <c r="AB85" s="51" t="e">
        <f>IF(Y85&lt;Bewertung_Stammdaten!J$25,Bewertung_Stammdaten!I$25,IF(Y85&lt;Bewertung_Stammdaten!J$26,Bewertung_Stammdaten!I$26,IF(Y85&lt;Bewertung_Stammdaten!J$27,Bewertung_Stammdaten!I$27,IF(Y85&lt;Bewertung_Stammdaten!J$28,Bewertung_Stammdaten!I$28,IF(Y85&lt;Bewertung_Stammdaten!J$29,Bewertung_Stammdaten!I$29,IF(Y85&lt;Bewertung_Stammdaten!J$30,Bewertung_Stammdaten!I$30,IF(Y85&lt;Bewertung_Stammdaten!J$31,Bewertung_Stammdaten!I$31,IF(Y85&lt;Bewertung_Stammdaten!J$32,Bewertung_Stammdaten!I$32,IF(Y85&lt;Bewertung_Stammdaten!J$33,Bewertung_Stammdaten!I$33,Bewertung_Stammdaten!I$34)))))))))</f>
        <v>#N/A</v>
      </c>
      <c r="AC85" s="43"/>
      <c r="AD85" s="14" t="e">
        <f>VLOOKUP(A85,Ergebnis_je_Aktie_verwässert!A$3:AK$103,23,FALSE)</f>
        <v>#N/A</v>
      </c>
      <c r="AE85" s="14" t="e">
        <f>VLOOKUP(A85,Ergebnis_je_Aktie_verwässert!A$3:AK$103,19,FALSE)</f>
        <v>#N/A</v>
      </c>
      <c r="AF85" s="12" t="e">
        <f>VLOOKUP(A85,Ergebnis_je_Aktie_verwässert!A$3:AK$103,24,FALSE)</f>
        <v>#N/A</v>
      </c>
      <c r="AG85" s="40" t="e">
        <f>VLOOKUP(A85,Ergebnis_je_Aktie_verwässert!A$3:AK$103,37,FALSE)</f>
        <v>#N/A</v>
      </c>
      <c r="AH85" s="16" t="e">
        <f t="shared" si="16"/>
        <v>#N/A</v>
      </c>
      <c r="AI85" s="12" t="e">
        <f t="shared" si="17"/>
        <v>#N/A</v>
      </c>
      <c r="AJ85" s="32" t="e">
        <f>IF(AF85&lt;Bewertung_Stammdaten!B$38,Bewertung_Stammdaten!A$38,IF(AF85&lt;Bewertung_Stammdaten!B$39,Bewertung_Stammdaten!A$39,IF(AF85&lt;Bewertung_Stammdaten!B$40,Bewertung_Stammdaten!A$40,IF(AF85&lt;Bewertung_Stammdaten!B$41,Bewertung_Stammdaten!A$41,IF(AF85&lt;Bewertung_Stammdaten!B$42,Bewertung_Stammdaten!A$42,IF(AF85&lt;Bewertung_Stammdaten!B$43,Bewertung_Stammdaten!A$43,IF(AF85&lt;Bewertung_Stammdaten!B$44,Bewertung_Stammdaten!A$44,IF(AF85&lt;Bewertung_Stammdaten!B$45,Bewertung_Stammdaten!A$45,IF(AF85&lt;Bewertung_Stammdaten!B$46,Bewertung_Stammdaten!A$46,Bewertung_Stammdaten!A$47)))))))))</f>
        <v>#N/A</v>
      </c>
      <c r="AK85" s="32" t="e">
        <f>IF(AG85&lt;Bewertung_Stammdaten!F$38,Bewertung_Stammdaten!E$38,IF(AG85&lt;Bewertung_Stammdaten!F$39,Bewertung_Stammdaten!E$39,IF(AG85&lt;Bewertung_Stammdaten!F$40,Bewertung_Stammdaten!E$40,IF(AG85&lt;Bewertung_Stammdaten!F$41,Bewertung_Stammdaten!E$41,IF(AG85&lt;Bewertung_Stammdaten!F$42,Bewertung_Stammdaten!E$42,IF(AG85&lt;Bewertung_Stammdaten!F$43,Bewertung_Stammdaten!E$43,IF(AG85&lt;Bewertung_Stammdaten!F$44,Bewertung_Stammdaten!E$44,IF(AG85&lt;Bewertung_Stammdaten!F$45,Bewertung_Stammdaten!E$45,IF(AG85&lt;Bewertung_Stammdaten!F$46,Bewertung_Stammdaten!E$46,Bewertung_Stammdaten!E$47)))))))))</f>
        <v>#N/A</v>
      </c>
      <c r="AL85" s="32" t="e">
        <f>IF(AI85&lt;Bewertung_Stammdaten!J$38,Bewertung_Stammdaten!I$38,IF(AI85&lt;Bewertung_Stammdaten!J$39,Bewertung_Stammdaten!I$39,IF(AI85&lt;Bewertung_Stammdaten!J$40,Bewertung_Stammdaten!I$40,IF(AI85&lt;Bewertung_Stammdaten!J$41,Bewertung_Stammdaten!I$41,IF(AI85&lt;Bewertung_Stammdaten!J$42,Bewertung_Stammdaten!I$42,IF(AI85&lt;Bewertung_Stammdaten!J$43,Bewertung_Stammdaten!I$43,IF(AI85&lt;Bewertung_Stammdaten!J$44,Bewertung_Stammdaten!I$44,IF(AI85&lt;Bewertung_Stammdaten!J$45,Bewertung_Stammdaten!I$45,IF(AI85&lt;Bewertung_Stammdaten!J$46,Bewertung_Stammdaten!I$46,Bewertung_Stammdaten!I$47)))))))))</f>
        <v>#N/A</v>
      </c>
      <c r="AM85" s="43"/>
      <c r="AN85" s="14" t="e">
        <f>VLOOKUP(A85,Dividende_je_Aktie!A$3:AM$103,24,FALSE)</f>
        <v>#N/A</v>
      </c>
      <c r="AO85" s="14" t="e">
        <f>VLOOKUP(A85,Dividende_je_Aktie!A$3:AM$103,20,FALSE)</f>
        <v>#N/A</v>
      </c>
      <c r="AP85" s="12" t="e">
        <f>VLOOKUP(A85,Dividende_je_Aktie!A$3:AM$103,25,FALSE)</f>
        <v>#N/A</v>
      </c>
      <c r="AQ85" s="40" t="e">
        <f>VLOOKUP(A85,Dividende_je_Aktie!A$3:AM$103,39,FALSE)</f>
        <v>#N/A</v>
      </c>
      <c r="AR85" s="16" t="e">
        <f t="shared" si="18"/>
        <v>#N/A</v>
      </c>
      <c r="AS85" s="12" t="e">
        <f t="shared" si="19"/>
        <v>#N/A</v>
      </c>
      <c r="AT85" s="32" t="e">
        <f>IF(AP85&lt;Bewertung_Stammdaten!B$51,Bewertung_Stammdaten!A$51,IF(AP85&lt;Bewertung_Stammdaten!B$52,Bewertung_Stammdaten!A$52,IF(AP85&lt;Bewertung_Stammdaten!B$53,Bewertung_Stammdaten!A$53,IF(AP85&lt;Bewertung_Stammdaten!B$54,Bewertung_Stammdaten!A$54,IF(AP85&lt;Bewertung_Stammdaten!B$55,Bewertung_Stammdaten!A$55,IF(AP85&lt;Bewertung_Stammdaten!B$56,Bewertung_Stammdaten!A$56,IF(AP85&lt;Bewertung_Stammdaten!B$57,Bewertung_Stammdaten!A$57,IF(AP85&lt;Bewertung_Stammdaten!B$58,Bewertung_Stammdaten!A$58,IF(AP85&lt;Bewertung_Stammdaten!B$59,Bewertung_Stammdaten!A$59,Bewertung_Stammdaten!A$60)))))))))</f>
        <v>#N/A</v>
      </c>
      <c r="AU85" s="32" t="e">
        <f>IF(AQ85&lt;Bewertung_Stammdaten!F$51,Bewertung_Stammdaten!E$51,IF(AQ85&lt;Bewertung_Stammdaten!F$52,Bewertung_Stammdaten!E$52,IF(AQ85&lt;Bewertung_Stammdaten!F$53,Bewertung_Stammdaten!E$53,IF(AQ85&lt;Bewertung_Stammdaten!F$54,Bewertung_Stammdaten!E$54,IF(AQ85&lt;Bewertung_Stammdaten!F$55,Bewertung_Stammdaten!E$55,IF(AQ85&lt;Bewertung_Stammdaten!F$56,Bewertung_Stammdaten!E$56,IF(AQ85&lt;Bewertung_Stammdaten!F$57,Bewertung_Stammdaten!E$57,IF(AQ85&lt;Bewertung_Stammdaten!F$58,Bewertung_Stammdaten!E$58,IF(AQ85&lt;Bewertung_Stammdaten!F$59,Bewertung_Stammdaten!E$59,Bewertung_Stammdaten!E$60)))))))))</f>
        <v>#N/A</v>
      </c>
      <c r="AV85" s="32" t="e">
        <f>IF(AS85&lt;Bewertung_Stammdaten!J$51,Bewertung_Stammdaten!I$51,IF(AS85&lt;Bewertung_Stammdaten!J$52,Bewertung_Stammdaten!I$52,IF(AS85&lt;Bewertung_Stammdaten!J$53,Bewertung_Stammdaten!I$53,IF(AS85&lt;Bewertung_Stammdaten!J$54,Bewertung_Stammdaten!I$54,IF(AS85&lt;Bewertung_Stammdaten!J$55,Bewertung_Stammdaten!I$55,IF(AS85&lt;Bewertung_Stammdaten!J$56,Bewertung_Stammdaten!I$56,IF(AS85&lt;Bewertung_Stammdaten!J$57,Bewertung_Stammdaten!I$57,IF(AS85&lt;Bewertung_Stammdaten!J$58,Bewertung_Stammdaten!I$58,IF(AS85&lt;Bewertung_Stammdaten!J$59,Bewertung_Stammdaten!I$59,Bewertung_Stammdaten!I$60)))))))))</f>
        <v>#N/A</v>
      </c>
      <c r="AW85" s="43"/>
      <c r="AX85" s="12" t="e">
        <f>VLOOKUP(A85,Dividendenrendite!A$3:R$103,17,FALSE)</f>
        <v>#N/A</v>
      </c>
      <c r="AY85" s="12" t="e">
        <f>VLOOKUP(A85,Dividendenrendite!A$3:R$103,16,FALSE)</f>
        <v>#N/A</v>
      </c>
      <c r="AZ85" s="12" t="e">
        <f>VLOOKUP(A85,Dividendenrendite!A$3:R$103,18,FALSE)</f>
        <v>#N/A</v>
      </c>
      <c r="BA85" s="32" t="e">
        <f>IF(AX85&lt;Bewertung_Stammdaten!B$64,Bewertung_Stammdaten!A$64,IF(AX85&lt;Bewertung_Stammdaten!B$65,Bewertung_Stammdaten!A$65,IF(AX85&lt;Bewertung_Stammdaten!B$66,Bewertung_Stammdaten!A$66,IF(AX85&lt;Bewertung_Stammdaten!B$67,Bewertung_Stammdaten!A$67,IF(AX85&lt;Bewertung_Stammdaten!B$68,Bewertung_Stammdaten!A$68,IF(AX85&lt;Bewertung_Stammdaten!B$69,Bewertung_Stammdaten!A$69,IF(AX85&lt;Bewertung_Stammdaten!B$70,Bewertung_Stammdaten!A$70,IF(AX85&lt;Bewertung_Stammdaten!B$71,Bewertung_Stammdaten!A$71,IF(AX85&lt;Bewertung_Stammdaten!B$72,Bewertung_Stammdaten!A$72,Bewertung_Stammdaten!A$73)))))))))</f>
        <v>#N/A</v>
      </c>
      <c r="BB85" s="32" t="e">
        <f>IF(AY85&lt;Bewertung_Stammdaten!F$64,Bewertung_Stammdaten!E$64,IF(AY85&lt;Bewertung_Stammdaten!F$65,Bewertung_Stammdaten!E$65,IF(AY85&lt;Bewertung_Stammdaten!F$66,Bewertung_Stammdaten!E$66,IF(AY85&lt;Bewertung_Stammdaten!F$67,Bewertung_Stammdaten!E$67,IF(AY85&lt;Bewertung_Stammdaten!F$68,Bewertung_Stammdaten!E$68,IF(AY85&lt;Bewertung_Stammdaten!F$69,Bewertung_Stammdaten!E$69,IF(AY85&lt;Bewertung_Stammdaten!F$70,Bewertung_Stammdaten!E$70,IF(AY85&lt;Bewertung_Stammdaten!F$71,Bewertung_Stammdaten!E$71,IF(AY85&lt;Bewertung_Stammdaten!F$72,Bewertung_Stammdaten!E$72,Bewertung_Stammdaten!E$73)))))))))</f>
        <v>#N/A</v>
      </c>
      <c r="BC85" s="32" t="e">
        <f>IF(AZ85&lt;Bewertung_Stammdaten!J$64,Bewertung_Stammdaten!I$64,IF(AZ85&lt;Bewertung_Stammdaten!J$65,Bewertung_Stammdaten!I$65,IF(AZ85&lt;Bewertung_Stammdaten!J$66,Bewertung_Stammdaten!I$66,IF(AZ85&lt;Bewertung_Stammdaten!J$67,Bewertung_Stammdaten!I$67,IF(AZ85&lt;Bewertung_Stammdaten!J$68,Bewertung_Stammdaten!I$68,IF(AZ85&lt;Bewertung_Stammdaten!J$69,Bewertung_Stammdaten!I$69,IF(AZ85&lt;Bewertung_Stammdaten!J$70,Bewertung_Stammdaten!I$70,IF(AZ85&lt;Bewertung_Stammdaten!J$71,Bewertung_Stammdaten!I$71,IF(AZ85&lt;Bewertung_Stammdaten!J$72,Bewertung_Stammdaten!I$72,Bewertung_Stammdaten!I$73)))))))))</f>
        <v>#N/A</v>
      </c>
      <c r="BD85" s="43"/>
      <c r="BE85" s="12" t="e">
        <f>VLOOKUP(A85,Aktien_im_Umlauf_splitbereinigt!A$3:Z$103,26,FALSE)</f>
        <v>#N/A</v>
      </c>
      <c r="BF85" s="12" t="e">
        <f>VLOOKUP(A85,Aktien_im_Umlauf_splitbereinigt!A$3:Y$103,24,FALSE)</f>
        <v>#N/A</v>
      </c>
      <c r="BG85" s="12" t="e">
        <f>VLOOKUP(A85,Aktien_im_Umlauf_splitbereinigt!A$3:Y$103,25,FALSE)</f>
        <v>#N/A</v>
      </c>
      <c r="BH85" s="41" t="e">
        <f>IF(BE85&lt;Bewertung_Stammdaten!B$77,Bewertung_Stammdaten!A$77,IF(BE85&lt;Bewertung_Stammdaten!B$78,Bewertung_Stammdaten!A$78,IF(BE85&lt;Bewertung_Stammdaten!B$79,Bewertung_Stammdaten!A$79,IF(BE85&lt;Bewertung_Stammdaten!B$80,Bewertung_Stammdaten!A$80,IF(BE85&lt;Bewertung_Stammdaten!B$81,Bewertung_Stammdaten!A$81,IF(BE85&lt;Bewertung_Stammdaten!B$82,Bewertung_Stammdaten!A$82,IF(BE85&lt;Bewertung_Stammdaten!B$83,Bewertung_Stammdaten!A$83,IF(BE85&lt;Bewertung_Stammdaten!B$84,Bewertung_Stammdaten!A$84,IF(BE85&lt;Bewertung_Stammdaten!B$85,Bewertung_Stammdaten!A$85,Bewertung_Stammdaten!A$86)))))))))</f>
        <v>#N/A</v>
      </c>
      <c r="BI85" s="41" t="e">
        <f>IF(BF85&lt;Bewertung_Stammdaten!F$77,Bewertung_Stammdaten!E$77,IF(BF85&lt;Bewertung_Stammdaten!F$78,Bewertung_Stammdaten!E$78,IF(BF85&lt;Bewertung_Stammdaten!F$79,Bewertung_Stammdaten!E$79,IF(BF85&lt;Bewertung_Stammdaten!F$80,Bewertung_Stammdaten!E$80,IF(BF85&lt;Bewertung_Stammdaten!F$81,Bewertung_Stammdaten!E$81,IF(BF85&lt;Bewertung_Stammdaten!F$82,Bewertung_Stammdaten!E$82,IF(BF85&lt;Bewertung_Stammdaten!F$83,Bewertung_Stammdaten!E$83,IF(BF85&lt;Bewertung_Stammdaten!F$84,Bewertung_Stammdaten!E$84,IF(BF85&lt;Bewertung_Stammdaten!F$85,Bewertung_Stammdaten!E$85,Bewertung_Stammdaten!E$86)))))))))</f>
        <v>#N/A</v>
      </c>
      <c r="BJ85" s="41" t="e">
        <f>IF(BG85&lt;Bewertung_Stammdaten!J$77,Bewertung_Stammdaten!I$77,IF(BG85&lt;Bewertung_Stammdaten!J$78,Bewertung_Stammdaten!I$78,IF(BG85&lt;Bewertung_Stammdaten!J$79,Bewertung_Stammdaten!I$79,IF(BG85&lt;Bewertung_Stammdaten!J$80,Bewertung_Stammdaten!I$80,IF(BG85&lt;Bewertung_Stammdaten!J$81,Bewertung_Stammdaten!I$81,IF(BG85&lt;Bewertung_Stammdaten!J$82,Bewertung_Stammdaten!I$82,IF(BG85&lt;Bewertung_Stammdaten!J$83,Bewertung_Stammdaten!I$83,IF(BG85&lt;Bewertung_Stammdaten!J$84,Bewertung_Stammdaten!I$84,IF(BG85&lt;Bewertung_Stammdaten!J$85,Bewertung_Stammdaten!I$85,Bewertung_Stammdaten!I$86)))))))))</f>
        <v>#N/A</v>
      </c>
      <c r="BK85" s="43"/>
      <c r="BL85" s="12" t="e">
        <f>VLOOKUP(A85,Ausschüttungsquote!A$3:X$103,23,FALSE)</f>
        <v>#N/A</v>
      </c>
      <c r="BM85" s="12" t="e">
        <f>VLOOKUP(A85,Ausschüttungsquote!A$3:X$103,19,FALSE)</f>
        <v>#N/A</v>
      </c>
      <c r="BN85" s="12" t="e">
        <f>VLOOKUP(A85,Ausschüttungsquote!A$3:X$103,24,FALSE)</f>
        <v>#N/A</v>
      </c>
      <c r="BO85" s="32" t="e">
        <f>IF(BL85&lt;Bewertung_Stammdaten!B$90,Bewertung_Stammdaten!A$90,IF(BL85&lt;Bewertung_Stammdaten!B$91,Bewertung_Stammdaten!A$91,IF(BL85&lt;Bewertung_Stammdaten!B$92,Bewertung_Stammdaten!A$92,IF(BL85&lt;Bewertung_Stammdaten!B$93,Bewertung_Stammdaten!A$93,IF(BL85&lt;Bewertung_Stammdaten!B$94,Bewertung_Stammdaten!A$94,IF(BL85&lt;Bewertung_Stammdaten!B$95,Bewertung_Stammdaten!A$95,IF(BL85&lt;Bewertung_Stammdaten!B$96,Bewertung_Stammdaten!A$96,IF(BL85&lt;Bewertung_Stammdaten!B$97,Bewertung_Stammdaten!A$97,IF(BL85&lt;Bewertung_Stammdaten!B$98,Bewertung_Stammdaten!A$98,Bewertung_Stammdaten!A$99)))))))))</f>
        <v>#N/A</v>
      </c>
      <c r="BP85" s="41" t="e">
        <f>IF(BM85&lt;Bewertung_Stammdaten!F$90,Bewertung_Stammdaten!E$90,IF(BM85&lt;Bewertung_Stammdaten!F$91,Bewertung_Stammdaten!E$91,IF(BM85&lt;Bewertung_Stammdaten!F$92,Bewertung_Stammdaten!E$92,IF(BM85&lt;Bewertung_Stammdaten!F$93,Bewertung_Stammdaten!E$93,IF(BM85&lt;Bewertung_Stammdaten!F$94,Bewertung_Stammdaten!E$94,IF(BM85&lt;Bewertung_Stammdaten!F$95,Bewertung_Stammdaten!E$95,IF(BM85&lt;Bewertung_Stammdaten!F$96,Bewertung_Stammdaten!E$96,IF(BM85&lt;Bewertung_Stammdaten!F$97,Bewertung_Stammdaten!E$97,IF(BM85&lt;Bewertung_Stammdaten!F$98,Bewertung_Stammdaten!E$98,Bewertung_Stammdaten!E$99)))))))))</f>
        <v>#N/A</v>
      </c>
      <c r="BQ85" s="32" t="e">
        <f>IF(BN85&lt;Bewertung_Stammdaten!J$90,Bewertung_Stammdaten!I$90,IF(BN85&lt;Bewertung_Stammdaten!J$91,Bewertung_Stammdaten!I$91,IF(BN85&lt;Bewertung_Stammdaten!J$92,Bewertung_Stammdaten!I$92,IF(BN85&lt;Bewertung_Stammdaten!J$93,Bewertung_Stammdaten!I$93,IF(BN85&lt;Bewertung_Stammdaten!J$94,Bewertung_Stammdaten!I$94,IF(BN85&lt;Bewertung_Stammdaten!J$95,Bewertung_Stammdaten!I$95,IF(BN85&lt;Bewertung_Stammdaten!J$96,Bewertung_Stammdaten!I$96,IF(BN85&lt;Bewertung_Stammdaten!J$97,Bewertung_Stammdaten!I$97,IF(BN85&lt;Bewertung_Stammdaten!J$98,Bewertung_Stammdaten!I$98,Bewertung_Stammdaten!I$99)))))))))</f>
        <v>#N/A</v>
      </c>
    </row>
    <row r="86" spans="3:69" x14ac:dyDescent="0.25">
      <c r="C86" s="55" t="s">
        <v>297</v>
      </c>
      <c r="D86" s="32" t="e">
        <f t="shared" si="11"/>
        <v>#N/A</v>
      </c>
      <c r="E86" s="43"/>
      <c r="F86" s="66">
        <v>1</v>
      </c>
      <c r="G86" s="11" t="e">
        <f>VLOOKUP(A86,KGV!A$3:R$103,17,FALSE)</f>
        <v>#N/A</v>
      </c>
      <c r="H86" s="11" t="e">
        <f>VLOOKUP(A86,KGV!A$3:R$103,16,FALSE)</f>
        <v>#N/A</v>
      </c>
      <c r="I86" s="12" t="e">
        <f>VLOOKUP(A86,KGV!A$3:R$103,18,FALSE)</f>
        <v>#N/A</v>
      </c>
      <c r="J86" s="16" t="e">
        <f t="shared" si="12"/>
        <v>#N/A</v>
      </c>
      <c r="K86" s="12" t="e">
        <f t="shared" si="13"/>
        <v>#N/A</v>
      </c>
      <c r="L86" s="11" t="e">
        <f>VLOOKUP(A86,KBV!A$3:R$103,17,FALSE)</f>
        <v>#N/A</v>
      </c>
      <c r="M86" s="11" t="e">
        <f>VLOOKUP(A86,KBV!A$3:R$103,16,FALSE)</f>
        <v>#N/A</v>
      </c>
      <c r="N86" s="12" t="e">
        <f>VLOOKUP(A86,KBV!A$3:R$103,18,FALSE)</f>
        <v>#N/A</v>
      </c>
      <c r="O86" s="16" t="e">
        <f t="shared" si="20"/>
        <v>#N/A</v>
      </c>
      <c r="P86" s="12" t="e">
        <f t="shared" si="21"/>
        <v>#N/A</v>
      </c>
      <c r="Q86" s="32" t="e">
        <f>IF(F86=1,IF(I86&lt;Bewertung_Stammdaten!B$12,Bewertung_Stammdaten!A$12,IF(I86&lt;Bewertung_Stammdaten!B$13,Bewertung_Stammdaten!A$13,IF(I86&lt;Bewertung_Stammdaten!B$14,Bewertung_Stammdaten!A$14,IF(I86&lt;Bewertung_Stammdaten!B$15,Bewertung_Stammdaten!A$15,IF(I86&lt;Bewertung_Stammdaten!B$16,Bewertung_Stammdaten!A$16,IF(I86&lt;Bewertung_Stammdaten!B$17,Bewertung_Stammdaten!A$17,IF(I86&lt;Bewertung_Stammdaten!B$18,Bewertung_Stammdaten!A$18,IF(I86&lt;Bewertung_Stammdaten!B$19,Bewertung_Stammdaten!A$19,IF(I86&lt;Bewertung_Stammdaten!B$20,Bewertung_Stammdaten!A$20,Bewertung_Stammdaten!A$21))))))))),IF(N86&lt;Bewertung_Stammdaten!C$12,Bewertung_Stammdaten!A$12,IF(N86&lt;Bewertung_Stammdaten!C$13,Bewertung_Stammdaten!A$13,IF(N86&lt;Bewertung_Stammdaten!C$14,Bewertung_Stammdaten!A$14,IF(N86&lt;Bewertung_Stammdaten!C$15,Bewertung_Stammdaten!A$15,IF(N86&lt;Bewertung_Stammdaten!C$16,Bewertung_Stammdaten!A$16,IF(N86&lt;Bewertung_Stammdaten!C$17,Bewertung_Stammdaten!A$17,IF(N86&lt;Bewertung_Stammdaten!C$18,Bewertung_Stammdaten!A$18,IF(N86&lt;Bewertung_Stammdaten!C$19,Bewertung_Stammdaten!A$19,IF(N86&lt;Bewertung_Stammdaten!C$20,Bewertung_Stammdaten!A$20,Bewertung_Stammdaten!A$21))))))))))</f>
        <v>#N/A</v>
      </c>
      <c r="R86" s="32" t="e">
        <f>IF(F86=1,IF(K86&lt;Bewertung_Stammdaten!F$12,Bewertung_Stammdaten!E$12,IF(K86&lt;Bewertung_Stammdaten!F$13,Bewertung_Stammdaten!E$13,IF(K86&lt;Bewertung_Stammdaten!F$14,Bewertung_Stammdaten!E$14,IF(K86&lt;Bewertung_Stammdaten!F$15,Bewertung_Stammdaten!E$15,IF(K86&lt;Bewertung_Stammdaten!F$16,Bewertung_Stammdaten!E$16,IF(K86&lt;Bewertung_Stammdaten!F$17,Bewertung_Stammdaten!E$17,IF(K86&lt;Bewertung_Stammdaten!F$18,Bewertung_Stammdaten!E$18,IF(K86&lt;Bewertung_Stammdaten!F$19,Bewertung_Stammdaten!E$19,IF(K86&lt;Bewertung_Stammdaten!F$20,Bewertung_Stammdaten!E$20,Bewertung_Stammdaten!E$21))))))))),IF(P86&lt;Bewertung_Stammdaten!G$12,Bewertung_Stammdaten!E$12,IF(P86&lt;Bewertung_Stammdaten!G$13,Bewertung_Stammdaten!E$13,IF(P86&lt;Bewertung_Stammdaten!G$14,Bewertung_Stammdaten!E$14,IF(P86&lt;Bewertung_Stammdaten!G$15,Bewertung_Stammdaten!E$15,IF(P86&lt;Bewertung_Stammdaten!G$16,Bewertung_Stammdaten!E$16,IF(P86&lt;Bewertung_Stammdaten!G$17,Bewertung_Stammdaten!E$17,IF(P86&lt;Bewertung_Stammdaten!G$18,Bewertung_Stammdaten!E$18,IF(P86&lt;Bewertung_Stammdaten!G$19,Bewertung_Stammdaten!E$19,IF(P86&lt;Bewertung_Stammdaten!G$20,Bewertung_Stammdaten!E$20,Bewertung_Stammdaten!E$21))))))))))</f>
        <v>#N/A</v>
      </c>
      <c r="S86" s="43"/>
      <c r="T86" s="11" t="e">
        <f>VLOOKUP(A86,Buchwert_je_Aktie!A$3:AK$103,23,FALSE)</f>
        <v>#N/A</v>
      </c>
      <c r="U86" s="11" t="e">
        <f>VLOOKUP(A86,Buchwert_je_Aktie!A$3:AK$103,19,FALSE)</f>
        <v>#N/A</v>
      </c>
      <c r="V86" s="12" t="e">
        <f>VLOOKUP(A86,Buchwert_je_Aktie!A$3:AK$103,24,FALSE)</f>
        <v>#N/A</v>
      </c>
      <c r="W86" s="12" t="e">
        <f>VLOOKUP(A86,Buchwert_je_Aktie!A$3:AK$103,37,FALSE)</f>
        <v>#N/A</v>
      </c>
      <c r="X86" s="16" t="e">
        <f t="shared" si="14"/>
        <v>#N/A</v>
      </c>
      <c r="Y86" s="12" t="e">
        <f t="shared" si="15"/>
        <v>#N/A</v>
      </c>
      <c r="Z86" s="51" t="e">
        <f>IF(V86&lt;Bewertung_Stammdaten!B$25,Bewertung_Stammdaten!A$25,IF(V86&lt;Bewertung_Stammdaten!B$26,Bewertung_Stammdaten!A$26,IF(V86&lt;Bewertung_Stammdaten!B$27,Bewertung_Stammdaten!A$27,IF(V86&lt;Bewertung_Stammdaten!B$28,Bewertung_Stammdaten!A$28,IF(V86&lt;Bewertung_Stammdaten!B$29,Bewertung_Stammdaten!A$29,IF(V86&lt;Bewertung_Stammdaten!B$30,Bewertung_Stammdaten!A$30,IF(V86&lt;Bewertung_Stammdaten!B$31,Bewertung_Stammdaten!A$31,IF(V86&lt;Bewertung_Stammdaten!B$32,Bewertung_Stammdaten!A$32,IF(V86&lt;Bewertung_Stammdaten!B$33,Bewertung_Stammdaten!A$33,Bewertung_Stammdaten!A$34)))))))))</f>
        <v>#N/A</v>
      </c>
      <c r="AA86" s="51" t="e">
        <f>IF(W86&lt;Bewertung_Stammdaten!F$25,Bewertung_Stammdaten!E$25,IF(W86&lt;Bewertung_Stammdaten!F$26,Bewertung_Stammdaten!E$26,IF(W86&lt;Bewertung_Stammdaten!F$27,Bewertung_Stammdaten!E$27,IF(W86&lt;Bewertung_Stammdaten!F$28,Bewertung_Stammdaten!E$28,IF(W86&lt;Bewertung_Stammdaten!F$29,Bewertung_Stammdaten!E$29,IF(W86&lt;Bewertung_Stammdaten!F$30,Bewertung_Stammdaten!E$30,IF(W86&lt;Bewertung_Stammdaten!F$31,Bewertung_Stammdaten!E$31,IF(W86&lt;Bewertung_Stammdaten!F$32,Bewertung_Stammdaten!E$32,IF(W86&lt;Bewertung_Stammdaten!F$33,Bewertung_Stammdaten!E$33,Bewertung_Stammdaten!E$34)))))))))</f>
        <v>#N/A</v>
      </c>
      <c r="AB86" s="51" t="e">
        <f>IF(Y86&lt;Bewertung_Stammdaten!J$25,Bewertung_Stammdaten!I$25,IF(Y86&lt;Bewertung_Stammdaten!J$26,Bewertung_Stammdaten!I$26,IF(Y86&lt;Bewertung_Stammdaten!J$27,Bewertung_Stammdaten!I$27,IF(Y86&lt;Bewertung_Stammdaten!J$28,Bewertung_Stammdaten!I$28,IF(Y86&lt;Bewertung_Stammdaten!J$29,Bewertung_Stammdaten!I$29,IF(Y86&lt;Bewertung_Stammdaten!J$30,Bewertung_Stammdaten!I$30,IF(Y86&lt;Bewertung_Stammdaten!J$31,Bewertung_Stammdaten!I$31,IF(Y86&lt;Bewertung_Stammdaten!J$32,Bewertung_Stammdaten!I$32,IF(Y86&lt;Bewertung_Stammdaten!J$33,Bewertung_Stammdaten!I$33,Bewertung_Stammdaten!I$34)))))))))</f>
        <v>#N/A</v>
      </c>
      <c r="AC86" s="43"/>
      <c r="AD86" s="14" t="e">
        <f>VLOOKUP(A86,Ergebnis_je_Aktie_verwässert!A$3:AK$103,23,FALSE)</f>
        <v>#N/A</v>
      </c>
      <c r="AE86" s="14" t="e">
        <f>VLOOKUP(A86,Ergebnis_je_Aktie_verwässert!A$3:AK$103,19,FALSE)</f>
        <v>#N/A</v>
      </c>
      <c r="AF86" s="12" t="e">
        <f>VLOOKUP(A86,Ergebnis_je_Aktie_verwässert!A$3:AK$103,24,FALSE)</f>
        <v>#N/A</v>
      </c>
      <c r="AG86" s="40" t="e">
        <f>VLOOKUP(A86,Ergebnis_je_Aktie_verwässert!A$3:AK$103,37,FALSE)</f>
        <v>#N/A</v>
      </c>
      <c r="AH86" s="16" t="e">
        <f t="shared" si="16"/>
        <v>#N/A</v>
      </c>
      <c r="AI86" s="12" t="e">
        <f t="shared" si="17"/>
        <v>#N/A</v>
      </c>
      <c r="AJ86" s="32" t="e">
        <f>IF(AF86&lt;Bewertung_Stammdaten!B$38,Bewertung_Stammdaten!A$38,IF(AF86&lt;Bewertung_Stammdaten!B$39,Bewertung_Stammdaten!A$39,IF(AF86&lt;Bewertung_Stammdaten!B$40,Bewertung_Stammdaten!A$40,IF(AF86&lt;Bewertung_Stammdaten!B$41,Bewertung_Stammdaten!A$41,IF(AF86&lt;Bewertung_Stammdaten!B$42,Bewertung_Stammdaten!A$42,IF(AF86&lt;Bewertung_Stammdaten!B$43,Bewertung_Stammdaten!A$43,IF(AF86&lt;Bewertung_Stammdaten!B$44,Bewertung_Stammdaten!A$44,IF(AF86&lt;Bewertung_Stammdaten!B$45,Bewertung_Stammdaten!A$45,IF(AF86&lt;Bewertung_Stammdaten!B$46,Bewertung_Stammdaten!A$46,Bewertung_Stammdaten!A$47)))))))))</f>
        <v>#N/A</v>
      </c>
      <c r="AK86" s="32" t="e">
        <f>IF(AG86&lt;Bewertung_Stammdaten!F$38,Bewertung_Stammdaten!E$38,IF(AG86&lt;Bewertung_Stammdaten!F$39,Bewertung_Stammdaten!E$39,IF(AG86&lt;Bewertung_Stammdaten!F$40,Bewertung_Stammdaten!E$40,IF(AG86&lt;Bewertung_Stammdaten!F$41,Bewertung_Stammdaten!E$41,IF(AG86&lt;Bewertung_Stammdaten!F$42,Bewertung_Stammdaten!E$42,IF(AG86&lt;Bewertung_Stammdaten!F$43,Bewertung_Stammdaten!E$43,IF(AG86&lt;Bewertung_Stammdaten!F$44,Bewertung_Stammdaten!E$44,IF(AG86&lt;Bewertung_Stammdaten!F$45,Bewertung_Stammdaten!E$45,IF(AG86&lt;Bewertung_Stammdaten!F$46,Bewertung_Stammdaten!E$46,Bewertung_Stammdaten!E$47)))))))))</f>
        <v>#N/A</v>
      </c>
      <c r="AL86" s="32" t="e">
        <f>IF(AI86&lt;Bewertung_Stammdaten!J$38,Bewertung_Stammdaten!I$38,IF(AI86&lt;Bewertung_Stammdaten!J$39,Bewertung_Stammdaten!I$39,IF(AI86&lt;Bewertung_Stammdaten!J$40,Bewertung_Stammdaten!I$40,IF(AI86&lt;Bewertung_Stammdaten!J$41,Bewertung_Stammdaten!I$41,IF(AI86&lt;Bewertung_Stammdaten!J$42,Bewertung_Stammdaten!I$42,IF(AI86&lt;Bewertung_Stammdaten!J$43,Bewertung_Stammdaten!I$43,IF(AI86&lt;Bewertung_Stammdaten!J$44,Bewertung_Stammdaten!I$44,IF(AI86&lt;Bewertung_Stammdaten!J$45,Bewertung_Stammdaten!I$45,IF(AI86&lt;Bewertung_Stammdaten!J$46,Bewertung_Stammdaten!I$46,Bewertung_Stammdaten!I$47)))))))))</f>
        <v>#N/A</v>
      </c>
      <c r="AM86" s="43"/>
      <c r="AN86" s="14" t="e">
        <f>VLOOKUP(A86,Dividende_je_Aktie!A$3:AM$103,24,FALSE)</f>
        <v>#N/A</v>
      </c>
      <c r="AO86" s="14" t="e">
        <f>VLOOKUP(A86,Dividende_je_Aktie!A$3:AM$103,20,FALSE)</f>
        <v>#N/A</v>
      </c>
      <c r="AP86" s="12" t="e">
        <f>VLOOKUP(A86,Dividende_je_Aktie!A$3:AM$103,25,FALSE)</f>
        <v>#N/A</v>
      </c>
      <c r="AQ86" s="40" t="e">
        <f>VLOOKUP(A86,Dividende_je_Aktie!A$3:AM$103,39,FALSE)</f>
        <v>#N/A</v>
      </c>
      <c r="AR86" s="16" t="e">
        <f t="shared" si="18"/>
        <v>#N/A</v>
      </c>
      <c r="AS86" s="12" t="e">
        <f t="shared" si="19"/>
        <v>#N/A</v>
      </c>
      <c r="AT86" s="32" t="e">
        <f>IF(AP86&lt;Bewertung_Stammdaten!B$51,Bewertung_Stammdaten!A$51,IF(AP86&lt;Bewertung_Stammdaten!B$52,Bewertung_Stammdaten!A$52,IF(AP86&lt;Bewertung_Stammdaten!B$53,Bewertung_Stammdaten!A$53,IF(AP86&lt;Bewertung_Stammdaten!B$54,Bewertung_Stammdaten!A$54,IF(AP86&lt;Bewertung_Stammdaten!B$55,Bewertung_Stammdaten!A$55,IF(AP86&lt;Bewertung_Stammdaten!B$56,Bewertung_Stammdaten!A$56,IF(AP86&lt;Bewertung_Stammdaten!B$57,Bewertung_Stammdaten!A$57,IF(AP86&lt;Bewertung_Stammdaten!B$58,Bewertung_Stammdaten!A$58,IF(AP86&lt;Bewertung_Stammdaten!B$59,Bewertung_Stammdaten!A$59,Bewertung_Stammdaten!A$60)))))))))</f>
        <v>#N/A</v>
      </c>
      <c r="AU86" s="32" t="e">
        <f>IF(AQ86&lt;Bewertung_Stammdaten!F$51,Bewertung_Stammdaten!E$51,IF(AQ86&lt;Bewertung_Stammdaten!F$52,Bewertung_Stammdaten!E$52,IF(AQ86&lt;Bewertung_Stammdaten!F$53,Bewertung_Stammdaten!E$53,IF(AQ86&lt;Bewertung_Stammdaten!F$54,Bewertung_Stammdaten!E$54,IF(AQ86&lt;Bewertung_Stammdaten!F$55,Bewertung_Stammdaten!E$55,IF(AQ86&lt;Bewertung_Stammdaten!F$56,Bewertung_Stammdaten!E$56,IF(AQ86&lt;Bewertung_Stammdaten!F$57,Bewertung_Stammdaten!E$57,IF(AQ86&lt;Bewertung_Stammdaten!F$58,Bewertung_Stammdaten!E$58,IF(AQ86&lt;Bewertung_Stammdaten!F$59,Bewertung_Stammdaten!E$59,Bewertung_Stammdaten!E$60)))))))))</f>
        <v>#N/A</v>
      </c>
      <c r="AV86" s="32" t="e">
        <f>IF(AS86&lt;Bewertung_Stammdaten!J$51,Bewertung_Stammdaten!I$51,IF(AS86&lt;Bewertung_Stammdaten!J$52,Bewertung_Stammdaten!I$52,IF(AS86&lt;Bewertung_Stammdaten!J$53,Bewertung_Stammdaten!I$53,IF(AS86&lt;Bewertung_Stammdaten!J$54,Bewertung_Stammdaten!I$54,IF(AS86&lt;Bewertung_Stammdaten!J$55,Bewertung_Stammdaten!I$55,IF(AS86&lt;Bewertung_Stammdaten!J$56,Bewertung_Stammdaten!I$56,IF(AS86&lt;Bewertung_Stammdaten!J$57,Bewertung_Stammdaten!I$57,IF(AS86&lt;Bewertung_Stammdaten!J$58,Bewertung_Stammdaten!I$58,IF(AS86&lt;Bewertung_Stammdaten!J$59,Bewertung_Stammdaten!I$59,Bewertung_Stammdaten!I$60)))))))))</f>
        <v>#N/A</v>
      </c>
      <c r="AW86" s="43"/>
      <c r="AX86" s="12" t="e">
        <f>VLOOKUP(A86,Dividendenrendite!A$3:R$103,17,FALSE)</f>
        <v>#N/A</v>
      </c>
      <c r="AY86" s="12" t="e">
        <f>VLOOKUP(A86,Dividendenrendite!A$3:R$103,16,FALSE)</f>
        <v>#N/A</v>
      </c>
      <c r="AZ86" s="12" t="e">
        <f>VLOOKUP(A86,Dividendenrendite!A$3:R$103,18,FALSE)</f>
        <v>#N/A</v>
      </c>
      <c r="BA86" s="32" t="e">
        <f>IF(AX86&lt;Bewertung_Stammdaten!B$64,Bewertung_Stammdaten!A$64,IF(AX86&lt;Bewertung_Stammdaten!B$65,Bewertung_Stammdaten!A$65,IF(AX86&lt;Bewertung_Stammdaten!B$66,Bewertung_Stammdaten!A$66,IF(AX86&lt;Bewertung_Stammdaten!B$67,Bewertung_Stammdaten!A$67,IF(AX86&lt;Bewertung_Stammdaten!B$68,Bewertung_Stammdaten!A$68,IF(AX86&lt;Bewertung_Stammdaten!B$69,Bewertung_Stammdaten!A$69,IF(AX86&lt;Bewertung_Stammdaten!B$70,Bewertung_Stammdaten!A$70,IF(AX86&lt;Bewertung_Stammdaten!B$71,Bewertung_Stammdaten!A$71,IF(AX86&lt;Bewertung_Stammdaten!B$72,Bewertung_Stammdaten!A$72,Bewertung_Stammdaten!A$73)))))))))</f>
        <v>#N/A</v>
      </c>
      <c r="BB86" s="32" t="e">
        <f>IF(AY86&lt;Bewertung_Stammdaten!F$64,Bewertung_Stammdaten!E$64,IF(AY86&lt;Bewertung_Stammdaten!F$65,Bewertung_Stammdaten!E$65,IF(AY86&lt;Bewertung_Stammdaten!F$66,Bewertung_Stammdaten!E$66,IF(AY86&lt;Bewertung_Stammdaten!F$67,Bewertung_Stammdaten!E$67,IF(AY86&lt;Bewertung_Stammdaten!F$68,Bewertung_Stammdaten!E$68,IF(AY86&lt;Bewertung_Stammdaten!F$69,Bewertung_Stammdaten!E$69,IF(AY86&lt;Bewertung_Stammdaten!F$70,Bewertung_Stammdaten!E$70,IF(AY86&lt;Bewertung_Stammdaten!F$71,Bewertung_Stammdaten!E$71,IF(AY86&lt;Bewertung_Stammdaten!F$72,Bewertung_Stammdaten!E$72,Bewertung_Stammdaten!E$73)))))))))</f>
        <v>#N/A</v>
      </c>
      <c r="BC86" s="32" t="e">
        <f>IF(AZ86&lt;Bewertung_Stammdaten!J$64,Bewertung_Stammdaten!I$64,IF(AZ86&lt;Bewertung_Stammdaten!J$65,Bewertung_Stammdaten!I$65,IF(AZ86&lt;Bewertung_Stammdaten!J$66,Bewertung_Stammdaten!I$66,IF(AZ86&lt;Bewertung_Stammdaten!J$67,Bewertung_Stammdaten!I$67,IF(AZ86&lt;Bewertung_Stammdaten!J$68,Bewertung_Stammdaten!I$68,IF(AZ86&lt;Bewertung_Stammdaten!J$69,Bewertung_Stammdaten!I$69,IF(AZ86&lt;Bewertung_Stammdaten!J$70,Bewertung_Stammdaten!I$70,IF(AZ86&lt;Bewertung_Stammdaten!J$71,Bewertung_Stammdaten!I$71,IF(AZ86&lt;Bewertung_Stammdaten!J$72,Bewertung_Stammdaten!I$72,Bewertung_Stammdaten!I$73)))))))))</f>
        <v>#N/A</v>
      </c>
      <c r="BD86" s="43"/>
      <c r="BE86" s="12" t="e">
        <f>VLOOKUP(A86,Aktien_im_Umlauf_splitbereinigt!A$3:Z$103,26,FALSE)</f>
        <v>#N/A</v>
      </c>
      <c r="BF86" s="12" t="e">
        <f>VLOOKUP(A86,Aktien_im_Umlauf_splitbereinigt!A$3:Y$103,24,FALSE)</f>
        <v>#N/A</v>
      </c>
      <c r="BG86" s="12" t="e">
        <f>VLOOKUP(A86,Aktien_im_Umlauf_splitbereinigt!A$3:Y$103,25,FALSE)</f>
        <v>#N/A</v>
      </c>
      <c r="BH86" s="41" t="e">
        <f>IF(BE86&lt;Bewertung_Stammdaten!B$77,Bewertung_Stammdaten!A$77,IF(BE86&lt;Bewertung_Stammdaten!B$78,Bewertung_Stammdaten!A$78,IF(BE86&lt;Bewertung_Stammdaten!B$79,Bewertung_Stammdaten!A$79,IF(BE86&lt;Bewertung_Stammdaten!B$80,Bewertung_Stammdaten!A$80,IF(BE86&lt;Bewertung_Stammdaten!B$81,Bewertung_Stammdaten!A$81,IF(BE86&lt;Bewertung_Stammdaten!B$82,Bewertung_Stammdaten!A$82,IF(BE86&lt;Bewertung_Stammdaten!B$83,Bewertung_Stammdaten!A$83,IF(BE86&lt;Bewertung_Stammdaten!B$84,Bewertung_Stammdaten!A$84,IF(BE86&lt;Bewertung_Stammdaten!B$85,Bewertung_Stammdaten!A$85,Bewertung_Stammdaten!A$86)))))))))</f>
        <v>#N/A</v>
      </c>
      <c r="BI86" s="41" t="e">
        <f>IF(BF86&lt;Bewertung_Stammdaten!F$77,Bewertung_Stammdaten!E$77,IF(BF86&lt;Bewertung_Stammdaten!F$78,Bewertung_Stammdaten!E$78,IF(BF86&lt;Bewertung_Stammdaten!F$79,Bewertung_Stammdaten!E$79,IF(BF86&lt;Bewertung_Stammdaten!F$80,Bewertung_Stammdaten!E$80,IF(BF86&lt;Bewertung_Stammdaten!F$81,Bewertung_Stammdaten!E$81,IF(BF86&lt;Bewertung_Stammdaten!F$82,Bewertung_Stammdaten!E$82,IF(BF86&lt;Bewertung_Stammdaten!F$83,Bewertung_Stammdaten!E$83,IF(BF86&lt;Bewertung_Stammdaten!F$84,Bewertung_Stammdaten!E$84,IF(BF86&lt;Bewertung_Stammdaten!F$85,Bewertung_Stammdaten!E$85,Bewertung_Stammdaten!E$86)))))))))</f>
        <v>#N/A</v>
      </c>
      <c r="BJ86" s="41" t="e">
        <f>IF(BG86&lt;Bewertung_Stammdaten!J$77,Bewertung_Stammdaten!I$77,IF(BG86&lt;Bewertung_Stammdaten!J$78,Bewertung_Stammdaten!I$78,IF(BG86&lt;Bewertung_Stammdaten!J$79,Bewertung_Stammdaten!I$79,IF(BG86&lt;Bewertung_Stammdaten!J$80,Bewertung_Stammdaten!I$80,IF(BG86&lt;Bewertung_Stammdaten!J$81,Bewertung_Stammdaten!I$81,IF(BG86&lt;Bewertung_Stammdaten!J$82,Bewertung_Stammdaten!I$82,IF(BG86&lt;Bewertung_Stammdaten!J$83,Bewertung_Stammdaten!I$83,IF(BG86&lt;Bewertung_Stammdaten!J$84,Bewertung_Stammdaten!I$84,IF(BG86&lt;Bewertung_Stammdaten!J$85,Bewertung_Stammdaten!I$85,Bewertung_Stammdaten!I$86)))))))))</f>
        <v>#N/A</v>
      </c>
      <c r="BK86" s="43"/>
      <c r="BL86" s="12" t="e">
        <f>VLOOKUP(A86,Ausschüttungsquote!A$3:X$103,23,FALSE)</f>
        <v>#N/A</v>
      </c>
      <c r="BM86" s="12" t="e">
        <f>VLOOKUP(A86,Ausschüttungsquote!A$3:X$103,19,FALSE)</f>
        <v>#N/A</v>
      </c>
      <c r="BN86" s="12" t="e">
        <f>VLOOKUP(A86,Ausschüttungsquote!A$3:X$103,24,FALSE)</f>
        <v>#N/A</v>
      </c>
      <c r="BO86" s="32" t="e">
        <f>IF(BL86&lt;Bewertung_Stammdaten!B$90,Bewertung_Stammdaten!A$90,IF(BL86&lt;Bewertung_Stammdaten!B$91,Bewertung_Stammdaten!A$91,IF(BL86&lt;Bewertung_Stammdaten!B$92,Bewertung_Stammdaten!A$92,IF(BL86&lt;Bewertung_Stammdaten!B$93,Bewertung_Stammdaten!A$93,IF(BL86&lt;Bewertung_Stammdaten!B$94,Bewertung_Stammdaten!A$94,IF(BL86&lt;Bewertung_Stammdaten!B$95,Bewertung_Stammdaten!A$95,IF(BL86&lt;Bewertung_Stammdaten!B$96,Bewertung_Stammdaten!A$96,IF(BL86&lt;Bewertung_Stammdaten!B$97,Bewertung_Stammdaten!A$97,IF(BL86&lt;Bewertung_Stammdaten!B$98,Bewertung_Stammdaten!A$98,Bewertung_Stammdaten!A$99)))))))))</f>
        <v>#N/A</v>
      </c>
      <c r="BP86" s="41" t="e">
        <f>IF(BM86&lt;Bewertung_Stammdaten!F$90,Bewertung_Stammdaten!E$90,IF(BM86&lt;Bewertung_Stammdaten!F$91,Bewertung_Stammdaten!E$91,IF(BM86&lt;Bewertung_Stammdaten!F$92,Bewertung_Stammdaten!E$92,IF(BM86&lt;Bewertung_Stammdaten!F$93,Bewertung_Stammdaten!E$93,IF(BM86&lt;Bewertung_Stammdaten!F$94,Bewertung_Stammdaten!E$94,IF(BM86&lt;Bewertung_Stammdaten!F$95,Bewertung_Stammdaten!E$95,IF(BM86&lt;Bewertung_Stammdaten!F$96,Bewertung_Stammdaten!E$96,IF(BM86&lt;Bewertung_Stammdaten!F$97,Bewertung_Stammdaten!E$97,IF(BM86&lt;Bewertung_Stammdaten!F$98,Bewertung_Stammdaten!E$98,Bewertung_Stammdaten!E$99)))))))))</f>
        <v>#N/A</v>
      </c>
      <c r="BQ86" s="32" t="e">
        <f>IF(BN86&lt;Bewertung_Stammdaten!J$90,Bewertung_Stammdaten!I$90,IF(BN86&lt;Bewertung_Stammdaten!J$91,Bewertung_Stammdaten!I$91,IF(BN86&lt;Bewertung_Stammdaten!J$92,Bewertung_Stammdaten!I$92,IF(BN86&lt;Bewertung_Stammdaten!J$93,Bewertung_Stammdaten!I$93,IF(BN86&lt;Bewertung_Stammdaten!J$94,Bewertung_Stammdaten!I$94,IF(BN86&lt;Bewertung_Stammdaten!J$95,Bewertung_Stammdaten!I$95,IF(BN86&lt;Bewertung_Stammdaten!J$96,Bewertung_Stammdaten!I$96,IF(BN86&lt;Bewertung_Stammdaten!J$97,Bewertung_Stammdaten!I$97,IF(BN86&lt;Bewertung_Stammdaten!J$98,Bewertung_Stammdaten!I$98,Bewertung_Stammdaten!I$99)))))))))</f>
        <v>#N/A</v>
      </c>
    </row>
    <row r="87" spans="3:69" x14ac:dyDescent="0.25">
      <c r="C87" s="55" t="s">
        <v>297</v>
      </c>
      <c r="D87" s="32" t="e">
        <f t="shared" si="11"/>
        <v>#N/A</v>
      </c>
      <c r="E87" s="43"/>
      <c r="F87" s="66">
        <v>1</v>
      </c>
      <c r="G87" s="11" t="e">
        <f>VLOOKUP(A87,KGV!A$3:R$103,17,FALSE)</f>
        <v>#N/A</v>
      </c>
      <c r="H87" s="11" t="e">
        <f>VLOOKUP(A87,KGV!A$3:R$103,16,FALSE)</f>
        <v>#N/A</v>
      </c>
      <c r="I87" s="12" t="e">
        <f>VLOOKUP(A87,KGV!A$3:R$103,18,FALSE)</f>
        <v>#N/A</v>
      </c>
      <c r="J87" s="16" t="e">
        <f t="shared" si="12"/>
        <v>#N/A</v>
      </c>
      <c r="K87" s="12" t="e">
        <f t="shared" si="13"/>
        <v>#N/A</v>
      </c>
      <c r="L87" s="11" t="e">
        <f>VLOOKUP(A87,KBV!A$3:R$103,17,FALSE)</f>
        <v>#N/A</v>
      </c>
      <c r="M87" s="11" t="e">
        <f>VLOOKUP(A87,KBV!A$3:R$103,16,FALSE)</f>
        <v>#N/A</v>
      </c>
      <c r="N87" s="12" t="e">
        <f>VLOOKUP(A87,KBV!A$3:R$103,18,FALSE)</f>
        <v>#N/A</v>
      </c>
      <c r="O87" s="16" t="e">
        <f t="shared" si="20"/>
        <v>#N/A</v>
      </c>
      <c r="P87" s="12" t="e">
        <f t="shared" si="21"/>
        <v>#N/A</v>
      </c>
      <c r="Q87" s="32" t="e">
        <f>IF(F87=1,IF(I87&lt;Bewertung_Stammdaten!B$12,Bewertung_Stammdaten!A$12,IF(I87&lt;Bewertung_Stammdaten!B$13,Bewertung_Stammdaten!A$13,IF(I87&lt;Bewertung_Stammdaten!B$14,Bewertung_Stammdaten!A$14,IF(I87&lt;Bewertung_Stammdaten!B$15,Bewertung_Stammdaten!A$15,IF(I87&lt;Bewertung_Stammdaten!B$16,Bewertung_Stammdaten!A$16,IF(I87&lt;Bewertung_Stammdaten!B$17,Bewertung_Stammdaten!A$17,IF(I87&lt;Bewertung_Stammdaten!B$18,Bewertung_Stammdaten!A$18,IF(I87&lt;Bewertung_Stammdaten!B$19,Bewertung_Stammdaten!A$19,IF(I87&lt;Bewertung_Stammdaten!B$20,Bewertung_Stammdaten!A$20,Bewertung_Stammdaten!A$21))))))))),IF(N87&lt;Bewertung_Stammdaten!C$12,Bewertung_Stammdaten!A$12,IF(N87&lt;Bewertung_Stammdaten!C$13,Bewertung_Stammdaten!A$13,IF(N87&lt;Bewertung_Stammdaten!C$14,Bewertung_Stammdaten!A$14,IF(N87&lt;Bewertung_Stammdaten!C$15,Bewertung_Stammdaten!A$15,IF(N87&lt;Bewertung_Stammdaten!C$16,Bewertung_Stammdaten!A$16,IF(N87&lt;Bewertung_Stammdaten!C$17,Bewertung_Stammdaten!A$17,IF(N87&lt;Bewertung_Stammdaten!C$18,Bewertung_Stammdaten!A$18,IF(N87&lt;Bewertung_Stammdaten!C$19,Bewertung_Stammdaten!A$19,IF(N87&lt;Bewertung_Stammdaten!C$20,Bewertung_Stammdaten!A$20,Bewertung_Stammdaten!A$21))))))))))</f>
        <v>#N/A</v>
      </c>
      <c r="R87" s="32" t="e">
        <f>IF(F87=1,IF(K87&lt;Bewertung_Stammdaten!F$12,Bewertung_Stammdaten!E$12,IF(K87&lt;Bewertung_Stammdaten!F$13,Bewertung_Stammdaten!E$13,IF(K87&lt;Bewertung_Stammdaten!F$14,Bewertung_Stammdaten!E$14,IF(K87&lt;Bewertung_Stammdaten!F$15,Bewertung_Stammdaten!E$15,IF(K87&lt;Bewertung_Stammdaten!F$16,Bewertung_Stammdaten!E$16,IF(K87&lt;Bewertung_Stammdaten!F$17,Bewertung_Stammdaten!E$17,IF(K87&lt;Bewertung_Stammdaten!F$18,Bewertung_Stammdaten!E$18,IF(K87&lt;Bewertung_Stammdaten!F$19,Bewertung_Stammdaten!E$19,IF(K87&lt;Bewertung_Stammdaten!F$20,Bewertung_Stammdaten!E$20,Bewertung_Stammdaten!E$21))))))))),IF(P87&lt;Bewertung_Stammdaten!G$12,Bewertung_Stammdaten!E$12,IF(P87&lt;Bewertung_Stammdaten!G$13,Bewertung_Stammdaten!E$13,IF(P87&lt;Bewertung_Stammdaten!G$14,Bewertung_Stammdaten!E$14,IF(P87&lt;Bewertung_Stammdaten!G$15,Bewertung_Stammdaten!E$15,IF(P87&lt;Bewertung_Stammdaten!G$16,Bewertung_Stammdaten!E$16,IF(P87&lt;Bewertung_Stammdaten!G$17,Bewertung_Stammdaten!E$17,IF(P87&lt;Bewertung_Stammdaten!G$18,Bewertung_Stammdaten!E$18,IF(P87&lt;Bewertung_Stammdaten!G$19,Bewertung_Stammdaten!E$19,IF(P87&lt;Bewertung_Stammdaten!G$20,Bewertung_Stammdaten!E$20,Bewertung_Stammdaten!E$21))))))))))</f>
        <v>#N/A</v>
      </c>
      <c r="S87" s="43"/>
      <c r="T87" s="11" t="e">
        <f>VLOOKUP(A87,Buchwert_je_Aktie!A$3:AK$103,23,FALSE)</f>
        <v>#N/A</v>
      </c>
      <c r="U87" s="11" t="e">
        <f>VLOOKUP(A87,Buchwert_je_Aktie!A$3:AK$103,19,FALSE)</f>
        <v>#N/A</v>
      </c>
      <c r="V87" s="12" t="e">
        <f>VLOOKUP(A87,Buchwert_je_Aktie!A$3:AK$103,24,FALSE)</f>
        <v>#N/A</v>
      </c>
      <c r="W87" s="12" t="e">
        <f>VLOOKUP(A87,Buchwert_je_Aktie!A$3:AK$103,37,FALSE)</f>
        <v>#N/A</v>
      </c>
      <c r="X87" s="16" t="e">
        <f t="shared" si="14"/>
        <v>#N/A</v>
      </c>
      <c r="Y87" s="12" t="e">
        <f t="shared" si="15"/>
        <v>#N/A</v>
      </c>
      <c r="Z87" s="51" t="e">
        <f>IF(V87&lt;Bewertung_Stammdaten!B$25,Bewertung_Stammdaten!A$25,IF(V87&lt;Bewertung_Stammdaten!B$26,Bewertung_Stammdaten!A$26,IF(V87&lt;Bewertung_Stammdaten!B$27,Bewertung_Stammdaten!A$27,IF(V87&lt;Bewertung_Stammdaten!B$28,Bewertung_Stammdaten!A$28,IF(V87&lt;Bewertung_Stammdaten!B$29,Bewertung_Stammdaten!A$29,IF(V87&lt;Bewertung_Stammdaten!B$30,Bewertung_Stammdaten!A$30,IF(V87&lt;Bewertung_Stammdaten!B$31,Bewertung_Stammdaten!A$31,IF(V87&lt;Bewertung_Stammdaten!B$32,Bewertung_Stammdaten!A$32,IF(V87&lt;Bewertung_Stammdaten!B$33,Bewertung_Stammdaten!A$33,Bewertung_Stammdaten!A$34)))))))))</f>
        <v>#N/A</v>
      </c>
      <c r="AA87" s="51" t="e">
        <f>IF(W87&lt;Bewertung_Stammdaten!F$25,Bewertung_Stammdaten!E$25,IF(W87&lt;Bewertung_Stammdaten!F$26,Bewertung_Stammdaten!E$26,IF(W87&lt;Bewertung_Stammdaten!F$27,Bewertung_Stammdaten!E$27,IF(W87&lt;Bewertung_Stammdaten!F$28,Bewertung_Stammdaten!E$28,IF(W87&lt;Bewertung_Stammdaten!F$29,Bewertung_Stammdaten!E$29,IF(W87&lt;Bewertung_Stammdaten!F$30,Bewertung_Stammdaten!E$30,IF(W87&lt;Bewertung_Stammdaten!F$31,Bewertung_Stammdaten!E$31,IF(W87&lt;Bewertung_Stammdaten!F$32,Bewertung_Stammdaten!E$32,IF(W87&lt;Bewertung_Stammdaten!F$33,Bewertung_Stammdaten!E$33,Bewertung_Stammdaten!E$34)))))))))</f>
        <v>#N/A</v>
      </c>
      <c r="AB87" s="51" t="e">
        <f>IF(Y87&lt;Bewertung_Stammdaten!J$25,Bewertung_Stammdaten!I$25,IF(Y87&lt;Bewertung_Stammdaten!J$26,Bewertung_Stammdaten!I$26,IF(Y87&lt;Bewertung_Stammdaten!J$27,Bewertung_Stammdaten!I$27,IF(Y87&lt;Bewertung_Stammdaten!J$28,Bewertung_Stammdaten!I$28,IF(Y87&lt;Bewertung_Stammdaten!J$29,Bewertung_Stammdaten!I$29,IF(Y87&lt;Bewertung_Stammdaten!J$30,Bewertung_Stammdaten!I$30,IF(Y87&lt;Bewertung_Stammdaten!J$31,Bewertung_Stammdaten!I$31,IF(Y87&lt;Bewertung_Stammdaten!J$32,Bewertung_Stammdaten!I$32,IF(Y87&lt;Bewertung_Stammdaten!J$33,Bewertung_Stammdaten!I$33,Bewertung_Stammdaten!I$34)))))))))</f>
        <v>#N/A</v>
      </c>
      <c r="AC87" s="43"/>
      <c r="AD87" s="14" t="e">
        <f>VLOOKUP(A87,Ergebnis_je_Aktie_verwässert!A$3:AK$103,23,FALSE)</f>
        <v>#N/A</v>
      </c>
      <c r="AE87" s="14" t="e">
        <f>VLOOKUP(A87,Ergebnis_je_Aktie_verwässert!A$3:AK$103,19,FALSE)</f>
        <v>#N/A</v>
      </c>
      <c r="AF87" s="12" t="e">
        <f>VLOOKUP(A87,Ergebnis_je_Aktie_verwässert!A$3:AK$103,24,FALSE)</f>
        <v>#N/A</v>
      </c>
      <c r="AG87" s="40" t="e">
        <f>VLOOKUP(A87,Ergebnis_je_Aktie_verwässert!A$3:AK$103,37,FALSE)</f>
        <v>#N/A</v>
      </c>
      <c r="AH87" s="16" t="e">
        <f t="shared" si="16"/>
        <v>#N/A</v>
      </c>
      <c r="AI87" s="12" t="e">
        <f t="shared" si="17"/>
        <v>#N/A</v>
      </c>
      <c r="AJ87" s="32" t="e">
        <f>IF(AF87&lt;Bewertung_Stammdaten!B$38,Bewertung_Stammdaten!A$38,IF(AF87&lt;Bewertung_Stammdaten!B$39,Bewertung_Stammdaten!A$39,IF(AF87&lt;Bewertung_Stammdaten!B$40,Bewertung_Stammdaten!A$40,IF(AF87&lt;Bewertung_Stammdaten!B$41,Bewertung_Stammdaten!A$41,IF(AF87&lt;Bewertung_Stammdaten!B$42,Bewertung_Stammdaten!A$42,IF(AF87&lt;Bewertung_Stammdaten!B$43,Bewertung_Stammdaten!A$43,IF(AF87&lt;Bewertung_Stammdaten!B$44,Bewertung_Stammdaten!A$44,IF(AF87&lt;Bewertung_Stammdaten!B$45,Bewertung_Stammdaten!A$45,IF(AF87&lt;Bewertung_Stammdaten!B$46,Bewertung_Stammdaten!A$46,Bewertung_Stammdaten!A$47)))))))))</f>
        <v>#N/A</v>
      </c>
      <c r="AK87" s="32" t="e">
        <f>IF(AG87&lt;Bewertung_Stammdaten!F$38,Bewertung_Stammdaten!E$38,IF(AG87&lt;Bewertung_Stammdaten!F$39,Bewertung_Stammdaten!E$39,IF(AG87&lt;Bewertung_Stammdaten!F$40,Bewertung_Stammdaten!E$40,IF(AG87&lt;Bewertung_Stammdaten!F$41,Bewertung_Stammdaten!E$41,IF(AG87&lt;Bewertung_Stammdaten!F$42,Bewertung_Stammdaten!E$42,IF(AG87&lt;Bewertung_Stammdaten!F$43,Bewertung_Stammdaten!E$43,IF(AG87&lt;Bewertung_Stammdaten!F$44,Bewertung_Stammdaten!E$44,IF(AG87&lt;Bewertung_Stammdaten!F$45,Bewertung_Stammdaten!E$45,IF(AG87&lt;Bewertung_Stammdaten!F$46,Bewertung_Stammdaten!E$46,Bewertung_Stammdaten!E$47)))))))))</f>
        <v>#N/A</v>
      </c>
      <c r="AL87" s="32" t="e">
        <f>IF(AI87&lt;Bewertung_Stammdaten!J$38,Bewertung_Stammdaten!I$38,IF(AI87&lt;Bewertung_Stammdaten!J$39,Bewertung_Stammdaten!I$39,IF(AI87&lt;Bewertung_Stammdaten!J$40,Bewertung_Stammdaten!I$40,IF(AI87&lt;Bewertung_Stammdaten!J$41,Bewertung_Stammdaten!I$41,IF(AI87&lt;Bewertung_Stammdaten!J$42,Bewertung_Stammdaten!I$42,IF(AI87&lt;Bewertung_Stammdaten!J$43,Bewertung_Stammdaten!I$43,IF(AI87&lt;Bewertung_Stammdaten!J$44,Bewertung_Stammdaten!I$44,IF(AI87&lt;Bewertung_Stammdaten!J$45,Bewertung_Stammdaten!I$45,IF(AI87&lt;Bewertung_Stammdaten!J$46,Bewertung_Stammdaten!I$46,Bewertung_Stammdaten!I$47)))))))))</f>
        <v>#N/A</v>
      </c>
      <c r="AM87" s="43"/>
      <c r="AN87" s="14" t="e">
        <f>VLOOKUP(A87,Dividende_je_Aktie!A$3:AM$103,24,FALSE)</f>
        <v>#N/A</v>
      </c>
      <c r="AO87" s="14" t="e">
        <f>VLOOKUP(A87,Dividende_je_Aktie!A$3:AM$103,20,FALSE)</f>
        <v>#N/A</v>
      </c>
      <c r="AP87" s="12" t="e">
        <f>VLOOKUP(A87,Dividende_je_Aktie!A$3:AM$103,25,FALSE)</f>
        <v>#N/A</v>
      </c>
      <c r="AQ87" s="40" t="e">
        <f>VLOOKUP(A87,Dividende_je_Aktie!A$3:AM$103,39,FALSE)</f>
        <v>#N/A</v>
      </c>
      <c r="AR87" s="16" t="e">
        <f t="shared" si="18"/>
        <v>#N/A</v>
      </c>
      <c r="AS87" s="12" t="e">
        <f t="shared" si="19"/>
        <v>#N/A</v>
      </c>
      <c r="AT87" s="32" t="e">
        <f>IF(AP87&lt;Bewertung_Stammdaten!B$51,Bewertung_Stammdaten!A$51,IF(AP87&lt;Bewertung_Stammdaten!B$52,Bewertung_Stammdaten!A$52,IF(AP87&lt;Bewertung_Stammdaten!B$53,Bewertung_Stammdaten!A$53,IF(AP87&lt;Bewertung_Stammdaten!B$54,Bewertung_Stammdaten!A$54,IF(AP87&lt;Bewertung_Stammdaten!B$55,Bewertung_Stammdaten!A$55,IF(AP87&lt;Bewertung_Stammdaten!B$56,Bewertung_Stammdaten!A$56,IF(AP87&lt;Bewertung_Stammdaten!B$57,Bewertung_Stammdaten!A$57,IF(AP87&lt;Bewertung_Stammdaten!B$58,Bewertung_Stammdaten!A$58,IF(AP87&lt;Bewertung_Stammdaten!B$59,Bewertung_Stammdaten!A$59,Bewertung_Stammdaten!A$60)))))))))</f>
        <v>#N/A</v>
      </c>
      <c r="AU87" s="32" t="e">
        <f>IF(AQ87&lt;Bewertung_Stammdaten!F$51,Bewertung_Stammdaten!E$51,IF(AQ87&lt;Bewertung_Stammdaten!F$52,Bewertung_Stammdaten!E$52,IF(AQ87&lt;Bewertung_Stammdaten!F$53,Bewertung_Stammdaten!E$53,IF(AQ87&lt;Bewertung_Stammdaten!F$54,Bewertung_Stammdaten!E$54,IF(AQ87&lt;Bewertung_Stammdaten!F$55,Bewertung_Stammdaten!E$55,IF(AQ87&lt;Bewertung_Stammdaten!F$56,Bewertung_Stammdaten!E$56,IF(AQ87&lt;Bewertung_Stammdaten!F$57,Bewertung_Stammdaten!E$57,IF(AQ87&lt;Bewertung_Stammdaten!F$58,Bewertung_Stammdaten!E$58,IF(AQ87&lt;Bewertung_Stammdaten!F$59,Bewertung_Stammdaten!E$59,Bewertung_Stammdaten!E$60)))))))))</f>
        <v>#N/A</v>
      </c>
      <c r="AV87" s="32" t="e">
        <f>IF(AS87&lt;Bewertung_Stammdaten!J$51,Bewertung_Stammdaten!I$51,IF(AS87&lt;Bewertung_Stammdaten!J$52,Bewertung_Stammdaten!I$52,IF(AS87&lt;Bewertung_Stammdaten!J$53,Bewertung_Stammdaten!I$53,IF(AS87&lt;Bewertung_Stammdaten!J$54,Bewertung_Stammdaten!I$54,IF(AS87&lt;Bewertung_Stammdaten!J$55,Bewertung_Stammdaten!I$55,IF(AS87&lt;Bewertung_Stammdaten!J$56,Bewertung_Stammdaten!I$56,IF(AS87&lt;Bewertung_Stammdaten!J$57,Bewertung_Stammdaten!I$57,IF(AS87&lt;Bewertung_Stammdaten!J$58,Bewertung_Stammdaten!I$58,IF(AS87&lt;Bewertung_Stammdaten!J$59,Bewertung_Stammdaten!I$59,Bewertung_Stammdaten!I$60)))))))))</f>
        <v>#N/A</v>
      </c>
      <c r="AW87" s="43"/>
      <c r="AX87" s="12" t="e">
        <f>VLOOKUP(A87,Dividendenrendite!A$3:R$103,17,FALSE)</f>
        <v>#N/A</v>
      </c>
      <c r="AY87" s="12" t="e">
        <f>VLOOKUP(A87,Dividendenrendite!A$3:R$103,16,FALSE)</f>
        <v>#N/A</v>
      </c>
      <c r="AZ87" s="12" t="e">
        <f>VLOOKUP(A87,Dividendenrendite!A$3:R$103,18,FALSE)</f>
        <v>#N/A</v>
      </c>
      <c r="BA87" s="32" t="e">
        <f>IF(AX87&lt;Bewertung_Stammdaten!B$64,Bewertung_Stammdaten!A$64,IF(AX87&lt;Bewertung_Stammdaten!B$65,Bewertung_Stammdaten!A$65,IF(AX87&lt;Bewertung_Stammdaten!B$66,Bewertung_Stammdaten!A$66,IF(AX87&lt;Bewertung_Stammdaten!B$67,Bewertung_Stammdaten!A$67,IF(AX87&lt;Bewertung_Stammdaten!B$68,Bewertung_Stammdaten!A$68,IF(AX87&lt;Bewertung_Stammdaten!B$69,Bewertung_Stammdaten!A$69,IF(AX87&lt;Bewertung_Stammdaten!B$70,Bewertung_Stammdaten!A$70,IF(AX87&lt;Bewertung_Stammdaten!B$71,Bewertung_Stammdaten!A$71,IF(AX87&lt;Bewertung_Stammdaten!B$72,Bewertung_Stammdaten!A$72,Bewertung_Stammdaten!A$73)))))))))</f>
        <v>#N/A</v>
      </c>
      <c r="BB87" s="32" t="e">
        <f>IF(AY87&lt;Bewertung_Stammdaten!F$64,Bewertung_Stammdaten!E$64,IF(AY87&lt;Bewertung_Stammdaten!F$65,Bewertung_Stammdaten!E$65,IF(AY87&lt;Bewertung_Stammdaten!F$66,Bewertung_Stammdaten!E$66,IF(AY87&lt;Bewertung_Stammdaten!F$67,Bewertung_Stammdaten!E$67,IF(AY87&lt;Bewertung_Stammdaten!F$68,Bewertung_Stammdaten!E$68,IF(AY87&lt;Bewertung_Stammdaten!F$69,Bewertung_Stammdaten!E$69,IF(AY87&lt;Bewertung_Stammdaten!F$70,Bewertung_Stammdaten!E$70,IF(AY87&lt;Bewertung_Stammdaten!F$71,Bewertung_Stammdaten!E$71,IF(AY87&lt;Bewertung_Stammdaten!F$72,Bewertung_Stammdaten!E$72,Bewertung_Stammdaten!E$73)))))))))</f>
        <v>#N/A</v>
      </c>
      <c r="BC87" s="32" t="e">
        <f>IF(AZ87&lt;Bewertung_Stammdaten!J$64,Bewertung_Stammdaten!I$64,IF(AZ87&lt;Bewertung_Stammdaten!J$65,Bewertung_Stammdaten!I$65,IF(AZ87&lt;Bewertung_Stammdaten!J$66,Bewertung_Stammdaten!I$66,IF(AZ87&lt;Bewertung_Stammdaten!J$67,Bewertung_Stammdaten!I$67,IF(AZ87&lt;Bewertung_Stammdaten!J$68,Bewertung_Stammdaten!I$68,IF(AZ87&lt;Bewertung_Stammdaten!J$69,Bewertung_Stammdaten!I$69,IF(AZ87&lt;Bewertung_Stammdaten!J$70,Bewertung_Stammdaten!I$70,IF(AZ87&lt;Bewertung_Stammdaten!J$71,Bewertung_Stammdaten!I$71,IF(AZ87&lt;Bewertung_Stammdaten!J$72,Bewertung_Stammdaten!I$72,Bewertung_Stammdaten!I$73)))))))))</f>
        <v>#N/A</v>
      </c>
      <c r="BD87" s="43"/>
      <c r="BE87" s="12" t="e">
        <f>VLOOKUP(A87,Aktien_im_Umlauf_splitbereinigt!A$3:Z$103,26,FALSE)</f>
        <v>#N/A</v>
      </c>
      <c r="BF87" s="12" t="e">
        <f>VLOOKUP(A87,Aktien_im_Umlauf_splitbereinigt!A$3:Y$103,24,FALSE)</f>
        <v>#N/A</v>
      </c>
      <c r="BG87" s="12" t="e">
        <f>VLOOKUP(A87,Aktien_im_Umlauf_splitbereinigt!A$3:Y$103,25,FALSE)</f>
        <v>#N/A</v>
      </c>
      <c r="BH87" s="41" t="e">
        <f>IF(BE87&lt;Bewertung_Stammdaten!B$77,Bewertung_Stammdaten!A$77,IF(BE87&lt;Bewertung_Stammdaten!B$78,Bewertung_Stammdaten!A$78,IF(BE87&lt;Bewertung_Stammdaten!B$79,Bewertung_Stammdaten!A$79,IF(BE87&lt;Bewertung_Stammdaten!B$80,Bewertung_Stammdaten!A$80,IF(BE87&lt;Bewertung_Stammdaten!B$81,Bewertung_Stammdaten!A$81,IF(BE87&lt;Bewertung_Stammdaten!B$82,Bewertung_Stammdaten!A$82,IF(BE87&lt;Bewertung_Stammdaten!B$83,Bewertung_Stammdaten!A$83,IF(BE87&lt;Bewertung_Stammdaten!B$84,Bewertung_Stammdaten!A$84,IF(BE87&lt;Bewertung_Stammdaten!B$85,Bewertung_Stammdaten!A$85,Bewertung_Stammdaten!A$86)))))))))</f>
        <v>#N/A</v>
      </c>
      <c r="BI87" s="41" t="e">
        <f>IF(BF87&lt;Bewertung_Stammdaten!F$77,Bewertung_Stammdaten!E$77,IF(BF87&lt;Bewertung_Stammdaten!F$78,Bewertung_Stammdaten!E$78,IF(BF87&lt;Bewertung_Stammdaten!F$79,Bewertung_Stammdaten!E$79,IF(BF87&lt;Bewertung_Stammdaten!F$80,Bewertung_Stammdaten!E$80,IF(BF87&lt;Bewertung_Stammdaten!F$81,Bewertung_Stammdaten!E$81,IF(BF87&lt;Bewertung_Stammdaten!F$82,Bewertung_Stammdaten!E$82,IF(BF87&lt;Bewertung_Stammdaten!F$83,Bewertung_Stammdaten!E$83,IF(BF87&lt;Bewertung_Stammdaten!F$84,Bewertung_Stammdaten!E$84,IF(BF87&lt;Bewertung_Stammdaten!F$85,Bewertung_Stammdaten!E$85,Bewertung_Stammdaten!E$86)))))))))</f>
        <v>#N/A</v>
      </c>
      <c r="BJ87" s="41" t="e">
        <f>IF(BG87&lt;Bewertung_Stammdaten!J$77,Bewertung_Stammdaten!I$77,IF(BG87&lt;Bewertung_Stammdaten!J$78,Bewertung_Stammdaten!I$78,IF(BG87&lt;Bewertung_Stammdaten!J$79,Bewertung_Stammdaten!I$79,IF(BG87&lt;Bewertung_Stammdaten!J$80,Bewertung_Stammdaten!I$80,IF(BG87&lt;Bewertung_Stammdaten!J$81,Bewertung_Stammdaten!I$81,IF(BG87&lt;Bewertung_Stammdaten!J$82,Bewertung_Stammdaten!I$82,IF(BG87&lt;Bewertung_Stammdaten!J$83,Bewertung_Stammdaten!I$83,IF(BG87&lt;Bewertung_Stammdaten!J$84,Bewertung_Stammdaten!I$84,IF(BG87&lt;Bewertung_Stammdaten!J$85,Bewertung_Stammdaten!I$85,Bewertung_Stammdaten!I$86)))))))))</f>
        <v>#N/A</v>
      </c>
      <c r="BK87" s="43"/>
      <c r="BL87" s="12" t="e">
        <f>VLOOKUP(A87,Ausschüttungsquote!A$3:X$103,23,FALSE)</f>
        <v>#N/A</v>
      </c>
      <c r="BM87" s="12" t="e">
        <f>VLOOKUP(A87,Ausschüttungsquote!A$3:X$103,19,FALSE)</f>
        <v>#N/A</v>
      </c>
      <c r="BN87" s="12" t="e">
        <f>VLOOKUP(A87,Ausschüttungsquote!A$3:X$103,24,FALSE)</f>
        <v>#N/A</v>
      </c>
      <c r="BO87" s="32" t="e">
        <f>IF(BL87&lt;Bewertung_Stammdaten!B$90,Bewertung_Stammdaten!A$90,IF(BL87&lt;Bewertung_Stammdaten!B$91,Bewertung_Stammdaten!A$91,IF(BL87&lt;Bewertung_Stammdaten!B$92,Bewertung_Stammdaten!A$92,IF(BL87&lt;Bewertung_Stammdaten!B$93,Bewertung_Stammdaten!A$93,IF(BL87&lt;Bewertung_Stammdaten!B$94,Bewertung_Stammdaten!A$94,IF(BL87&lt;Bewertung_Stammdaten!B$95,Bewertung_Stammdaten!A$95,IF(BL87&lt;Bewertung_Stammdaten!B$96,Bewertung_Stammdaten!A$96,IF(BL87&lt;Bewertung_Stammdaten!B$97,Bewertung_Stammdaten!A$97,IF(BL87&lt;Bewertung_Stammdaten!B$98,Bewertung_Stammdaten!A$98,Bewertung_Stammdaten!A$99)))))))))</f>
        <v>#N/A</v>
      </c>
      <c r="BP87" s="41" t="e">
        <f>IF(BM87&lt;Bewertung_Stammdaten!F$90,Bewertung_Stammdaten!E$90,IF(BM87&lt;Bewertung_Stammdaten!F$91,Bewertung_Stammdaten!E$91,IF(BM87&lt;Bewertung_Stammdaten!F$92,Bewertung_Stammdaten!E$92,IF(BM87&lt;Bewertung_Stammdaten!F$93,Bewertung_Stammdaten!E$93,IF(BM87&lt;Bewertung_Stammdaten!F$94,Bewertung_Stammdaten!E$94,IF(BM87&lt;Bewertung_Stammdaten!F$95,Bewertung_Stammdaten!E$95,IF(BM87&lt;Bewertung_Stammdaten!F$96,Bewertung_Stammdaten!E$96,IF(BM87&lt;Bewertung_Stammdaten!F$97,Bewertung_Stammdaten!E$97,IF(BM87&lt;Bewertung_Stammdaten!F$98,Bewertung_Stammdaten!E$98,Bewertung_Stammdaten!E$99)))))))))</f>
        <v>#N/A</v>
      </c>
      <c r="BQ87" s="32" t="e">
        <f>IF(BN87&lt;Bewertung_Stammdaten!J$90,Bewertung_Stammdaten!I$90,IF(BN87&lt;Bewertung_Stammdaten!J$91,Bewertung_Stammdaten!I$91,IF(BN87&lt;Bewertung_Stammdaten!J$92,Bewertung_Stammdaten!I$92,IF(BN87&lt;Bewertung_Stammdaten!J$93,Bewertung_Stammdaten!I$93,IF(BN87&lt;Bewertung_Stammdaten!J$94,Bewertung_Stammdaten!I$94,IF(BN87&lt;Bewertung_Stammdaten!J$95,Bewertung_Stammdaten!I$95,IF(BN87&lt;Bewertung_Stammdaten!J$96,Bewertung_Stammdaten!I$96,IF(BN87&lt;Bewertung_Stammdaten!J$97,Bewertung_Stammdaten!I$97,IF(BN87&lt;Bewertung_Stammdaten!J$98,Bewertung_Stammdaten!I$98,Bewertung_Stammdaten!I$99)))))))))</f>
        <v>#N/A</v>
      </c>
    </row>
    <row r="88" spans="3:69" x14ac:dyDescent="0.25">
      <c r="C88" s="55" t="s">
        <v>297</v>
      </c>
      <c r="D88" s="32" t="e">
        <f t="shared" si="11"/>
        <v>#N/A</v>
      </c>
      <c r="E88" s="43"/>
      <c r="F88" s="66">
        <v>1</v>
      </c>
      <c r="G88" s="11" t="e">
        <f>VLOOKUP(A88,KGV!A$3:R$103,17,FALSE)</f>
        <v>#N/A</v>
      </c>
      <c r="H88" s="11" t="e">
        <f>VLOOKUP(A88,KGV!A$3:R$103,16,FALSE)</f>
        <v>#N/A</v>
      </c>
      <c r="I88" s="12" t="e">
        <f>VLOOKUP(A88,KGV!A$3:R$103,18,FALSE)</f>
        <v>#N/A</v>
      </c>
      <c r="J88" s="16" t="e">
        <f t="shared" si="12"/>
        <v>#N/A</v>
      </c>
      <c r="K88" s="12" t="e">
        <f t="shared" si="13"/>
        <v>#N/A</v>
      </c>
      <c r="L88" s="11" t="e">
        <f>VLOOKUP(A88,KBV!A$3:R$103,17,FALSE)</f>
        <v>#N/A</v>
      </c>
      <c r="M88" s="11" t="e">
        <f>VLOOKUP(A88,KBV!A$3:R$103,16,FALSE)</f>
        <v>#N/A</v>
      </c>
      <c r="N88" s="12" t="e">
        <f>VLOOKUP(A88,KBV!A$3:R$103,18,FALSE)</f>
        <v>#N/A</v>
      </c>
      <c r="O88" s="16" t="e">
        <f t="shared" si="20"/>
        <v>#N/A</v>
      </c>
      <c r="P88" s="12" t="e">
        <f t="shared" si="21"/>
        <v>#N/A</v>
      </c>
      <c r="Q88" s="32" t="e">
        <f>IF(F88=1,IF(I88&lt;Bewertung_Stammdaten!B$12,Bewertung_Stammdaten!A$12,IF(I88&lt;Bewertung_Stammdaten!B$13,Bewertung_Stammdaten!A$13,IF(I88&lt;Bewertung_Stammdaten!B$14,Bewertung_Stammdaten!A$14,IF(I88&lt;Bewertung_Stammdaten!B$15,Bewertung_Stammdaten!A$15,IF(I88&lt;Bewertung_Stammdaten!B$16,Bewertung_Stammdaten!A$16,IF(I88&lt;Bewertung_Stammdaten!B$17,Bewertung_Stammdaten!A$17,IF(I88&lt;Bewertung_Stammdaten!B$18,Bewertung_Stammdaten!A$18,IF(I88&lt;Bewertung_Stammdaten!B$19,Bewertung_Stammdaten!A$19,IF(I88&lt;Bewertung_Stammdaten!B$20,Bewertung_Stammdaten!A$20,Bewertung_Stammdaten!A$21))))))))),IF(N88&lt;Bewertung_Stammdaten!C$12,Bewertung_Stammdaten!A$12,IF(N88&lt;Bewertung_Stammdaten!C$13,Bewertung_Stammdaten!A$13,IF(N88&lt;Bewertung_Stammdaten!C$14,Bewertung_Stammdaten!A$14,IF(N88&lt;Bewertung_Stammdaten!C$15,Bewertung_Stammdaten!A$15,IF(N88&lt;Bewertung_Stammdaten!C$16,Bewertung_Stammdaten!A$16,IF(N88&lt;Bewertung_Stammdaten!C$17,Bewertung_Stammdaten!A$17,IF(N88&lt;Bewertung_Stammdaten!C$18,Bewertung_Stammdaten!A$18,IF(N88&lt;Bewertung_Stammdaten!C$19,Bewertung_Stammdaten!A$19,IF(N88&lt;Bewertung_Stammdaten!C$20,Bewertung_Stammdaten!A$20,Bewertung_Stammdaten!A$21))))))))))</f>
        <v>#N/A</v>
      </c>
      <c r="R88" s="32" t="e">
        <f>IF(F88=1,IF(K88&lt;Bewertung_Stammdaten!F$12,Bewertung_Stammdaten!E$12,IF(K88&lt;Bewertung_Stammdaten!F$13,Bewertung_Stammdaten!E$13,IF(K88&lt;Bewertung_Stammdaten!F$14,Bewertung_Stammdaten!E$14,IF(K88&lt;Bewertung_Stammdaten!F$15,Bewertung_Stammdaten!E$15,IF(K88&lt;Bewertung_Stammdaten!F$16,Bewertung_Stammdaten!E$16,IF(K88&lt;Bewertung_Stammdaten!F$17,Bewertung_Stammdaten!E$17,IF(K88&lt;Bewertung_Stammdaten!F$18,Bewertung_Stammdaten!E$18,IF(K88&lt;Bewertung_Stammdaten!F$19,Bewertung_Stammdaten!E$19,IF(K88&lt;Bewertung_Stammdaten!F$20,Bewertung_Stammdaten!E$20,Bewertung_Stammdaten!E$21))))))))),IF(P88&lt;Bewertung_Stammdaten!G$12,Bewertung_Stammdaten!E$12,IF(P88&lt;Bewertung_Stammdaten!G$13,Bewertung_Stammdaten!E$13,IF(P88&lt;Bewertung_Stammdaten!G$14,Bewertung_Stammdaten!E$14,IF(P88&lt;Bewertung_Stammdaten!G$15,Bewertung_Stammdaten!E$15,IF(P88&lt;Bewertung_Stammdaten!G$16,Bewertung_Stammdaten!E$16,IF(P88&lt;Bewertung_Stammdaten!G$17,Bewertung_Stammdaten!E$17,IF(P88&lt;Bewertung_Stammdaten!G$18,Bewertung_Stammdaten!E$18,IF(P88&lt;Bewertung_Stammdaten!G$19,Bewertung_Stammdaten!E$19,IF(P88&lt;Bewertung_Stammdaten!G$20,Bewertung_Stammdaten!E$20,Bewertung_Stammdaten!E$21))))))))))</f>
        <v>#N/A</v>
      </c>
      <c r="S88" s="43"/>
      <c r="T88" s="11" t="e">
        <f>VLOOKUP(A88,Buchwert_je_Aktie!A$3:AK$103,23,FALSE)</f>
        <v>#N/A</v>
      </c>
      <c r="U88" s="11" t="e">
        <f>VLOOKUP(A88,Buchwert_je_Aktie!A$3:AK$103,19,FALSE)</f>
        <v>#N/A</v>
      </c>
      <c r="V88" s="12" t="e">
        <f>VLOOKUP(A88,Buchwert_je_Aktie!A$3:AK$103,24,FALSE)</f>
        <v>#N/A</v>
      </c>
      <c r="W88" s="12" t="e">
        <f>VLOOKUP(A88,Buchwert_je_Aktie!A$3:AK$103,37,FALSE)</f>
        <v>#N/A</v>
      </c>
      <c r="X88" s="16" t="e">
        <f t="shared" si="14"/>
        <v>#N/A</v>
      </c>
      <c r="Y88" s="12" t="e">
        <f t="shared" si="15"/>
        <v>#N/A</v>
      </c>
      <c r="Z88" s="51" t="e">
        <f>IF(V88&lt;Bewertung_Stammdaten!B$25,Bewertung_Stammdaten!A$25,IF(V88&lt;Bewertung_Stammdaten!B$26,Bewertung_Stammdaten!A$26,IF(V88&lt;Bewertung_Stammdaten!B$27,Bewertung_Stammdaten!A$27,IF(V88&lt;Bewertung_Stammdaten!B$28,Bewertung_Stammdaten!A$28,IF(V88&lt;Bewertung_Stammdaten!B$29,Bewertung_Stammdaten!A$29,IF(V88&lt;Bewertung_Stammdaten!B$30,Bewertung_Stammdaten!A$30,IF(V88&lt;Bewertung_Stammdaten!B$31,Bewertung_Stammdaten!A$31,IF(V88&lt;Bewertung_Stammdaten!B$32,Bewertung_Stammdaten!A$32,IF(V88&lt;Bewertung_Stammdaten!B$33,Bewertung_Stammdaten!A$33,Bewertung_Stammdaten!A$34)))))))))</f>
        <v>#N/A</v>
      </c>
      <c r="AA88" s="51" t="e">
        <f>IF(W88&lt;Bewertung_Stammdaten!F$25,Bewertung_Stammdaten!E$25,IF(W88&lt;Bewertung_Stammdaten!F$26,Bewertung_Stammdaten!E$26,IF(W88&lt;Bewertung_Stammdaten!F$27,Bewertung_Stammdaten!E$27,IF(W88&lt;Bewertung_Stammdaten!F$28,Bewertung_Stammdaten!E$28,IF(W88&lt;Bewertung_Stammdaten!F$29,Bewertung_Stammdaten!E$29,IF(W88&lt;Bewertung_Stammdaten!F$30,Bewertung_Stammdaten!E$30,IF(W88&lt;Bewertung_Stammdaten!F$31,Bewertung_Stammdaten!E$31,IF(W88&lt;Bewertung_Stammdaten!F$32,Bewertung_Stammdaten!E$32,IF(W88&lt;Bewertung_Stammdaten!F$33,Bewertung_Stammdaten!E$33,Bewertung_Stammdaten!E$34)))))))))</f>
        <v>#N/A</v>
      </c>
      <c r="AB88" s="51" t="e">
        <f>IF(Y88&lt;Bewertung_Stammdaten!J$25,Bewertung_Stammdaten!I$25,IF(Y88&lt;Bewertung_Stammdaten!J$26,Bewertung_Stammdaten!I$26,IF(Y88&lt;Bewertung_Stammdaten!J$27,Bewertung_Stammdaten!I$27,IF(Y88&lt;Bewertung_Stammdaten!J$28,Bewertung_Stammdaten!I$28,IF(Y88&lt;Bewertung_Stammdaten!J$29,Bewertung_Stammdaten!I$29,IF(Y88&lt;Bewertung_Stammdaten!J$30,Bewertung_Stammdaten!I$30,IF(Y88&lt;Bewertung_Stammdaten!J$31,Bewertung_Stammdaten!I$31,IF(Y88&lt;Bewertung_Stammdaten!J$32,Bewertung_Stammdaten!I$32,IF(Y88&lt;Bewertung_Stammdaten!J$33,Bewertung_Stammdaten!I$33,Bewertung_Stammdaten!I$34)))))))))</f>
        <v>#N/A</v>
      </c>
      <c r="AC88" s="43"/>
      <c r="AD88" s="14" t="e">
        <f>VLOOKUP(A88,Ergebnis_je_Aktie_verwässert!A$3:AK$103,23,FALSE)</f>
        <v>#N/A</v>
      </c>
      <c r="AE88" s="14" t="e">
        <f>VLOOKUP(A88,Ergebnis_je_Aktie_verwässert!A$3:AK$103,19,FALSE)</f>
        <v>#N/A</v>
      </c>
      <c r="AF88" s="12" t="e">
        <f>VLOOKUP(A88,Ergebnis_je_Aktie_verwässert!A$3:AK$103,24,FALSE)</f>
        <v>#N/A</v>
      </c>
      <c r="AG88" s="40" t="e">
        <f>VLOOKUP(A88,Ergebnis_je_Aktie_verwässert!A$3:AK$103,37,FALSE)</f>
        <v>#N/A</v>
      </c>
      <c r="AH88" s="16" t="e">
        <f t="shared" si="16"/>
        <v>#N/A</v>
      </c>
      <c r="AI88" s="12" t="e">
        <f t="shared" si="17"/>
        <v>#N/A</v>
      </c>
      <c r="AJ88" s="32" t="e">
        <f>IF(AF88&lt;Bewertung_Stammdaten!B$38,Bewertung_Stammdaten!A$38,IF(AF88&lt;Bewertung_Stammdaten!B$39,Bewertung_Stammdaten!A$39,IF(AF88&lt;Bewertung_Stammdaten!B$40,Bewertung_Stammdaten!A$40,IF(AF88&lt;Bewertung_Stammdaten!B$41,Bewertung_Stammdaten!A$41,IF(AF88&lt;Bewertung_Stammdaten!B$42,Bewertung_Stammdaten!A$42,IF(AF88&lt;Bewertung_Stammdaten!B$43,Bewertung_Stammdaten!A$43,IF(AF88&lt;Bewertung_Stammdaten!B$44,Bewertung_Stammdaten!A$44,IF(AF88&lt;Bewertung_Stammdaten!B$45,Bewertung_Stammdaten!A$45,IF(AF88&lt;Bewertung_Stammdaten!B$46,Bewertung_Stammdaten!A$46,Bewertung_Stammdaten!A$47)))))))))</f>
        <v>#N/A</v>
      </c>
      <c r="AK88" s="32" t="e">
        <f>IF(AG88&lt;Bewertung_Stammdaten!F$38,Bewertung_Stammdaten!E$38,IF(AG88&lt;Bewertung_Stammdaten!F$39,Bewertung_Stammdaten!E$39,IF(AG88&lt;Bewertung_Stammdaten!F$40,Bewertung_Stammdaten!E$40,IF(AG88&lt;Bewertung_Stammdaten!F$41,Bewertung_Stammdaten!E$41,IF(AG88&lt;Bewertung_Stammdaten!F$42,Bewertung_Stammdaten!E$42,IF(AG88&lt;Bewertung_Stammdaten!F$43,Bewertung_Stammdaten!E$43,IF(AG88&lt;Bewertung_Stammdaten!F$44,Bewertung_Stammdaten!E$44,IF(AG88&lt;Bewertung_Stammdaten!F$45,Bewertung_Stammdaten!E$45,IF(AG88&lt;Bewertung_Stammdaten!F$46,Bewertung_Stammdaten!E$46,Bewertung_Stammdaten!E$47)))))))))</f>
        <v>#N/A</v>
      </c>
      <c r="AL88" s="32" t="e">
        <f>IF(AI88&lt;Bewertung_Stammdaten!J$38,Bewertung_Stammdaten!I$38,IF(AI88&lt;Bewertung_Stammdaten!J$39,Bewertung_Stammdaten!I$39,IF(AI88&lt;Bewertung_Stammdaten!J$40,Bewertung_Stammdaten!I$40,IF(AI88&lt;Bewertung_Stammdaten!J$41,Bewertung_Stammdaten!I$41,IF(AI88&lt;Bewertung_Stammdaten!J$42,Bewertung_Stammdaten!I$42,IF(AI88&lt;Bewertung_Stammdaten!J$43,Bewertung_Stammdaten!I$43,IF(AI88&lt;Bewertung_Stammdaten!J$44,Bewertung_Stammdaten!I$44,IF(AI88&lt;Bewertung_Stammdaten!J$45,Bewertung_Stammdaten!I$45,IF(AI88&lt;Bewertung_Stammdaten!J$46,Bewertung_Stammdaten!I$46,Bewertung_Stammdaten!I$47)))))))))</f>
        <v>#N/A</v>
      </c>
      <c r="AM88" s="43"/>
      <c r="AN88" s="14" t="e">
        <f>VLOOKUP(A88,Dividende_je_Aktie!A$3:AM$103,24,FALSE)</f>
        <v>#N/A</v>
      </c>
      <c r="AO88" s="14" t="e">
        <f>VLOOKUP(A88,Dividende_je_Aktie!A$3:AM$103,20,FALSE)</f>
        <v>#N/A</v>
      </c>
      <c r="AP88" s="12" t="e">
        <f>VLOOKUP(A88,Dividende_je_Aktie!A$3:AM$103,25,FALSE)</f>
        <v>#N/A</v>
      </c>
      <c r="AQ88" s="40" t="e">
        <f>VLOOKUP(A88,Dividende_je_Aktie!A$3:AM$103,39,FALSE)</f>
        <v>#N/A</v>
      </c>
      <c r="AR88" s="16" t="e">
        <f t="shared" si="18"/>
        <v>#N/A</v>
      </c>
      <c r="AS88" s="12" t="e">
        <f t="shared" si="19"/>
        <v>#N/A</v>
      </c>
      <c r="AT88" s="32" t="e">
        <f>IF(AP88&lt;Bewertung_Stammdaten!B$51,Bewertung_Stammdaten!A$51,IF(AP88&lt;Bewertung_Stammdaten!B$52,Bewertung_Stammdaten!A$52,IF(AP88&lt;Bewertung_Stammdaten!B$53,Bewertung_Stammdaten!A$53,IF(AP88&lt;Bewertung_Stammdaten!B$54,Bewertung_Stammdaten!A$54,IF(AP88&lt;Bewertung_Stammdaten!B$55,Bewertung_Stammdaten!A$55,IF(AP88&lt;Bewertung_Stammdaten!B$56,Bewertung_Stammdaten!A$56,IF(AP88&lt;Bewertung_Stammdaten!B$57,Bewertung_Stammdaten!A$57,IF(AP88&lt;Bewertung_Stammdaten!B$58,Bewertung_Stammdaten!A$58,IF(AP88&lt;Bewertung_Stammdaten!B$59,Bewertung_Stammdaten!A$59,Bewertung_Stammdaten!A$60)))))))))</f>
        <v>#N/A</v>
      </c>
      <c r="AU88" s="32" t="e">
        <f>IF(AQ88&lt;Bewertung_Stammdaten!F$51,Bewertung_Stammdaten!E$51,IF(AQ88&lt;Bewertung_Stammdaten!F$52,Bewertung_Stammdaten!E$52,IF(AQ88&lt;Bewertung_Stammdaten!F$53,Bewertung_Stammdaten!E$53,IF(AQ88&lt;Bewertung_Stammdaten!F$54,Bewertung_Stammdaten!E$54,IF(AQ88&lt;Bewertung_Stammdaten!F$55,Bewertung_Stammdaten!E$55,IF(AQ88&lt;Bewertung_Stammdaten!F$56,Bewertung_Stammdaten!E$56,IF(AQ88&lt;Bewertung_Stammdaten!F$57,Bewertung_Stammdaten!E$57,IF(AQ88&lt;Bewertung_Stammdaten!F$58,Bewertung_Stammdaten!E$58,IF(AQ88&lt;Bewertung_Stammdaten!F$59,Bewertung_Stammdaten!E$59,Bewertung_Stammdaten!E$60)))))))))</f>
        <v>#N/A</v>
      </c>
      <c r="AV88" s="32" t="e">
        <f>IF(AS88&lt;Bewertung_Stammdaten!J$51,Bewertung_Stammdaten!I$51,IF(AS88&lt;Bewertung_Stammdaten!J$52,Bewertung_Stammdaten!I$52,IF(AS88&lt;Bewertung_Stammdaten!J$53,Bewertung_Stammdaten!I$53,IF(AS88&lt;Bewertung_Stammdaten!J$54,Bewertung_Stammdaten!I$54,IF(AS88&lt;Bewertung_Stammdaten!J$55,Bewertung_Stammdaten!I$55,IF(AS88&lt;Bewertung_Stammdaten!J$56,Bewertung_Stammdaten!I$56,IF(AS88&lt;Bewertung_Stammdaten!J$57,Bewertung_Stammdaten!I$57,IF(AS88&lt;Bewertung_Stammdaten!J$58,Bewertung_Stammdaten!I$58,IF(AS88&lt;Bewertung_Stammdaten!J$59,Bewertung_Stammdaten!I$59,Bewertung_Stammdaten!I$60)))))))))</f>
        <v>#N/A</v>
      </c>
      <c r="AW88" s="43"/>
      <c r="AX88" s="12" t="e">
        <f>VLOOKUP(A88,Dividendenrendite!A$3:R$103,17,FALSE)</f>
        <v>#N/A</v>
      </c>
      <c r="AY88" s="12" t="e">
        <f>VLOOKUP(A88,Dividendenrendite!A$3:R$103,16,FALSE)</f>
        <v>#N/A</v>
      </c>
      <c r="AZ88" s="12" t="e">
        <f>VLOOKUP(A88,Dividendenrendite!A$3:R$103,18,FALSE)</f>
        <v>#N/A</v>
      </c>
      <c r="BA88" s="32" t="e">
        <f>IF(AX88&lt;Bewertung_Stammdaten!B$64,Bewertung_Stammdaten!A$64,IF(AX88&lt;Bewertung_Stammdaten!B$65,Bewertung_Stammdaten!A$65,IF(AX88&lt;Bewertung_Stammdaten!B$66,Bewertung_Stammdaten!A$66,IF(AX88&lt;Bewertung_Stammdaten!B$67,Bewertung_Stammdaten!A$67,IF(AX88&lt;Bewertung_Stammdaten!B$68,Bewertung_Stammdaten!A$68,IF(AX88&lt;Bewertung_Stammdaten!B$69,Bewertung_Stammdaten!A$69,IF(AX88&lt;Bewertung_Stammdaten!B$70,Bewertung_Stammdaten!A$70,IF(AX88&lt;Bewertung_Stammdaten!B$71,Bewertung_Stammdaten!A$71,IF(AX88&lt;Bewertung_Stammdaten!B$72,Bewertung_Stammdaten!A$72,Bewertung_Stammdaten!A$73)))))))))</f>
        <v>#N/A</v>
      </c>
      <c r="BB88" s="32" t="e">
        <f>IF(AY88&lt;Bewertung_Stammdaten!F$64,Bewertung_Stammdaten!E$64,IF(AY88&lt;Bewertung_Stammdaten!F$65,Bewertung_Stammdaten!E$65,IF(AY88&lt;Bewertung_Stammdaten!F$66,Bewertung_Stammdaten!E$66,IF(AY88&lt;Bewertung_Stammdaten!F$67,Bewertung_Stammdaten!E$67,IF(AY88&lt;Bewertung_Stammdaten!F$68,Bewertung_Stammdaten!E$68,IF(AY88&lt;Bewertung_Stammdaten!F$69,Bewertung_Stammdaten!E$69,IF(AY88&lt;Bewertung_Stammdaten!F$70,Bewertung_Stammdaten!E$70,IF(AY88&lt;Bewertung_Stammdaten!F$71,Bewertung_Stammdaten!E$71,IF(AY88&lt;Bewertung_Stammdaten!F$72,Bewertung_Stammdaten!E$72,Bewertung_Stammdaten!E$73)))))))))</f>
        <v>#N/A</v>
      </c>
      <c r="BC88" s="32" t="e">
        <f>IF(AZ88&lt;Bewertung_Stammdaten!J$64,Bewertung_Stammdaten!I$64,IF(AZ88&lt;Bewertung_Stammdaten!J$65,Bewertung_Stammdaten!I$65,IF(AZ88&lt;Bewertung_Stammdaten!J$66,Bewertung_Stammdaten!I$66,IF(AZ88&lt;Bewertung_Stammdaten!J$67,Bewertung_Stammdaten!I$67,IF(AZ88&lt;Bewertung_Stammdaten!J$68,Bewertung_Stammdaten!I$68,IF(AZ88&lt;Bewertung_Stammdaten!J$69,Bewertung_Stammdaten!I$69,IF(AZ88&lt;Bewertung_Stammdaten!J$70,Bewertung_Stammdaten!I$70,IF(AZ88&lt;Bewertung_Stammdaten!J$71,Bewertung_Stammdaten!I$71,IF(AZ88&lt;Bewertung_Stammdaten!J$72,Bewertung_Stammdaten!I$72,Bewertung_Stammdaten!I$73)))))))))</f>
        <v>#N/A</v>
      </c>
      <c r="BD88" s="43"/>
      <c r="BE88" s="12" t="e">
        <f>VLOOKUP(A88,Aktien_im_Umlauf_splitbereinigt!A$3:Z$103,26,FALSE)</f>
        <v>#N/A</v>
      </c>
      <c r="BF88" s="12" t="e">
        <f>VLOOKUP(A88,Aktien_im_Umlauf_splitbereinigt!A$3:Y$103,24,FALSE)</f>
        <v>#N/A</v>
      </c>
      <c r="BG88" s="12" t="e">
        <f>VLOOKUP(A88,Aktien_im_Umlauf_splitbereinigt!A$3:Y$103,25,FALSE)</f>
        <v>#N/A</v>
      </c>
      <c r="BH88" s="41" t="e">
        <f>IF(BE88&lt;Bewertung_Stammdaten!B$77,Bewertung_Stammdaten!A$77,IF(BE88&lt;Bewertung_Stammdaten!B$78,Bewertung_Stammdaten!A$78,IF(BE88&lt;Bewertung_Stammdaten!B$79,Bewertung_Stammdaten!A$79,IF(BE88&lt;Bewertung_Stammdaten!B$80,Bewertung_Stammdaten!A$80,IF(BE88&lt;Bewertung_Stammdaten!B$81,Bewertung_Stammdaten!A$81,IF(BE88&lt;Bewertung_Stammdaten!B$82,Bewertung_Stammdaten!A$82,IF(BE88&lt;Bewertung_Stammdaten!B$83,Bewertung_Stammdaten!A$83,IF(BE88&lt;Bewertung_Stammdaten!B$84,Bewertung_Stammdaten!A$84,IF(BE88&lt;Bewertung_Stammdaten!B$85,Bewertung_Stammdaten!A$85,Bewertung_Stammdaten!A$86)))))))))</f>
        <v>#N/A</v>
      </c>
      <c r="BI88" s="41" t="e">
        <f>IF(BF88&lt;Bewertung_Stammdaten!F$77,Bewertung_Stammdaten!E$77,IF(BF88&lt;Bewertung_Stammdaten!F$78,Bewertung_Stammdaten!E$78,IF(BF88&lt;Bewertung_Stammdaten!F$79,Bewertung_Stammdaten!E$79,IF(BF88&lt;Bewertung_Stammdaten!F$80,Bewertung_Stammdaten!E$80,IF(BF88&lt;Bewertung_Stammdaten!F$81,Bewertung_Stammdaten!E$81,IF(BF88&lt;Bewertung_Stammdaten!F$82,Bewertung_Stammdaten!E$82,IF(BF88&lt;Bewertung_Stammdaten!F$83,Bewertung_Stammdaten!E$83,IF(BF88&lt;Bewertung_Stammdaten!F$84,Bewertung_Stammdaten!E$84,IF(BF88&lt;Bewertung_Stammdaten!F$85,Bewertung_Stammdaten!E$85,Bewertung_Stammdaten!E$86)))))))))</f>
        <v>#N/A</v>
      </c>
      <c r="BJ88" s="41" t="e">
        <f>IF(BG88&lt;Bewertung_Stammdaten!J$77,Bewertung_Stammdaten!I$77,IF(BG88&lt;Bewertung_Stammdaten!J$78,Bewertung_Stammdaten!I$78,IF(BG88&lt;Bewertung_Stammdaten!J$79,Bewertung_Stammdaten!I$79,IF(BG88&lt;Bewertung_Stammdaten!J$80,Bewertung_Stammdaten!I$80,IF(BG88&lt;Bewertung_Stammdaten!J$81,Bewertung_Stammdaten!I$81,IF(BG88&lt;Bewertung_Stammdaten!J$82,Bewertung_Stammdaten!I$82,IF(BG88&lt;Bewertung_Stammdaten!J$83,Bewertung_Stammdaten!I$83,IF(BG88&lt;Bewertung_Stammdaten!J$84,Bewertung_Stammdaten!I$84,IF(BG88&lt;Bewertung_Stammdaten!J$85,Bewertung_Stammdaten!I$85,Bewertung_Stammdaten!I$86)))))))))</f>
        <v>#N/A</v>
      </c>
      <c r="BK88" s="43"/>
      <c r="BL88" s="12" t="e">
        <f>VLOOKUP(A88,Ausschüttungsquote!A$3:X$103,23,FALSE)</f>
        <v>#N/A</v>
      </c>
      <c r="BM88" s="12" t="e">
        <f>VLOOKUP(A88,Ausschüttungsquote!A$3:X$103,19,FALSE)</f>
        <v>#N/A</v>
      </c>
      <c r="BN88" s="12" t="e">
        <f>VLOOKUP(A88,Ausschüttungsquote!A$3:X$103,24,FALSE)</f>
        <v>#N/A</v>
      </c>
      <c r="BO88" s="32" t="e">
        <f>IF(BL88&lt;Bewertung_Stammdaten!B$90,Bewertung_Stammdaten!A$90,IF(BL88&lt;Bewertung_Stammdaten!B$91,Bewertung_Stammdaten!A$91,IF(BL88&lt;Bewertung_Stammdaten!B$92,Bewertung_Stammdaten!A$92,IF(BL88&lt;Bewertung_Stammdaten!B$93,Bewertung_Stammdaten!A$93,IF(BL88&lt;Bewertung_Stammdaten!B$94,Bewertung_Stammdaten!A$94,IF(BL88&lt;Bewertung_Stammdaten!B$95,Bewertung_Stammdaten!A$95,IF(BL88&lt;Bewertung_Stammdaten!B$96,Bewertung_Stammdaten!A$96,IF(BL88&lt;Bewertung_Stammdaten!B$97,Bewertung_Stammdaten!A$97,IF(BL88&lt;Bewertung_Stammdaten!B$98,Bewertung_Stammdaten!A$98,Bewertung_Stammdaten!A$99)))))))))</f>
        <v>#N/A</v>
      </c>
      <c r="BP88" s="41" t="e">
        <f>IF(BM88&lt;Bewertung_Stammdaten!F$90,Bewertung_Stammdaten!E$90,IF(BM88&lt;Bewertung_Stammdaten!F$91,Bewertung_Stammdaten!E$91,IF(BM88&lt;Bewertung_Stammdaten!F$92,Bewertung_Stammdaten!E$92,IF(BM88&lt;Bewertung_Stammdaten!F$93,Bewertung_Stammdaten!E$93,IF(BM88&lt;Bewertung_Stammdaten!F$94,Bewertung_Stammdaten!E$94,IF(BM88&lt;Bewertung_Stammdaten!F$95,Bewertung_Stammdaten!E$95,IF(BM88&lt;Bewertung_Stammdaten!F$96,Bewertung_Stammdaten!E$96,IF(BM88&lt;Bewertung_Stammdaten!F$97,Bewertung_Stammdaten!E$97,IF(BM88&lt;Bewertung_Stammdaten!F$98,Bewertung_Stammdaten!E$98,Bewertung_Stammdaten!E$99)))))))))</f>
        <v>#N/A</v>
      </c>
      <c r="BQ88" s="32" t="e">
        <f>IF(BN88&lt;Bewertung_Stammdaten!J$90,Bewertung_Stammdaten!I$90,IF(BN88&lt;Bewertung_Stammdaten!J$91,Bewertung_Stammdaten!I$91,IF(BN88&lt;Bewertung_Stammdaten!J$92,Bewertung_Stammdaten!I$92,IF(BN88&lt;Bewertung_Stammdaten!J$93,Bewertung_Stammdaten!I$93,IF(BN88&lt;Bewertung_Stammdaten!J$94,Bewertung_Stammdaten!I$94,IF(BN88&lt;Bewertung_Stammdaten!J$95,Bewertung_Stammdaten!I$95,IF(BN88&lt;Bewertung_Stammdaten!J$96,Bewertung_Stammdaten!I$96,IF(BN88&lt;Bewertung_Stammdaten!J$97,Bewertung_Stammdaten!I$97,IF(BN88&lt;Bewertung_Stammdaten!J$98,Bewertung_Stammdaten!I$98,Bewertung_Stammdaten!I$99)))))))))</f>
        <v>#N/A</v>
      </c>
    </row>
    <row r="89" spans="3:69" x14ac:dyDescent="0.25">
      <c r="C89" s="55" t="s">
        <v>297</v>
      </c>
      <c r="D89" s="32" t="e">
        <f t="shared" si="11"/>
        <v>#N/A</v>
      </c>
      <c r="E89" s="43"/>
      <c r="F89" s="66">
        <v>1</v>
      </c>
      <c r="G89" s="11" t="e">
        <f>VLOOKUP(A89,KGV!A$3:R$103,17,FALSE)</f>
        <v>#N/A</v>
      </c>
      <c r="H89" s="11" t="e">
        <f>VLOOKUP(A89,KGV!A$3:R$103,16,FALSE)</f>
        <v>#N/A</v>
      </c>
      <c r="I89" s="12" t="e">
        <f>VLOOKUP(A89,KGV!A$3:R$103,18,FALSE)</f>
        <v>#N/A</v>
      </c>
      <c r="J89" s="16" t="e">
        <f t="shared" si="12"/>
        <v>#N/A</v>
      </c>
      <c r="K89" s="12" t="e">
        <f t="shared" si="13"/>
        <v>#N/A</v>
      </c>
      <c r="L89" s="11" t="e">
        <f>VLOOKUP(A89,KBV!A$3:R$103,17,FALSE)</f>
        <v>#N/A</v>
      </c>
      <c r="M89" s="11" t="e">
        <f>VLOOKUP(A89,KBV!A$3:R$103,16,FALSE)</f>
        <v>#N/A</v>
      </c>
      <c r="N89" s="12" t="e">
        <f>VLOOKUP(A89,KBV!A$3:R$103,18,FALSE)</f>
        <v>#N/A</v>
      </c>
      <c r="O89" s="16" t="e">
        <f t="shared" si="20"/>
        <v>#N/A</v>
      </c>
      <c r="P89" s="12" t="e">
        <f t="shared" si="21"/>
        <v>#N/A</v>
      </c>
      <c r="Q89" s="32" t="e">
        <f>IF(F89=1,IF(I89&lt;Bewertung_Stammdaten!B$12,Bewertung_Stammdaten!A$12,IF(I89&lt;Bewertung_Stammdaten!B$13,Bewertung_Stammdaten!A$13,IF(I89&lt;Bewertung_Stammdaten!B$14,Bewertung_Stammdaten!A$14,IF(I89&lt;Bewertung_Stammdaten!B$15,Bewertung_Stammdaten!A$15,IF(I89&lt;Bewertung_Stammdaten!B$16,Bewertung_Stammdaten!A$16,IF(I89&lt;Bewertung_Stammdaten!B$17,Bewertung_Stammdaten!A$17,IF(I89&lt;Bewertung_Stammdaten!B$18,Bewertung_Stammdaten!A$18,IF(I89&lt;Bewertung_Stammdaten!B$19,Bewertung_Stammdaten!A$19,IF(I89&lt;Bewertung_Stammdaten!B$20,Bewertung_Stammdaten!A$20,Bewertung_Stammdaten!A$21))))))))),IF(N89&lt;Bewertung_Stammdaten!C$12,Bewertung_Stammdaten!A$12,IF(N89&lt;Bewertung_Stammdaten!C$13,Bewertung_Stammdaten!A$13,IF(N89&lt;Bewertung_Stammdaten!C$14,Bewertung_Stammdaten!A$14,IF(N89&lt;Bewertung_Stammdaten!C$15,Bewertung_Stammdaten!A$15,IF(N89&lt;Bewertung_Stammdaten!C$16,Bewertung_Stammdaten!A$16,IF(N89&lt;Bewertung_Stammdaten!C$17,Bewertung_Stammdaten!A$17,IF(N89&lt;Bewertung_Stammdaten!C$18,Bewertung_Stammdaten!A$18,IF(N89&lt;Bewertung_Stammdaten!C$19,Bewertung_Stammdaten!A$19,IF(N89&lt;Bewertung_Stammdaten!C$20,Bewertung_Stammdaten!A$20,Bewertung_Stammdaten!A$21))))))))))</f>
        <v>#N/A</v>
      </c>
      <c r="R89" s="32" t="e">
        <f>IF(F89=1,IF(K89&lt;Bewertung_Stammdaten!F$12,Bewertung_Stammdaten!E$12,IF(K89&lt;Bewertung_Stammdaten!F$13,Bewertung_Stammdaten!E$13,IF(K89&lt;Bewertung_Stammdaten!F$14,Bewertung_Stammdaten!E$14,IF(K89&lt;Bewertung_Stammdaten!F$15,Bewertung_Stammdaten!E$15,IF(K89&lt;Bewertung_Stammdaten!F$16,Bewertung_Stammdaten!E$16,IF(K89&lt;Bewertung_Stammdaten!F$17,Bewertung_Stammdaten!E$17,IF(K89&lt;Bewertung_Stammdaten!F$18,Bewertung_Stammdaten!E$18,IF(K89&lt;Bewertung_Stammdaten!F$19,Bewertung_Stammdaten!E$19,IF(K89&lt;Bewertung_Stammdaten!F$20,Bewertung_Stammdaten!E$20,Bewertung_Stammdaten!E$21))))))))),IF(P89&lt;Bewertung_Stammdaten!G$12,Bewertung_Stammdaten!E$12,IF(P89&lt;Bewertung_Stammdaten!G$13,Bewertung_Stammdaten!E$13,IF(P89&lt;Bewertung_Stammdaten!G$14,Bewertung_Stammdaten!E$14,IF(P89&lt;Bewertung_Stammdaten!G$15,Bewertung_Stammdaten!E$15,IF(P89&lt;Bewertung_Stammdaten!G$16,Bewertung_Stammdaten!E$16,IF(P89&lt;Bewertung_Stammdaten!G$17,Bewertung_Stammdaten!E$17,IF(P89&lt;Bewertung_Stammdaten!G$18,Bewertung_Stammdaten!E$18,IF(P89&lt;Bewertung_Stammdaten!G$19,Bewertung_Stammdaten!E$19,IF(P89&lt;Bewertung_Stammdaten!G$20,Bewertung_Stammdaten!E$20,Bewertung_Stammdaten!E$21))))))))))</f>
        <v>#N/A</v>
      </c>
      <c r="S89" s="43"/>
      <c r="T89" s="11" t="e">
        <f>VLOOKUP(A89,Buchwert_je_Aktie!A$3:AK$103,23,FALSE)</f>
        <v>#N/A</v>
      </c>
      <c r="U89" s="11" t="e">
        <f>VLOOKUP(A89,Buchwert_je_Aktie!A$3:AK$103,19,FALSE)</f>
        <v>#N/A</v>
      </c>
      <c r="V89" s="12" t="e">
        <f>VLOOKUP(A89,Buchwert_je_Aktie!A$3:AK$103,24,FALSE)</f>
        <v>#N/A</v>
      </c>
      <c r="W89" s="12" t="e">
        <f>VLOOKUP(A89,Buchwert_je_Aktie!A$3:AK$103,37,FALSE)</f>
        <v>#N/A</v>
      </c>
      <c r="X89" s="16" t="e">
        <f t="shared" si="14"/>
        <v>#N/A</v>
      </c>
      <c r="Y89" s="12" t="e">
        <f t="shared" si="15"/>
        <v>#N/A</v>
      </c>
      <c r="Z89" s="51" t="e">
        <f>IF(V89&lt;Bewertung_Stammdaten!B$25,Bewertung_Stammdaten!A$25,IF(V89&lt;Bewertung_Stammdaten!B$26,Bewertung_Stammdaten!A$26,IF(V89&lt;Bewertung_Stammdaten!B$27,Bewertung_Stammdaten!A$27,IF(V89&lt;Bewertung_Stammdaten!B$28,Bewertung_Stammdaten!A$28,IF(V89&lt;Bewertung_Stammdaten!B$29,Bewertung_Stammdaten!A$29,IF(V89&lt;Bewertung_Stammdaten!B$30,Bewertung_Stammdaten!A$30,IF(V89&lt;Bewertung_Stammdaten!B$31,Bewertung_Stammdaten!A$31,IF(V89&lt;Bewertung_Stammdaten!B$32,Bewertung_Stammdaten!A$32,IF(V89&lt;Bewertung_Stammdaten!B$33,Bewertung_Stammdaten!A$33,Bewertung_Stammdaten!A$34)))))))))</f>
        <v>#N/A</v>
      </c>
      <c r="AA89" s="51" t="e">
        <f>IF(W89&lt;Bewertung_Stammdaten!F$25,Bewertung_Stammdaten!E$25,IF(W89&lt;Bewertung_Stammdaten!F$26,Bewertung_Stammdaten!E$26,IF(W89&lt;Bewertung_Stammdaten!F$27,Bewertung_Stammdaten!E$27,IF(W89&lt;Bewertung_Stammdaten!F$28,Bewertung_Stammdaten!E$28,IF(W89&lt;Bewertung_Stammdaten!F$29,Bewertung_Stammdaten!E$29,IF(W89&lt;Bewertung_Stammdaten!F$30,Bewertung_Stammdaten!E$30,IF(W89&lt;Bewertung_Stammdaten!F$31,Bewertung_Stammdaten!E$31,IF(W89&lt;Bewertung_Stammdaten!F$32,Bewertung_Stammdaten!E$32,IF(W89&lt;Bewertung_Stammdaten!F$33,Bewertung_Stammdaten!E$33,Bewertung_Stammdaten!E$34)))))))))</f>
        <v>#N/A</v>
      </c>
      <c r="AB89" s="51" t="e">
        <f>IF(Y89&lt;Bewertung_Stammdaten!J$25,Bewertung_Stammdaten!I$25,IF(Y89&lt;Bewertung_Stammdaten!J$26,Bewertung_Stammdaten!I$26,IF(Y89&lt;Bewertung_Stammdaten!J$27,Bewertung_Stammdaten!I$27,IF(Y89&lt;Bewertung_Stammdaten!J$28,Bewertung_Stammdaten!I$28,IF(Y89&lt;Bewertung_Stammdaten!J$29,Bewertung_Stammdaten!I$29,IF(Y89&lt;Bewertung_Stammdaten!J$30,Bewertung_Stammdaten!I$30,IF(Y89&lt;Bewertung_Stammdaten!J$31,Bewertung_Stammdaten!I$31,IF(Y89&lt;Bewertung_Stammdaten!J$32,Bewertung_Stammdaten!I$32,IF(Y89&lt;Bewertung_Stammdaten!J$33,Bewertung_Stammdaten!I$33,Bewertung_Stammdaten!I$34)))))))))</f>
        <v>#N/A</v>
      </c>
      <c r="AC89" s="43"/>
      <c r="AD89" s="14" t="e">
        <f>VLOOKUP(A89,Ergebnis_je_Aktie_verwässert!A$3:AK$103,23,FALSE)</f>
        <v>#N/A</v>
      </c>
      <c r="AE89" s="14" t="e">
        <f>VLOOKUP(A89,Ergebnis_je_Aktie_verwässert!A$3:AK$103,19,FALSE)</f>
        <v>#N/A</v>
      </c>
      <c r="AF89" s="12" t="e">
        <f>VLOOKUP(A89,Ergebnis_je_Aktie_verwässert!A$3:AK$103,24,FALSE)</f>
        <v>#N/A</v>
      </c>
      <c r="AG89" s="40" t="e">
        <f>VLOOKUP(A89,Ergebnis_je_Aktie_verwässert!A$3:AK$103,37,FALSE)</f>
        <v>#N/A</v>
      </c>
      <c r="AH89" s="16" t="e">
        <f t="shared" si="16"/>
        <v>#N/A</v>
      </c>
      <c r="AI89" s="12" t="e">
        <f t="shared" si="17"/>
        <v>#N/A</v>
      </c>
      <c r="AJ89" s="32" t="e">
        <f>IF(AF89&lt;Bewertung_Stammdaten!B$38,Bewertung_Stammdaten!A$38,IF(AF89&lt;Bewertung_Stammdaten!B$39,Bewertung_Stammdaten!A$39,IF(AF89&lt;Bewertung_Stammdaten!B$40,Bewertung_Stammdaten!A$40,IF(AF89&lt;Bewertung_Stammdaten!B$41,Bewertung_Stammdaten!A$41,IF(AF89&lt;Bewertung_Stammdaten!B$42,Bewertung_Stammdaten!A$42,IF(AF89&lt;Bewertung_Stammdaten!B$43,Bewertung_Stammdaten!A$43,IF(AF89&lt;Bewertung_Stammdaten!B$44,Bewertung_Stammdaten!A$44,IF(AF89&lt;Bewertung_Stammdaten!B$45,Bewertung_Stammdaten!A$45,IF(AF89&lt;Bewertung_Stammdaten!B$46,Bewertung_Stammdaten!A$46,Bewertung_Stammdaten!A$47)))))))))</f>
        <v>#N/A</v>
      </c>
      <c r="AK89" s="32" t="e">
        <f>IF(AG89&lt;Bewertung_Stammdaten!F$38,Bewertung_Stammdaten!E$38,IF(AG89&lt;Bewertung_Stammdaten!F$39,Bewertung_Stammdaten!E$39,IF(AG89&lt;Bewertung_Stammdaten!F$40,Bewertung_Stammdaten!E$40,IF(AG89&lt;Bewertung_Stammdaten!F$41,Bewertung_Stammdaten!E$41,IF(AG89&lt;Bewertung_Stammdaten!F$42,Bewertung_Stammdaten!E$42,IF(AG89&lt;Bewertung_Stammdaten!F$43,Bewertung_Stammdaten!E$43,IF(AG89&lt;Bewertung_Stammdaten!F$44,Bewertung_Stammdaten!E$44,IF(AG89&lt;Bewertung_Stammdaten!F$45,Bewertung_Stammdaten!E$45,IF(AG89&lt;Bewertung_Stammdaten!F$46,Bewertung_Stammdaten!E$46,Bewertung_Stammdaten!E$47)))))))))</f>
        <v>#N/A</v>
      </c>
      <c r="AL89" s="32" t="e">
        <f>IF(AI89&lt;Bewertung_Stammdaten!J$38,Bewertung_Stammdaten!I$38,IF(AI89&lt;Bewertung_Stammdaten!J$39,Bewertung_Stammdaten!I$39,IF(AI89&lt;Bewertung_Stammdaten!J$40,Bewertung_Stammdaten!I$40,IF(AI89&lt;Bewertung_Stammdaten!J$41,Bewertung_Stammdaten!I$41,IF(AI89&lt;Bewertung_Stammdaten!J$42,Bewertung_Stammdaten!I$42,IF(AI89&lt;Bewertung_Stammdaten!J$43,Bewertung_Stammdaten!I$43,IF(AI89&lt;Bewertung_Stammdaten!J$44,Bewertung_Stammdaten!I$44,IF(AI89&lt;Bewertung_Stammdaten!J$45,Bewertung_Stammdaten!I$45,IF(AI89&lt;Bewertung_Stammdaten!J$46,Bewertung_Stammdaten!I$46,Bewertung_Stammdaten!I$47)))))))))</f>
        <v>#N/A</v>
      </c>
      <c r="AM89" s="43"/>
      <c r="AN89" s="14" t="e">
        <f>VLOOKUP(A89,Dividende_je_Aktie!A$3:AM$103,24,FALSE)</f>
        <v>#N/A</v>
      </c>
      <c r="AO89" s="14" t="e">
        <f>VLOOKUP(A89,Dividende_je_Aktie!A$3:AM$103,20,FALSE)</f>
        <v>#N/A</v>
      </c>
      <c r="AP89" s="12" t="e">
        <f>VLOOKUP(A89,Dividende_je_Aktie!A$3:AM$103,25,FALSE)</f>
        <v>#N/A</v>
      </c>
      <c r="AQ89" s="40" t="e">
        <f>VLOOKUP(A89,Dividende_je_Aktie!A$3:AM$103,39,FALSE)</f>
        <v>#N/A</v>
      </c>
      <c r="AR89" s="16" t="e">
        <f t="shared" si="18"/>
        <v>#N/A</v>
      </c>
      <c r="AS89" s="12" t="e">
        <f t="shared" si="19"/>
        <v>#N/A</v>
      </c>
      <c r="AT89" s="32" t="e">
        <f>IF(AP89&lt;Bewertung_Stammdaten!B$51,Bewertung_Stammdaten!A$51,IF(AP89&lt;Bewertung_Stammdaten!B$52,Bewertung_Stammdaten!A$52,IF(AP89&lt;Bewertung_Stammdaten!B$53,Bewertung_Stammdaten!A$53,IF(AP89&lt;Bewertung_Stammdaten!B$54,Bewertung_Stammdaten!A$54,IF(AP89&lt;Bewertung_Stammdaten!B$55,Bewertung_Stammdaten!A$55,IF(AP89&lt;Bewertung_Stammdaten!B$56,Bewertung_Stammdaten!A$56,IF(AP89&lt;Bewertung_Stammdaten!B$57,Bewertung_Stammdaten!A$57,IF(AP89&lt;Bewertung_Stammdaten!B$58,Bewertung_Stammdaten!A$58,IF(AP89&lt;Bewertung_Stammdaten!B$59,Bewertung_Stammdaten!A$59,Bewertung_Stammdaten!A$60)))))))))</f>
        <v>#N/A</v>
      </c>
      <c r="AU89" s="32" t="e">
        <f>IF(AQ89&lt;Bewertung_Stammdaten!F$51,Bewertung_Stammdaten!E$51,IF(AQ89&lt;Bewertung_Stammdaten!F$52,Bewertung_Stammdaten!E$52,IF(AQ89&lt;Bewertung_Stammdaten!F$53,Bewertung_Stammdaten!E$53,IF(AQ89&lt;Bewertung_Stammdaten!F$54,Bewertung_Stammdaten!E$54,IF(AQ89&lt;Bewertung_Stammdaten!F$55,Bewertung_Stammdaten!E$55,IF(AQ89&lt;Bewertung_Stammdaten!F$56,Bewertung_Stammdaten!E$56,IF(AQ89&lt;Bewertung_Stammdaten!F$57,Bewertung_Stammdaten!E$57,IF(AQ89&lt;Bewertung_Stammdaten!F$58,Bewertung_Stammdaten!E$58,IF(AQ89&lt;Bewertung_Stammdaten!F$59,Bewertung_Stammdaten!E$59,Bewertung_Stammdaten!E$60)))))))))</f>
        <v>#N/A</v>
      </c>
      <c r="AV89" s="32" t="e">
        <f>IF(AS89&lt;Bewertung_Stammdaten!J$51,Bewertung_Stammdaten!I$51,IF(AS89&lt;Bewertung_Stammdaten!J$52,Bewertung_Stammdaten!I$52,IF(AS89&lt;Bewertung_Stammdaten!J$53,Bewertung_Stammdaten!I$53,IF(AS89&lt;Bewertung_Stammdaten!J$54,Bewertung_Stammdaten!I$54,IF(AS89&lt;Bewertung_Stammdaten!J$55,Bewertung_Stammdaten!I$55,IF(AS89&lt;Bewertung_Stammdaten!J$56,Bewertung_Stammdaten!I$56,IF(AS89&lt;Bewertung_Stammdaten!J$57,Bewertung_Stammdaten!I$57,IF(AS89&lt;Bewertung_Stammdaten!J$58,Bewertung_Stammdaten!I$58,IF(AS89&lt;Bewertung_Stammdaten!J$59,Bewertung_Stammdaten!I$59,Bewertung_Stammdaten!I$60)))))))))</f>
        <v>#N/A</v>
      </c>
      <c r="AW89" s="43"/>
      <c r="AX89" s="12" t="e">
        <f>VLOOKUP(A89,Dividendenrendite!A$3:R$103,17,FALSE)</f>
        <v>#N/A</v>
      </c>
      <c r="AY89" s="12" t="e">
        <f>VLOOKUP(A89,Dividendenrendite!A$3:R$103,16,FALSE)</f>
        <v>#N/A</v>
      </c>
      <c r="AZ89" s="12" t="e">
        <f>VLOOKUP(A89,Dividendenrendite!A$3:R$103,18,FALSE)</f>
        <v>#N/A</v>
      </c>
      <c r="BA89" s="32" t="e">
        <f>IF(AX89&lt;Bewertung_Stammdaten!B$64,Bewertung_Stammdaten!A$64,IF(AX89&lt;Bewertung_Stammdaten!B$65,Bewertung_Stammdaten!A$65,IF(AX89&lt;Bewertung_Stammdaten!B$66,Bewertung_Stammdaten!A$66,IF(AX89&lt;Bewertung_Stammdaten!B$67,Bewertung_Stammdaten!A$67,IF(AX89&lt;Bewertung_Stammdaten!B$68,Bewertung_Stammdaten!A$68,IF(AX89&lt;Bewertung_Stammdaten!B$69,Bewertung_Stammdaten!A$69,IF(AX89&lt;Bewertung_Stammdaten!B$70,Bewertung_Stammdaten!A$70,IF(AX89&lt;Bewertung_Stammdaten!B$71,Bewertung_Stammdaten!A$71,IF(AX89&lt;Bewertung_Stammdaten!B$72,Bewertung_Stammdaten!A$72,Bewertung_Stammdaten!A$73)))))))))</f>
        <v>#N/A</v>
      </c>
      <c r="BB89" s="32" t="e">
        <f>IF(AY89&lt;Bewertung_Stammdaten!F$64,Bewertung_Stammdaten!E$64,IF(AY89&lt;Bewertung_Stammdaten!F$65,Bewertung_Stammdaten!E$65,IF(AY89&lt;Bewertung_Stammdaten!F$66,Bewertung_Stammdaten!E$66,IF(AY89&lt;Bewertung_Stammdaten!F$67,Bewertung_Stammdaten!E$67,IF(AY89&lt;Bewertung_Stammdaten!F$68,Bewertung_Stammdaten!E$68,IF(AY89&lt;Bewertung_Stammdaten!F$69,Bewertung_Stammdaten!E$69,IF(AY89&lt;Bewertung_Stammdaten!F$70,Bewertung_Stammdaten!E$70,IF(AY89&lt;Bewertung_Stammdaten!F$71,Bewertung_Stammdaten!E$71,IF(AY89&lt;Bewertung_Stammdaten!F$72,Bewertung_Stammdaten!E$72,Bewertung_Stammdaten!E$73)))))))))</f>
        <v>#N/A</v>
      </c>
      <c r="BC89" s="32" t="e">
        <f>IF(AZ89&lt;Bewertung_Stammdaten!J$64,Bewertung_Stammdaten!I$64,IF(AZ89&lt;Bewertung_Stammdaten!J$65,Bewertung_Stammdaten!I$65,IF(AZ89&lt;Bewertung_Stammdaten!J$66,Bewertung_Stammdaten!I$66,IF(AZ89&lt;Bewertung_Stammdaten!J$67,Bewertung_Stammdaten!I$67,IF(AZ89&lt;Bewertung_Stammdaten!J$68,Bewertung_Stammdaten!I$68,IF(AZ89&lt;Bewertung_Stammdaten!J$69,Bewertung_Stammdaten!I$69,IF(AZ89&lt;Bewertung_Stammdaten!J$70,Bewertung_Stammdaten!I$70,IF(AZ89&lt;Bewertung_Stammdaten!J$71,Bewertung_Stammdaten!I$71,IF(AZ89&lt;Bewertung_Stammdaten!J$72,Bewertung_Stammdaten!I$72,Bewertung_Stammdaten!I$73)))))))))</f>
        <v>#N/A</v>
      </c>
      <c r="BD89" s="43"/>
      <c r="BE89" s="12" t="e">
        <f>VLOOKUP(A89,Aktien_im_Umlauf_splitbereinigt!A$3:Z$103,26,FALSE)</f>
        <v>#N/A</v>
      </c>
      <c r="BF89" s="12" t="e">
        <f>VLOOKUP(A89,Aktien_im_Umlauf_splitbereinigt!A$3:Y$103,24,FALSE)</f>
        <v>#N/A</v>
      </c>
      <c r="BG89" s="12" t="e">
        <f>VLOOKUP(A89,Aktien_im_Umlauf_splitbereinigt!A$3:Y$103,25,FALSE)</f>
        <v>#N/A</v>
      </c>
      <c r="BH89" s="41" t="e">
        <f>IF(BE89&lt;Bewertung_Stammdaten!B$77,Bewertung_Stammdaten!A$77,IF(BE89&lt;Bewertung_Stammdaten!B$78,Bewertung_Stammdaten!A$78,IF(BE89&lt;Bewertung_Stammdaten!B$79,Bewertung_Stammdaten!A$79,IF(BE89&lt;Bewertung_Stammdaten!B$80,Bewertung_Stammdaten!A$80,IF(BE89&lt;Bewertung_Stammdaten!B$81,Bewertung_Stammdaten!A$81,IF(BE89&lt;Bewertung_Stammdaten!B$82,Bewertung_Stammdaten!A$82,IF(BE89&lt;Bewertung_Stammdaten!B$83,Bewertung_Stammdaten!A$83,IF(BE89&lt;Bewertung_Stammdaten!B$84,Bewertung_Stammdaten!A$84,IF(BE89&lt;Bewertung_Stammdaten!B$85,Bewertung_Stammdaten!A$85,Bewertung_Stammdaten!A$86)))))))))</f>
        <v>#N/A</v>
      </c>
      <c r="BI89" s="41" t="e">
        <f>IF(BF89&lt;Bewertung_Stammdaten!F$77,Bewertung_Stammdaten!E$77,IF(BF89&lt;Bewertung_Stammdaten!F$78,Bewertung_Stammdaten!E$78,IF(BF89&lt;Bewertung_Stammdaten!F$79,Bewertung_Stammdaten!E$79,IF(BF89&lt;Bewertung_Stammdaten!F$80,Bewertung_Stammdaten!E$80,IF(BF89&lt;Bewertung_Stammdaten!F$81,Bewertung_Stammdaten!E$81,IF(BF89&lt;Bewertung_Stammdaten!F$82,Bewertung_Stammdaten!E$82,IF(BF89&lt;Bewertung_Stammdaten!F$83,Bewertung_Stammdaten!E$83,IF(BF89&lt;Bewertung_Stammdaten!F$84,Bewertung_Stammdaten!E$84,IF(BF89&lt;Bewertung_Stammdaten!F$85,Bewertung_Stammdaten!E$85,Bewertung_Stammdaten!E$86)))))))))</f>
        <v>#N/A</v>
      </c>
      <c r="BJ89" s="41" t="e">
        <f>IF(BG89&lt;Bewertung_Stammdaten!J$77,Bewertung_Stammdaten!I$77,IF(BG89&lt;Bewertung_Stammdaten!J$78,Bewertung_Stammdaten!I$78,IF(BG89&lt;Bewertung_Stammdaten!J$79,Bewertung_Stammdaten!I$79,IF(BG89&lt;Bewertung_Stammdaten!J$80,Bewertung_Stammdaten!I$80,IF(BG89&lt;Bewertung_Stammdaten!J$81,Bewertung_Stammdaten!I$81,IF(BG89&lt;Bewertung_Stammdaten!J$82,Bewertung_Stammdaten!I$82,IF(BG89&lt;Bewertung_Stammdaten!J$83,Bewertung_Stammdaten!I$83,IF(BG89&lt;Bewertung_Stammdaten!J$84,Bewertung_Stammdaten!I$84,IF(BG89&lt;Bewertung_Stammdaten!J$85,Bewertung_Stammdaten!I$85,Bewertung_Stammdaten!I$86)))))))))</f>
        <v>#N/A</v>
      </c>
      <c r="BK89" s="43"/>
      <c r="BL89" s="12" t="e">
        <f>VLOOKUP(A89,Ausschüttungsquote!A$3:X$103,23,FALSE)</f>
        <v>#N/A</v>
      </c>
      <c r="BM89" s="12" t="e">
        <f>VLOOKUP(A89,Ausschüttungsquote!A$3:X$103,19,FALSE)</f>
        <v>#N/A</v>
      </c>
      <c r="BN89" s="12" t="e">
        <f>VLOOKUP(A89,Ausschüttungsquote!A$3:X$103,24,FALSE)</f>
        <v>#N/A</v>
      </c>
      <c r="BO89" s="32" t="e">
        <f>IF(BL89&lt;Bewertung_Stammdaten!B$90,Bewertung_Stammdaten!A$90,IF(BL89&lt;Bewertung_Stammdaten!B$91,Bewertung_Stammdaten!A$91,IF(BL89&lt;Bewertung_Stammdaten!B$92,Bewertung_Stammdaten!A$92,IF(BL89&lt;Bewertung_Stammdaten!B$93,Bewertung_Stammdaten!A$93,IF(BL89&lt;Bewertung_Stammdaten!B$94,Bewertung_Stammdaten!A$94,IF(BL89&lt;Bewertung_Stammdaten!B$95,Bewertung_Stammdaten!A$95,IF(BL89&lt;Bewertung_Stammdaten!B$96,Bewertung_Stammdaten!A$96,IF(BL89&lt;Bewertung_Stammdaten!B$97,Bewertung_Stammdaten!A$97,IF(BL89&lt;Bewertung_Stammdaten!B$98,Bewertung_Stammdaten!A$98,Bewertung_Stammdaten!A$99)))))))))</f>
        <v>#N/A</v>
      </c>
      <c r="BP89" s="41" t="e">
        <f>IF(BM89&lt;Bewertung_Stammdaten!F$90,Bewertung_Stammdaten!E$90,IF(BM89&lt;Bewertung_Stammdaten!F$91,Bewertung_Stammdaten!E$91,IF(BM89&lt;Bewertung_Stammdaten!F$92,Bewertung_Stammdaten!E$92,IF(BM89&lt;Bewertung_Stammdaten!F$93,Bewertung_Stammdaten!E$93,IF(BM89&lt;Bewertung_Stammdaten!F$94,Bewertung_Stammdaten!E$94,IF(BM89&lt;Bewertung_Stammdaten!F$95,Bewertung_Stammdaten!E$95,IF(BM89&lt;Bewertung_Stammdaten!F$96,Bewertung_Stammdaten!E$96,IF(BM89&lt;Bewertung_Stammdaten!F$97,Bewertung_Stammdaten!E$97,IF(BM89&lt;Bewertung_Stammdaten!F$98,Bewertung_Stammdaten!E$98,Bewertung_Stammdaten!E$99)))))))))</f>
        <v>#N/A</v>
      </c>
      <c r="BQ89" s="32" t="e">
        <f>IF(BN89&lt;Bewertung_Stammdaten!J$90,Bewertung_Stammdaten!I$90,IF(BN89&lt;Bewertung_Stammdaten!J$91,Bewertung_Stammdaten!I$91,IF(BN89&lt;Bewertung_Stammdaten!J$92,Bewertung_Stammdaten!I$92,IF(BN89&lt;Bewertung_Stammdaten!J$93,Bewertung_Stammdaten!I$93,IF(BN89&lt;Bewertung_Stammdaten!J$94,Bewertung_Stammdaten!I$94,IF(BN89&lt;Bewertung_Stammdaten!J$95,Bewertung_Stammdaten!I$95,IF(BN89&lt;Bewertung_Stammdaten!J$96,Bewertung_Stammdaten!I$96,IF(BN89&lt;Bewertung_Stammdaten!J$97,Bewertung_Stammdaten!I$97,IF(BN89&lt;Bewertung_Stammdaten!J$98,Bewertung_Stammdaten!I$98,Bewertung_Stammdaten!I$99)))))))))</f>
        <v>#N/A</v>
      </c>
    </row>
    <row r="90" spans="3:69" x14ac:dyDescent="0.25">
      <c r="C90" s="55" t="s">
        <v>297</v>
      </c>
      <c r="D90" s="32" t="e">
        <f t="shared" si="11"/>
        <v>#N/A</v>
      </c>
      <c r="E90" s="43"/>
      <c r="F90" s="66">
        <v>1</v>
      </c>
      <c r="G90" s="11" t="e">
        <f>VLOOKUP(A90,KGV!A$3:R$103,17,FALSE)</f>
        <v>#N/A</v>
      </c>
      <c r="H90" s="11" t="e">
        <f>VLOOKUP(A90,KGV!A$3:R$103,16,FALSE)</f>
        <v>#N/A</v>
      </c>
      <c r="I90" s="12" t="e">
        <f>VLOOKUP(A90,KGV!A$3:R$103,18,FALSE)</f>
        <v>#N/A</v>
      </c>
      <c r="J90" s="16" t="e">
        <f t="shared" si="12"/>
        <v>#N/A</v>
      </c>
      <c r="K90" s="12" t="e">
        <f t="shared" si="13"/>
        <v>#N/A</v>
      </c>
      <c r="L90" s="11" t="e">
        <f>VLOOKUP(A90,KBV!A$3:R$103,17,FALSE)</f>
        <v>#N/A</v>
      </c>
      <c r="M90" s="11" t="e">
        <f>VLOOKUP(A90,KBV!A$3:R$103,16,FALSE)</f>
        <v>#N/A</v>
      </c>
      <c r="N90" s="12" t="e">
        <f>VLOOKUP(A90,KBV!A$3:R$103,18,FALSE)</f>
        <v>#N/A</v>
      </c>
      <c r="O90" s="16" t="e">
        <f t="shared" si="20"/>
        <v>#N/A</v>
      </c>
      <c r="P90" s="12" t="e">
        <f t="shared" si="21"/>
        <v>#N/A</v>
      </c>
      <c r="Q90" s="32" t="e">
        <f>IF(F90=1,IF(I90&lt;Bewertung_Stammdaten!B$12,Bewertung_Stammdaten!A$12,IF(I90&lt;Bewertung_Stammdaten!B$13,Bewertung_Stammdaten!A$13,IF(I90&lt;Bewertung_Stammdaten!B$14,Bewertung_Stammdaten!A$14,IF(I90&lt;Bewertung_Stammdaten!B$15,Bewertung_Stammdaten!A$15,IF(I90&lt;Bewertung_Stammdaten!B$16,Bewertung_Stammdaten!A$16,IF(I90&lt;Bewertung_Stammdaten!B$17,Bewertung_Stammdaten!A$17,IF(I90&lt;Bewertung_Stammdaten!B$18,Bewertung_Stammdaten!A$18,IF(I90&lt;Bewertung_Stammdaten!B$19,Bewertung_Stammdaten!A$19,IF(I90&lt;Bewertung_Stammdaten!B$20,Bewertung_Stammdaten!A$20,Bewertung_Stammdaten!A$21))))))))),IF(N90&lt;Bewertung_Stammdaten!C$12,Bewertung_Stammdaten!A$12,IF(N90&lt;Bewertung_Stammdaten!C$13,Bewertung_Stammdaten!A$13,IF(N90&lt;Bewertung_Stammdaten!C$14,Bewertung_Stammdaten!A$14,IF(N90&lt;Bewertung_Stammdaten!C$15,Bewertung_Stammdaten!A$15,IF(N90&lt;Bewertung_Stammdaten!C$16,Bewertung_Stammdaten!A$16,IF(N90&lt;Bewertung_Stammdaten!C$17,Bewertung_Stammdaten!A$17,IF(N90&lt;Bewertung_Stammdaten!C$18,Bewertung_Stammdaten!A$18,IF(N90&lt;Bewertung_Stammdaten!C$19,Bewertung_Stammdaten!A$19,IF(N90&lt;Bewertung_Stammdaten!C$20,Bewertung_Stammdaten!A$20,Bewertung_Stammdaten!A$21))))))))))</f>
        <v>#N/A</v>
      </c>
      <c r="R90" s="32" t="e">
        <f>IF(F90=1,IF(K90&lt;Bewertung_Stammdaten!F$12,Bewertung_Stammdaten!E$12,IF(K90&lt;Bewertung_Stammdaten!F$13,Bewertung_Stammdaten!E$13,IF(K90&lt;Bewertung_Stammdaten!F$14,Bewertung_Stammdaten!E$14,IF(K90&lt;Bewertung_Stammdaten!F$15,Bewertung_Stammdaten!E$15,IF(K90&lt;Bewertung_Stammdaten!F$16,Bewertung_Stammdaten!E$16,IF(K90&lt;Bewertung_Stammdaten!F$17,Bewertung_Stammdaten!E$17,IF(K90&lt;Bewertung_Stammdaten!F$18,Bewertung_Stammdaten!E$18,IF(K90&lt;Bewertung_Stammdaten!F$19,Bewertung_Stammdaten!E$19,IF(K90&lt;Bewertung_Stammdaten!F$20,Bewertung_Stammdaten!E$20,Bewertung_Stammdaten!E$21))))))))),IF(P90&lt;Bewertung_Stammdaten!G$12,Bewertung_Stammdaten!E$12,IF(P90&lt;Bewertung_Stammdaten!G$13,Bewertung_Stammdaten!E$13,IF(P90&lt;Bewertung_Stammdaten!G$14,Bewertung_Stammdaten!E$14,IF(P90&lt;Bewertung_Stammdaten!G$15,Bewertung_Stammdaten!E$15,IF(P90&lt;Bewertung_Stammdaten!G$16,Bewertung_Stammdaten!E$16,IF(P90&lt;Bewertung_Stammdaten!G$17,Bewertung_Stammdaten!E$17,IF(P90&lt;Bewertung_Stammdaten!G$18,Bewertung_Stammdaten!E$18,IF(P90&lt;Bewertung_Stammdaten!G$19,Bewertung_Stammdaten!E$19,IF(P90&lt;Bewertung_Stammdaten!G$20,Bewertung_Stammdaten!E$20,Bewertung_Stammdaten!E$21))))))))))</f>
        <v>#N/A</v>
      </c>
      <c r="S90" s="43"/>
      <c r="T90" s="11" t="e">
        <f>VLOOKUP(A90,Buchwert_je_Aktie!A$3:AK$103,23,FALSE)</f>
        <v>#N/A</v>
      </c>
      <c r="U90" s="11" t="e">
        <f>VLOOKUP(A90,Buchwert_je_Aktie!A$3:AK$103,19,FALSE)</f>
        <v>#N/A</v>
      </c>
      <c r="V90" s="12" t="e">
        <f>VLOOKUP(A90,Buchwert_je_Aktie!A$3:AK$103,24,FALSE)</f>
        <v>#N/A</v>
      </c>
      <c r="W90" s="12" t="e">
        <f>VLOOKUP(A90,Buchwert_je_Aktie!A$3:AK$103,37,FALSE)</f>
        <v>#N/A</v>
      </c>
      <c r="X90" s="16" t="e">
        <f t="shared" si="14"/>
        <v>#N/A</v>
      </c>
      <c r="Y90" s="12" t="e">
        <f t="shared" si="15"/>
        <v>#N/A</v>
      </c>
      <c r="Z90" s="51" t="e">
        <f>IF(V90&lt;Bewertung_Stammdaten!B$25,Bewertung_Stammdaten!A$25,IF(V90&lt;Bewertung_Stammdaten!B$26,Bewertung_Stammdaten!A$26,IF(V90&lt;Bewertung_Stammdaten!B$27,Bewertung_Stammdaten!A$27,IF(V90&lt;Bewertung_Stammdaten!B$28,Bewertung_Stammdaten!A$28,IF(V90&lt;Bewertung_Stammdaten!B$29,Bewertung_Stammdaten!A$29,IF(V90&lt;Bewertung_Stammdaten!B$30,Bewertung_Stammdaten!A$30,IF(V90&lt;Bewertung_Stammdaten!B$31,Bewertung_Stammdaten!A$31,IF(V90&lt;Bewertung_Stammdaten!B$32,Bewertung_Stammdaten!A$32,IF(V90&lt;Bewertung_Stammdaten!B$33,Bewertung_Stammdaten!A$33,Bewertung_Stammdaten!A$34)))))))))</f>
        <v>#N/A</v>
      </c>
      <c r="AA90" s="51" t="e">
        <f>IF(W90&lt;Bewertung_Stammdaten!F$25,Bewertung_Stammdaten!E$25,IF(W90&lt;Bewertung_Stammdaten!F$26,Bewertung_Stammdaten!E$26,IF(W90&lt;Bewertung_Stammdaten!F$27,Bewertung_Stammdaten!E$27,IF(W90&lt;Bewertung_Stammdaten!F$28,Bewertung_Stammdaten!E$28,IF(W90&lt;Bewertung_Stammdaten!F$29,Bewertung_Stammdaten!E$29,IF(W90&lt;Bewertung_Stammdaten!F$30,Bewertung_Stammdaten!E$30,IF(W90&lt;Bewertung_Stammdaten!F$31,Bewertung_Stammdaten!E$31,IF(W90&lt;Bewertung_Stammdaten!F$32,Bewertung_Stammdaten!E$32,IF(W90&lt;Bewertung_Stammdaten!F$33,Bewertung_Stammdaten!E$33,Bewertung_Stammdaten!E$34)))))))))</f>
        <v>#N/A</v>
      </c>
      <c r="AB90" s="51" t="e">
        <f>IF(Y90&lt;Bewertung_Stammdaten!J$25,Bewertung_Stammdaten!I$25,IF(Y90&lt;Bewertung_Stammdaten!J$26,Bewertung_Stammdaten!I$26,IF(Y90&lt;Bewertung_Stammdaten!J$27,Bewertung_Stammdaten!I$27,IF(Y90&lt;Bewertung_Stammdaten!J$28,Bewertung_Stammdaten!I$28,IF(Y90&lt;Bewertung_Stammdaten!J$29,Bewertung_Stammdaten!I$29,IF(Y90&lt;Bewertung_Stammdaten!J$30,Bewertung_Stammdaten!I$30,IF(Y90&lt;Bewertung_Stammdaten!J$31,Bewertung_Stammdaten!I$31,IF(Y90&lt;Bewertung_Stammdaten!J$32,Bewertung_Stammdaten!I$32,IF(Y90&lt;Bewertung_Stammdaten!J$33,Bewertung_Stammdaten!I$33,Bewertung_Stammdaten!I$34)))))))))</f>
        <v>#N/A</v>
      </c>
      <c r="AC90" s="43"/>
      <c r="AD90" s="14" t="e">
        <f>VLOOKUP(A90,Ergebnis_je_Aktie_verwässert!A$3:AK$103,23,FALSE)</f>
        <v>#N/A</v>
      </c>
      <c r="AE90" s="14" t="e">
        <f>VLOOKUP(A90,Ergebnis_je_Aktie_verwässert!A$3:AK$103,19,FALSE)</f>
        <v>#N/A</v>
      </c>
      <c r="AF90" s="12" t="e">
        <f>VLOOKUP(A90,Ergebnis_je_Aktie_verwässert!A$3:AK$103,24,FALSE)</f>
        <v>#N/A</v>
      </c>
      <c r="AG90" s="40" t="e">
        <f>VLOOKUP(A90,Ergebnis_je_Aktie_verwässert!A$3:AK$103,37,FALSE)</f>
        <v>#N/A</v>
      </c>
      <c r="AH90" s="16" t="e">
        <f t="shared" si="16"/>
        <v>#N/A</v>
      </c>
      <c r="AI90" s="12" t="e">
        <f t="shared" si="17"/>
        <v>#N/A</v>
      </c>
      <c r="AJ90" s="32" t="e">
        <f>IF(AF90&lt;Bewertung_Stammdaten!B$38,Bewertung_Stammdaten!A$38,IF(AF90&lt;Bewertung_Stammdaten!B$39,Bewertung_Stammdaten!A$39,IF(AF90&lt;Bewertung_Stammdaten!B$40,Bewertung_Stammdaten!A$40,IF(AF90&lt;Bewertung_Stammdaten!B$41,Bewertung_Stammdaten!A$41,IF(AF90&lt;Bewertung_Stammdaten!B$42,Bewertung_Stammdaten!A$42,IF(AF90&lt;Bewertung_Stammdaten!B$43,Bewertung_Stammdaten!A$43,IF(AF90&lt;Bewertung_Stammdaten!B$44,Bewertung_Stammdaten!A$44,IF(AF90&lt;Bewertung_Stammdaten!B$45,Bewertung_Stammdaten!A$45,IF(AF90&lt;Bewertung_Stammdaten!B$46,Bewertung_Stammdaten!A$46,Bewertung_Stammdaten!A$47)))))))))</f>
        <v>#N/A</v>
      </c>
      <c r="AK90" s="32" t="e">
        <f>IF(AG90&lt;Bewertung_Stammdaten!F$38,Bewertung_Stammdaten!E$38,IF(AG90&lt;Bewertung_Stammdaten!F$39,Bewertung_Stammdaten!E$39,IF(AG90&lt;Bewertung_Stammdaten!F$40,Bewertung_Stammdaten!E$40,IF(AG90&lt;Bewertung_Stammdaten!F$41,Bewertung_Stammdaten!E$41,IF(AG90&lt;Bewertung_Stammdaten!F$42,Bewertung_Stammdaten!E$42,IF(AG90&lt;Bewertung_Stammdaten!F$43,Bewertung_Stammdaten!E$43,IF(AG90&lt;Bewertung_Stammdaten!F$44,Bewertung_Stammdaten!E$44,IF(AG90&lt;Bewertung_Stammdaten!F$45,Bewertung_Stammdaten!E$45,IF(AG90&lt;Bewertung_Stammdaten!F$46,Bewertung_Stammdaten!E$46,Bewertung_Stammdaten!E$47)))))))))</f>
        <v>#N/A</v>
      </c>
      <c r="AL90" s="32" t="e">
        <f>IF(AI90&lt;Bewertung_Stammdaten!J$38,Bewertung_Stammdaten!I$38,IF(AI90&lt;Bewertung_Stammdaten!J$39,Bewertung_Stammdaten!I$39,IF(AI90&lt;Bewertung_Stammdaten!J$40,Bewertung_Stammdaten!I$40,IF(AI90&lt;Bewertung_Stammdaten!J$41,Bewertung_Stammdaten!I$41,IF(AI90&lt;Bewertung_Stammdaten!J$42,Bewertung_Stammdaten!I$42,IF(AI90&lt;Bewertung_Stammdaten!J$43,Bewertung_Stammdaten!I$43,IF(AI90&lt;Bewertung_Stammdaten!J$44,Bewertung_Stammdaten!I$44,IF(AI90&lt;Bewertung_Stammdaten!J$45,Bewertung_Stammdaten!I$45,IF(AI90&lt;Bewertung_Stammdaten!J$46,Bewertung_Stammdaten!I$46,Bewertung_Stammdaten!I$47)))))))))</f>
        <v>#N/A</v>
      </c>
      <c r="AM90" s="43"/>
      <c r="AN90" s="14" t="e">
        <f>VLOOKUP(A90,Dividende_je_Aktie!A$3:AM$103,24,FALSE)</f>
        <v>#N/A</v>
      </c>
      <c r="AO90" s="14" t="e">
        <f>VLOOKUP(A90,Dividende_je_Aktie!A$3:AM$103,20,FALSE)</f>
        <v>#N/A</v>
      </c>
      <c r="AP90" s="12" t="e">
        <f>VLOOKUP(A90,Dividende_je_Aktie!A$3:AM$103,25,FALSE)</f>
        <v>#N/A</v>
      </c>
      <c r="AQ90" s="40" t="e">
        <f>VLOOKUP(A90,Dividende_je_Aktie!A$3:AM$103,39,FALSE)</f>
        <v>#N/A</v>
      </c>
      <c r="AR90" s="16" t="e">
        <f t="shared" si="18"/>
        <v>#N/A</v>
      </c>
      <c r="AS90" s="12" t="e">
        <f t="shared" si="19"/>
        <v>#N/A</v>
      </c>
      <c r="AT90" s="32" t="e">
        <f>IF(AP90&lt;Bewertung_Stammdaten!B$51,Bewertung_Stammdaten!A$51,IF(AP90&lt;Bewertung_Stammdaten!B$52,Bewertung_Stammdaten!A$52,IF(AP90&lt;Bewertung_Stammdaten!B$53,Bewertung_Stammdaten!A$53,IF(AP90&lt;Bewertung_Stammdaten!B$54,Bewertung_Stammdaten!A$54,IF(AP90&lt;Bewertung_Stammdaten!B$55,Bewertung_Stammdaten!A$55,IF(AP90&lt;Bewertung_Stammdaten!B$56,Bewertung_Stammdaten!A$56,IF(AP90&lt;Bewertung_Stammdaten!B$57,Bewertung_Stammdaten!A$57,IF(AP90&lt;Bewertung_Stammdaten!B$58,Bewertung_Stammdaten!A$58,IF(AP90&lt;Bewertung_Stammdaten!B$59,Bewertung_Stammdaten!A$59,Bewertung_Stammdaten!A$60)))))))))</f>
        <v>#N/A</v>
      </c>
      <c r="AU90" s="32" t="e">
        <f>IF(AQ90&lt;Bewertung_Stammdaten!F$51,Bewertung_Stammdaten!E$51,IF(AQ90&lt;Bewertung_Stammdaten!F$52,Bewertung_Stammdaten!E$52,IF(AQ90&lt;Bewertung_Stammdaten!F$53,Bewertung_Stammdaten!E$53,IF(AQ90&lt;Bewertung_Stammdaten!F$54,Bewertung_Stammdaten!E$54,IF(AQ90&lt;Bewertung_Stammdaten!F$55,Bewertung_Stammdaten!E$55,IF(AQ90&lt;Bewertung_Stammdaten!F$56,Bewertung_Stammdaten!E$56,IF(AQ90&lt;Bewertung_Stammdaten!F$57,Bewertung_Stammdaten!E$57,IF(AQ90&lt;Bewertung_Stammdaten!F$58,Bewertung_Stammdaten!E$58,IF(AQ90&lt;Bewertung_Stammdaten!F$59,Bewertung_Stammdaten!E$59,Bewertung_Stammdaten!E$60)))))))))</f>
        <v>#N/A</v>
      </c>
      <c r="AV90" s="32" t="e">
        <f>IF(AS90&lt;Bewertung_Stammdaten!J$51,Bewertung_Stammdaten!I$51,IF(AS90&lt;Bewertung_Stammdaten!J$52,Bewertung_Stammdaten!I$52,IF(AS90&lt;Bewertung_Stammdaten!J$53,Bewertung_Stammdaten!I$53,IF(AS90&lt;Bewertung_Stammdaten!J$54,Bewertung_Stammdaten!I$54,IF(AS90&lt;Bewertung_Stammdaten!J$55,Bewertung_Stammdaten!I$55,IF(AS90&lt;Bewertung_Stammdaten!J$56,Bewertung_Stammdaten!I$56,IF(AS90&lt;Bewertung_Stammdaten!J$57,Bewertung_Stammdaten!I$57,IF(AS90&lt;Bewertung_Stammdaten!J$58,Bewertung_Stammdaten!I$58,IF(AS90&lt;Bewertung_Stammdaten!J$59,Bewertung_Stammdaten!I$59,Bewertung_Stammdaten!I$60)))))))))</f>
        <v>#N/A</v>
      </c>
      <c r="AW90" s="43"/>
      <c r="AX90" s="12" t="e">
        <f>VLOOKUP(A90,Dividendenrendite!A$3:R$103,17,FALSE)</f>
        <v>#N/A</v>
      </c>
      <c r="AY90" s="12" t="e">
        <f>VLOOKUP(A90,Dividendenrendite!A$3:R$103,16,FALSE)</f>
        <v>#N/A</v>
      </c>
      <c r="AZ90" s="12" t="e">
        <f>VLOOKUP(A90,Dividendenrendite!A$3:R$103,18,FALSE)</f>
        <v>#N/A</v>
      </c>
      <c r="BA90" s="32" t="e">
        <f>IF(AX90&lt;Bewertung_Stammdaten!B$64,Bewertung_Stammdaten!A$64,IF(AX90&lt;Bewertung_Stammdaten!B$65,Bewertung_Stammdaten!A$65,IF(AX90&lt;Bewertung_Stammdaten!B$66,Bewertung_Stammdaten!A$66,IF(AX90&lt;Bewertung_Stammdaten!B$67,Bewertung_Stammdaten!A$67,IF(AX90&lt;Bewertung_Stammdaten!B$68,Bewertung_Stammdaten!A$68,IF(AX90&lt;Bewertung_Stammdaten!B$69,Bewertung_Stammdaten!A$69,IF(AX90&lt;Bewertung_Stammdaten!B$70,Bewertung_Stammdaten!A$70,IF(AX90&lt;Bewertung_Stammdaten!B$71,Bewertung_Stammdaten!A$71,IF(AX90&lt;Bewertung_Stammdaten!B$72,Bewertung_Stammdaten!A$72,Bewertung_Stammdaten!A$73)))))))))</f>
        <v>#N/A</v>
      </c>
      <c r="BB90" s="32" t="e">
        <f>IF(AY90&lt;Bewertung_Stammdaten!F$64,Bewertung_Stammdaten!E$64,IF(AY90&lt;Bewertung_Stammdaten!F$65,Bewertung_Stammdaten!E$65,IF(AY90&lt;Bewertung_Stammdaten!F$66,Bewertung_Stammdaten!E$66,IF(AY90&lt;Bewertung_Stammdaten!F$67,Bewertung_Stammdaten!E$67,IF(AY90&lt;Bewertung_Stammdaten!F$68,Bewertung_Stammdaten!E$68,IF(AY90&lt;Bewertung_Stammdaten!F$69,Bewertung_Stammdaten!E$69,IF(AY90&lt;Bewertung_Stammdaten!F$70,Bewertung_Stammdaten!E$70,IF(AY90&lt;Bewertung_Stammdaten!F$71,Bewertung_Stammdaten!E$71,IF(AY90&lt;Bewertung_Stammdaten!F$72,Bewertung_Stammdaten!E$72,Bewertung_Stammdaten!E$73)))))))))</f>
        <v>#N/A</v>
      </c>
      <c r="BC90" s="32" t="e">
        <f>IF(AZ90&lt;Bewertung_Stammdaten!J$64,Bewertung_Stammdaten!I$64,IF(AZ90&lt;Bewertung_Stammdaten!J$65,Bewertung_Stammdaten!I$65,IF(AZ90&lt;Bewertung_Stammdaten!J$66,Bewertung_Stammdaten!I$66,IF(AZ90&lt;Bewertung_Stammdaten!J$67,Bewertung_Stammdaten!I$67,IF(AZ90&lt;Bewertung_Stammdaten!J$68,Bewertung_Stammdaten!I$68,IF(AZ90&lt;Bewertung_Stammdaten!J$69,Bewertung_Stammdaten!I$69,IF(AZ90&lt;Bewertung_Stammdaten!J$70,Bewertung_Stammdaten!I$70,IF(AZ90&lt;Bewertung_Stammdaten!J$71,Bewertung_Stammdaten!I$71,IF(AZ90&lt;Bewertung_Stammdaten!J$72,Bewertung_Stammdaten!I$72,Bewertung_Stammdaten!I$73)))))))))</f>
        <v>#N/A</v>
      </c>
      <c r="BD90" s="43"/>
      <c r="BE90" s="12" t="e">
        <f>VLOOKUP(A90,Aktien_im_Umlauf_splitbereinigt!A$3:Z$103,26,FALSE)</f>
        <v>#N/A</v>
      </c>
      <c r="BF90" s="12" t="e">
        <f>VLOOKUP(A90,Aktien_im_Umlauf_splitbereinigt!A$3:Y$103,24,FALSE)</f>
        <v>#N/A</v>
      </c>
      <c r="BG90" s="12" t="e">
        <f>VLOOKUP(A90,Aktien_im_Umlauf_splitbereinigt!A$3:Y$103,25,FALSE)</f>
        <v>#N/A</v>
      </c>
      <c r="BH90" s="41" t="e">
        <f>IF(BE90&lt;Bewertung_Stammdaten!B$77,Bewertung_Stammdaten!A$77,IF(BE90&lt;Bewertung_Stammdaten!B$78,Bewertung_Stammdaten!A$78,IF(BE90&lt;Bewertung_Stammdaten!B$79,Bewertung_Stammdaten!A$79,IF(BE90&lt;Bewertung_Stammdaten!B$80,Bewertung_Stammdaten!A$80,IF(BE90&lt;Bewertung_Stammdaten!B$81,Bewertung_Stammdaten!A$81,IF(BE90&lt;Bewertung_Stammdaten!B$82,Bewertung_Stammdaten!A$82,IF(BE90&lt;Bewertung_Stammdaten!B$83,Bewertung_Stammdaten!A$83,IF(BE90&lt;Bewertung_Stammdaten!B$84,Bewertung_Stammdaten!A$84,IF(BE90&lt;Bewertung_Stammdaten!B$85,Bewertung_Stammdaten!A$85,Bewertung_Stammdaten!A$86)))))))))</f>
        <v>#N/A</v>
      </c>
      <c r="BI90" s="41" t="e">
        <f>IF(BF90&lt;Bewertung_Stammdaten!F$77,Bewertung_Stammdaten!E$77,IF(BF90&lt;Bewertung_Stammdaten!F$78,Bewertung_Stammdaten!E$78,IF(BF90&lt;Bewertung_Stammdaten!F$79,Bewertung_Stammdaten!E$79,IF(BF90&lt;Bewertung_Stammdaten!F$80,Bewertung_Stammdaten!E$80,IF(BF90&lt;Bewertung_Stammdaten!F$81,Bewertung_Stammdaten!E$81,IF(BF90&lt;Bewertung_Stammdaten!F$82,Bewertung_Stammdaten!E$82,IF(BF90&lt;Bewertung_Stammdaten!F$83,Bewertung_Stammdaten!E$83,IF(BF90&lt;Bewertung_Stammdaten!F$84,Bewertung_Stammdaten!E$84,IF(BF90&lt;Bewertung_Stammdaten!F$85,Bewertung_Stammdaten!E$85,Bewertung_Stammdaten!E$86)))))))))</f>
        <v>#N/A</v>
      </c>
      <c r="BJ90" s="41" t="e">
        <f>IF(BG90&lt;Bewertung_Stammdaten!J$77,Bewertung_Stammdaten!I$77,IF(BG90&lt;Bewertung_Stammdaten!J$78,Bewertung_Stammdaten!I$78,IF(BG90&lt;Bewertung_Stammdaten!J$79,Bewertung_Stammdaten!I$79,IF(BG90&lt;Bewertung_Stammdaten!J$80,Bewertung_Stammdaten!I$80,IF(BG90&lt;Bewertung_Stammdaten!J$81,Bewertung_Stammdaten!I$81,IF(BG90&lt;Bewertung_Stammdaten!J$82,Bewertung_Stammdaten!I$82,IF(BG90&lt;Bewertung_Stammdaten!J$83,Bewertung_Stammdaten!I$83,IF(BG90&lt;Bewertung_Stammdaten!J$84,Bewertung_Stammdaten!I$84,IF(BG90&lt;Bewertung_Stammdaten!J$85,Bewertung_Stammdaten!I$85,Bewertung_Stammdaten!I$86)))))))))</f>
        <v>#N/A</v>
      </c>
      <c r="BK90" s="43"/>
      <c r="BL90" s="12" t="e">
        <f>VLOOKUP(A90,Ausschüttungsquote!A$3:X$103,23,FALSE)</f>
        <v>#N/A</v>
      </c>
      <c r="BM90" s="12" t="e">
        <f>VLOOKUP(A90,Ausschüttungsquote!A$3:X$103,19,FALSE)</f>
        <v>#N/A</v>
      </c>
      <c r="BN90" s="12" t="e">
        <f>VLOOKUP(A90,Ausschüttungsquote!A$3:X$103,24,FALSE)</f>
        <v>#N/A</v>
      </c>
      <c r="BO90" s="32" t="e">
        <f>IF(BL90&lt;Bewertung_Stammdaten!B$90,Bewertung_Stammdaten!A$90,IF(BL90&lt;Bewertung_Stammdaten!B$91,Bewertung_Stammdaten!A$91,IF(BL90&lt;Bewertung_Stammdaten!B$92,Bewertung_Stammdaten!A$92,IF(BL90&lt;Bewertung_Stammdaten!B$93,Bewertung_Stammdaten!A$93,IF(BL90&lt;Bewertung_Stammdaten!B$94,Bewertung_Stammdaten!A$94,IF(BL90&lt;Bewertung_Stammdaten!B$95,Bewertung_Stammdaten!A$95,IF(BL90&lt;Bewertung_Stammdaten!B$96,Bewertung_Stammdaten!A$96,IF(BL90&lt;Bewertung_Stammdaten!B$97,Bewertung_Stammdaten!A$97,IF(BL90&lt;Bewertung_Stammdaten!B$98,Bewertung_Stammdaten!A$98,Bewertung_Stammdaten!A$99)))))))))</f>
        <v>#N/A</v>
      </c>
      <c r="BP90" s="41" t="e">
        <f>IF(BM90&lt;Bewertung_Stammdaten!F$90,Bewertung_Stammdaten!E$90,IF(BM90&lt;Bewertung_Stammdaten!F$91,Bewertung_Stammdaten!E$91,IF(BM90&lt;Bewertung_Stammdaten!F$92,Bewertung_Stammdaten!E$92,IF(BM90&lt;Bewertung_Stammdaten!F$93,Bewertung_Stammdaten!E$93,IF(BM90&lt;Bewertung_Stammdaten!F$94,Bewertung_Stammdaten!E$94,IF(BM90&lt;Bewertung_Stammdaten!F$95,Bewertung_Stammdaten!E$95,IF(BM90&lt;Bewertung_Stammdaten!F$96,Bewertung_Stammdaten!E$96,IF(BM90&lt;Bewertung_Stammdaten!F$97,Bewertung_Stammdaten!E$97,IF(BM90&lt;Bewertung_Stammdaten!F$98,Bewertung_Stammdaten!E$98,Bewertung_Stammdaten!E$99)))))))))</f>
        <v>#N/A</v>
      </c>
      <c r="BQ90" s="32" t="e">
        <f>IF(BN90&lt;Bewertung_Stammdaten!J$90,Bewertung_Stammdaten!I$90,IF(BN90&lt;Bewertung_Stammdaten!J$91,Bewertung_Stammdaten!I$91,IF(BN90&lt;Bewertung_Stammdaten!J$92,Bewertung_Stammdaten!I$92,IF(BN90&lt;Bewertung_Stammdaten!J$93,Bewertung_Stammdaten!I$93,IF(BN90&lt;Bewertung_Stammdaten!J$94,Bewertung_Stammdaten!I$94,IF(BN90&lt;Bewertung_Stammdaten!J$95,Bewertung_Stammdaten!I$95,IF(BN90&lt;Bewertung_Stammdaten!J$96,Bewertung_Stammdaten!I$96,IF(BN90&lt;Bewertung_Stammdaten!J$97,Bewertung_Stammdaten!I$97,IF(BN90&lt;Bewertung_Stammdaten!J$98,Bewertung_Stammdaten!I$98,Bewertung_Stammdaten!I$99)))))))))</f>
        <v>#N/A</v>
      </c>
    </row>
    <row r="91" spans="3:69" x14ac:dyDescent="0.25">
      <c r="C91" s="55" t="s">
        <v>297</v>
      </c>
      <c r="D91" s="32" t="e">
        <f t="shared" si="11"/>
        <v>#N/A</v>
      </c>
      <c r="E91" s="43"/>
      <c r="F91" s="66">
        <v>1</v>
      </c>
      <c r="G91" s="11" t="e">
        <f>VLOOKUP(A91,KGV!A$3:R$103,17,FALSE)</f>
        <v>#N/A</v>
      </c>
      <c r="H91" s="11" t="e">
        <f>VLOOKUP(A91,KGV!A$3:R$103,16,FALSE)</f>
        <v>#N/A</v>
      </c>
      <c r="I91" s="12" t="e">
        <f>VLOOKUP(A91,KGV!A$3:R$103,18,FALSE)</f>
        <v>#N/A</v>
      </c>
      <c r="J91" s="16" t="e">
        <f t="shared" si="12"/>
        <v>#N/A</v>
      </c>
      <c r="K91" s="12" t="e">
        <f t="shared" si="13"/>
        <v>#N/A</v>
      </c>
      <c r="L91" s="11" t="e">
        <f>VLOOKUP(A91,KBV!A$3:R$103,17,FALSE)</f>
        <v>#N/A</v>
      </c>
      <c r="M91" s="11" t="e">
        <f>VLOOKUP(A91,KBV!A$3:R$103,16,FALSE)</f>
        <v>#N/A</v>
      </c>
      <c r="N91" s="12" t="e">
        <f>VLOOKUP(A91,KBV!A$3:R$103,18,FALSE)</f>
        <v>#N/A</v>
      </c>
      <c r="O91" s="16" t="e">
        <f t="shared" si="20"/>
        <v>#N/A</v>
      </c>
      <c r="P91" s="12" t="e">
        <f t="shared" si="21"/>
        <v>#N/A</v>
      </c>
      <c r="Q91" s="32" t="e">
        <f>IF(F91=1,IF(I91&lt;Bewertung_Stammdaten!B$12,Bewertung_Stammdaten!A$12,IF(I91&lt;Bewertung_Stammdaten!B$13,Bewertung_Stammdaten!A$13,IF(I91&lt;Bewertung_Stammdaten!B$14,Bewertung_Stammdaten!A$14,IF(I91&lt;Bewertung_Stammdaten!B$15,Bewertung_Stammdaten!A$15,IF(I91&lt;Bewertung_Stammdaten!B$16,Bewertung_Stammdaten!A$16,IF(I91&lt;Bewertung_Stammdaten!B$17,Bewertung_Stammdaten!A$17,IF(I91&lt;Bewertung_Stammdaten!B$18,Bewertung_Stammdaten!A$18,IF(I91&lt;Bewertung_Stammdaten!B$19,Bewertung_Stammdaten!A$19,IF(I91&lt;Bewertung_Stammdaten!B$20,Bewertung_Stammdaten!A$20,Bewertung_Stammdaten!A$21))))))))),IF(N91&lt;Bewertung_Stammdaten!C$12,Bewertung_Stammdaten!A$12,IF(N91&lt;Bewertung_Stammdaten!C$13,Bewertung_Stammdaten!A$13,IF(N91&lt;Bewertung_Stammdaten!C$14,Bewertung_Stammdaten!A$14,IF(N91&lt;Bewertung_Stammdaten!C$15,Bewertung_Stammdaten!A$15,IF(N91&lt;Bewertung_Stammdaten!C$16,Bewertung_Stammdaten!A$16,IF(N91&lt;Bewertung_Stammdaten!C$17,Bewertung_Stammdaten!A$17,IF(N91&lt;Bewertung_Stammdaten!C$18,Bewertung_Stammdaten!A$18,IF(N91&lt;Bewertung_Stammdaten!C$19,Bewertung_Stammdaten!A$19,IF(N91&lt;Bewertung_Stammdaten!C$20,Bewertung_Stammdaten!A$20,Bewertung_Stammdaten!A$21))))))))))</f>
        <v>#N/A</v>
      </c>
      <c r="R91" s="32" t="e">
        <f>IF(F91=1,IF(K91&lt;Bewertung_Stammdaten!F$12,Bewertung_Stammdaten!E$12,IF(K91&lt;Bewertung_Stammdaten!F$13,Bewertung_Stammdaten!E$13,IF(K91&lt;Bewertung_Stammdaten!F$14,Bewertung_Stammdaten!E$14,IF(K91&lt;Bewertung_Stammdaten!F$15,Bewertung_Stammdaten!E$15,IF(K91&lt;Bewertung_Stammdaten!F$16,Bewertung_Stammdaten!E$16,IF(K91&lt;Bewertung_Stammdaten!F$17,Bewertung_Stammdaten!E$17,IF(K91&lt;Bewertung_Stammdaten!F$18,Bewertung_Stammdaten!E$18,IF(K91&lt;Bewertung_Stammdaten!F$19,Bewertung_Stammdaten!E$19,IF(K91&lt;Bewertung_Stammdaten!F$20,Bewertung_Stammdaten!E$20,Bewertung_Stammdaten!E$21))))))))),IF(P91&lt;Bewertung_Stammdaten!G$12,Bewertung_Stammdaten!E$12,IF(P91&lt;Bewertung_Stammdaten!G$13,Bewertung_Stammdaten!E$13,IF(P91&lt;Bewertung_Stammdaten!G$14,Bewertung_Stammdaten!E$14,IF(P91&lt;Bewertung_Stammdaten!G$15,Bewertung_Stammdaten!E$15,IF(P91&lt;Bewertung_Stammdaten!G$16,Bewertung_Stammdaten!E$16,IF(P91&lt;Bewertung_Stammdaten!G$17,Bewertung_Stammdaten!E$17,IF(P91&lt;Bewertung_Stammdaten!G$18,Bewertung_Stammdaten!E$18,IF(P91&lt;Bewertung_Stammdaten!G$19,Bewertung_Stammdaten!E$19,IF(P91&lt;Bewertung_Stammdaten!G$20,Bewertung_Stammdaten!E$20,Bewertung_Stammdaten!E$21))))))))))</f>
        <v>#N/A</v>
      </c>
      <c r="S91" s="43"/>
      <c r="T91" s="11" t="e">
        <f>VLOOKUP(A91,Buchwert_je_Aktie!A$3:AK$103,23,FALSE)</f>
        <v>#N/A</v>
      </c>
      <c r="U91" s="11" t="e">
        <f>VLOOKUP(A91,Buchwert_je_Aktie!A$3:AK$103,19,FALSE)</f>
        <v>#N/A</v>
      </c>
      <c r="V91" s="12" t="e">
        <f>VLOOKUP(A91,Buchwert_je_Aktie!A$3:AK$103,24,FALSE)</f>
        <v>#N/A</v>
      </c>
      <c r="W91" s="12" t="e">
        <f>VLOOKUP(A91,Buchwert_je_Aktie!A$3:AK$103,37,FALSE)</f>
        <v>#N/A</v>
      </c>
      <c r="X91" s="16" t="e">
        <f t="shared" si="14"/>
        <v>#N/A</v>
      </c>
      <c r="Y91" s="12" t="e">
        <f t="shared" si="15"/>
        <v>#N/A</v>
      </c>
      <c r="Z91" s="51" t="e">
        <f>IF(V91&lt;Bewertung_Stammdaten!B$25,Bewertung_Stammdaten!A$25,IF(V91&lt;Bewertung_Stammdaten!B$26,Bewertung_Stammdaten!A$26,IF(V91&lt;Bewertung_Stammdaten!B$27,Bewertung_Stammdaten!A$27,IF(V91&lt;Bewertung_Stammdaten!B$28,Bewertung_Stammdaten!A$28,IF(V91&lt;Bewertung_Stammdaten!B$29,Bewertung_Stammdaten!A$29,IF(V91&lt;Bewertung_Stammdaten!B$30,Bewertung_Stammdaten!A$30,IF(V91&lt;Bewertung_Stammdaten!B$31,Bewertung_Stammdaten!A$31,IF(V91&lt;Bewertung_Stammdaten!B$32,Bewertung_Stammdaten!A$32,IF(V91&lt;Bewertung_Stammdaten!B$33,Bewertung_Stammdaten!A$33,Bewertung_Stammdaten!A$34)))))))))</f>
        <v>#N/A</v>
      </c>
      <c r="AA91" s="51" t="e">
        <f>IF(W91&lt;Bewertung_Stammdaten!F$25,Bewertung_Stammdaten!E$25,IF(W91&lt;Bewertung_Stammdaten!F$26,Bewertung_Stammdaten!E$26,IF(W91&lt;Bewertung_Stammdaten!F$27,Bewertung_Stammdaten!E$27,IF(W91&lt;Bewertung_Stammdaten!F$28,Bewertung_Stammdaten!E$28,IF(W91&lt;Bewertung_Stammdaten!F$29,Bewertung_Stammdaten!E$29,IF(W91&lt;Bewertung_Stammdaten!F$30,Bewertung_Stammdaten!E$30,IF(W91&lt;Bewertung_Stammdaten!F$31,Bewertung_Stammdaten!E$31,IF(W91&lt;Bewertung_Stammdaten!F$32,Bewertung_Stammdaten!E$32,IF(W91&lt;Bewertung_Stammdaten!F$33,Bewertung_Stammdaten!E$33,Bewertung_Stammdaten!E$34)))))))))</f>
        <v>#N/A</v>
      </c>
      <c r="AB91" s="51" t="e">
        <f>IF(Y91&lt;Bewertung_Stammdaten!J$25,Bewertung_Stammdaten!I$25,IF(Y91&lt;Bewertung_Stammdaten!J$26,Bewertung_Stammdaten!I$26,IF(Y91&lt;Bewertung_Stammdaten!J$27,Bewertung_Stammdaten!I$27,IF(Y91&lt;Bewertung_Stammdaten!J$28,Bewertung_Stammdaten!I$28,IF(Y91&lt;Bewertung_Stammdaten!J$29,Bewertung_Stammdaten!I$29,IF(Y91&lt;Bewertung_Stammdaten!J$30,Bewertung_Stammdaten!I$30,IF(Y91&lt;Bewertung_Stammdaten!J$31,Bewertung_Stammdaten!I$31,IF(Y91&lt;Bewertung_Stammdaten!J$32,Bewertung_Stammdaten!I$32,IF(Y91&lt;Bewertung_Stammdaten!J$33,Bewertung_Stammdaten!I$33,Bewertung_Stammdaten!I$34)))))))))</f>
        <v>#N/A</v>
      </c>
      <c r="AC91" s="43"/>
      <c r="AD91" s="14" t="e">
        <f>VLOOKUP(A91,Ergebnis_je_Aktie_verwässert!A$3:AK$103,23,FALSE)</f>
        <v>#N/A</v>
      </c>
      <c r="AE91" s="14" t="e">
        <f>VLOOKUP(A91,Ergebnis_je_Aktie_verwässert!A$3:AK$103,19,FALSE)</f>
        <v>#N/A</v>
      </c>
      <c r="AF91" s="12" t="e">
        <f>VLOOKUP(A91,Ergebnis_je_Aktie_verwässert!A$3:AK$103,24,FALSE)</f>
        <v>#N/A</v>
      </c>
      <c r="AG91" s="40" t="e">
        <f>VLOOKUP(A91,Ergebnis_je_Aktie_verwässert!A$3:AK$103,37,FALSE)</f>
        <v>#N/A</v>
      </c>
      <c r="AH91" s="16" t="e">
        <f t="shared" si="16"/>
        <v>#N/A</v>
      </c>
      <c r="AI91" s="12" t="e">
        <f t="shared" si="17"/>
        <v>#N/A</v>
      </c>
      <c r="AJ91" s="32" t="e">
        <f>IF(AF91&lt;Bewertung_Stammdaten!B$38,Bewertung_Stammdaten!A$38,IF(AF91&lt;Bewertung_Stammdaten!B$39,Bewertung_Stammdaten!A$39,IF(AF91&lt;Bewertung_Stammdaten!B$40,Bewertung_Stammdaten!A$40,IF(AF91&lt;Bewertung_Stammdaten!B$41,Bewertung_Stammdaten!A$41,IF(AF91&lt;Bewertung_Stammdaten!B$42,Bewertung_Stammdaten!A$42,IF(AF91&lt;Bewertung_Stammdaten!B$43,Bewertung_Stammdaten!A$43,IF(AF91&lt;Bewertung_Stammdaten!B$44,Bewertung_Stammdaten!A$44,IF(AF91&lt;Bewertung_Stammdaten!B$45,Bewertung_Stammdaten!A$45,IF(AF91&lt;Bewertung_Stammdaten!B$46,Bewertung_Stammdaten!A$46,Bewertung_Stammdaten!A$47)))))))))</f>
        <v>#N/A</v>
      </c>
      <c r="AK91" s="32" t="e">
        <f>IF(AG91&lt;Bewertung_Stammdaten!F$38,Bewertung_Stammdaten!E$38,IF(AG91&lt;Bewertung_Stammdaten!F$39,Bewertung_Stammdaten!E$39,IF(AG91&lt;Bewertung_Stammdaten!F$40,Bewertung_Stammdaten!E$40,IF(AG91&lt;Bewertung_Stammdaten!F$41,Bewertung_Stammdaten!E$41,IF(AG91&lt;Bewertung_Stammdaten!F$42,Bewertung_Stammdaten!E$42,IF(AG91&lt;Bewertung_Stammdaten!F$43,Bewertung_Stammdaten!E$43,IF(AG91&lt;Bewertung_Stammdaten!F$44,Bewertung_Stammdaten!E$44,IF(AG91&lt;Bewertung_Stammdaten!F$45,Bewertung_Stammdaten!E$45,IF(AG91&lt;Bewertung_Stammdaten!F$46,Bewertung_Stammdaten!E$46,Bewertung_Stammdaten!E$47)))))))))</f>
        <v>#N/A</v>
      </c>
      <c r="AL91" s="32" t="e">
        <f>IF(AI91&lt;Bewertung_Stammdaten!J$38,Bewertung_Stammdaten!I$38,IF(AI91&lt;Bewertung_Stammdaten!J$39,Bewertung_Stammdaten!I$39,IF(AI91&lt;Bewertung_Stammdaten!J$40,Bewertung_Stammdaten!I$40,IF(AI91&lt;Bewertung_Stammdaten!J$41,Bewertung_Stammdaten!I$41,IF(AI91&lt;Bewertung_Stammdaten!J$42,Bewertung_Stammdaten!I$42,IF(AI91&lt;Bewertung_Stammdaten!J$43,Bewertung_Stammdaten!I$43,IF(AI91&lt;Bewertung_Stammdaten!J$44,Bewertung_Stammdaten!I$44,IF(AI91&lt;Bewertung_Stammdaten!J$45,Bewertung_Stammdaten!I$45,IF(AI91&lt;Bewertung_Stammdaten!J$46,Bewertung_Stammdaten!I$46,Bewertung_Stammdaten!I$47)))))))))</f>
        <v>#N/A</v>
      </c>
      <c r="AM91" s="43"/>
      <c r="AN91" s="14" t="e">
        <f>VLOOKUP(A91,Dividende_je_Aktie!A$3:AM$103,24,FALSE)</f>
        <v>#N/A</v>
      </c>
      <c r="AO91" s="14" t="e">
        <f>VLOOKUP(A91,Dividende_je_Aktie!A$3:AM$103,20,FALSE)</f>
        <v>#N/A</v>
      </c>
      <c r="AP91" s="12" t="e">
        <f>VLOOKUP(A91,Dividende_je_Aktie!A$3:AM$103,25,FALSE)</f>
        <v>#N/A</v>
      </c>
      <c r="AQ91" s="40" t="e">
        <f>VLOOKUP(A91,Dividende_je_Aktie!A$3:AM$103,39,FALSE)</f>
        <v>#N/A</v>
      </c>
      <c r="AR91" s="16" t="e">
        <f t="shared" si="18"/>
        <v>#N/A</v>
      </c>
      <c r="AS91" s="12" t="e">
        <f t="shared" si="19"/>
        <v>#N/A</v>
      </c>
      <c r="AT91" s="32" t="e">
        <f>IF(AP91&lt;Bewertung_Stammdaten!B$51,Bewertung_Stammdaten!A$51,IF(AP91&lt;Bewertung_Stammdaten!B$52,Bewertung_Stammdaten!A$52,IF(AP91&lt;Bewertung_Stammdaten!B$53,Bewertung_Stammdaten!A$53,IF(AP91&lt;Bewertung_Stammdaten!B$54,Bewertung_Stammdaten!A$54,IF(AP91&lt;Bewertung_Stammdaten!B$55,Bewertung_Stammdaten!A$55,IF(AP91&lt;Bewertung_Stammdaten!B$56,Bewertung_Stammdaten!A$56,IF(AP91&lt;Bewertung_Stammdaten!B$57,Bewertung_Stammdaten!A$57,IF(AP91&lt;Bewertung_Stammdaten!B$58,Bewertung_Stammdaten!A$58,IF(AP91&lt;Bewertung_Stammdaten!B$59,Bewertung_Stammdaten!A$59,Bewertung_Stammdaten!A$60)))))))))</f>
        <v>#N/A</v>
      </c>
      <c r="AU91" s="32" t="e">
        <f>IF(AQ91&lt;Bewertung_Stammdaten!F$51,Bewertung_Stammdaten!E$51,IF(AQ91&lt;Bewertung_Stammdaten!F$52,Bewertung_Stammdaten!E$52,IF(AQ91&lt;Bewertung_Stammdaten!F$53,Bewertung_Stammdaten!E$53,IF(AQ91&lt;Bewertung_Stammdaten!F$54,Bewertung_Stammdaten!E$54,IF(AQ91&lt;Bewertung_Stammdaten!F$55,Bewertung_Stammdaten!E$55,IF(AQ91&lt;Bewertung_Stammdaten!F$56,Bewertung_Stammdaten!E$56,IF(AQ91&lt;Bewertung_Stammdaten!F$57,Bewertung_Stammdaten!E$57,IF(AQ91&lt;Bewertung_Stammdaten!F$58,Bewertung_Stammdaten!E$58,IF(AQ91&lt;Bewertung_Stammdaten!F$59,Bewertung_Stammdaten!E$59,Bewertung_Stammdaten!E$60)))))))))</f>
        <v>#N/A</v>
      </c>
      <c r="AV91" s="32" t="e">
        <f>IF(AS91&lt;Bewertung_Stammdaten!J$51,Bewertung_Stammdaten!I$51,IF(AS91&lt;Bewertung_Stammdaten!J$52,Bewertung_Stammdaten!I$52,IF(AS91&lt;Bewertung_Stammdaten!J$53,Bewertung_Stammdaten!I$53,IF(AS91&lt;Bewertung_Stammdaten!J$54,Bewertung_Stammdaten!I$54,IF(AS91&lt;Bewertung_Stammdaten!J$55,Bewertung_Stammdaten!I$55,IF(AS91&lt;Bewertung_Stammdaten!J$56,Bewertung_Stammdaten!I$56,IF(AS91&lt;Bewertung_Stammdaten!J$57,Bewertung_Stammdaten!I$57,IF(AS91&lt;Bewertung_Stammdaten!J$58,Bewertung_Stammdaten!I$58,IF(AS91&lt;Bewertung_Stammdaten!J$59,Bewertung_Stammdaten!I$59,Bewertung_Stammdaten!I$60)))))))))</f>
        <v>#N/A</v>
      </c>
      <c r="AW91" s="43"/>
      <c r="AX91" s="12" t="e">
        <f>VLOOKUP(A91,Dividendenrendite!A$3:R$103,17,FALSE)</f>
        <v>#N/A</v>
      </c>
      <c r="AY91" s="12" t="e">
        <f>VLOOKUP(A91,Dividendenrendite!A$3:R$103,16,FALSE)</f>
        <v>#N/A</v>
      </c>
      <c r="AZ91" s="12" t="e">
        <f>VLOOKUP(A91,Dividendenrendite!A$3:R$103,18,FALSE)</f>
        <v>#N/A</v>
      </c>
      <c r="BA91" s="32" t="e">
        <f>IF(AX91&lt;Bewertung_Stammdaten!B$64,Bewertung_Stammdaten!A$64,IF(AX91&lt;Bewertung_Stammdaten!B$65,Bewertung_Stammdaten!A$65,IF(AX91&lt;Bewertung_Stammdaten!B$66,Bewertung_Stammdaten!A$66,IF(AX91&lt;Bewertung_Stammdaten!B$67,Bewertung_Stammdaten!A$67,IF(AX91&lt;Bewertung_Stammdaten!B$68,Bewertung_Stammdaten!A$68,IF(AX91&lt;Bewertung_Stammdaten!B$69,Bewertung_Stammdaten!A$69,IF(AX91&lt;Bewertung_Stammdaten!B$70,Bewertung_Stammdaten!A$70,IF(AX91&lt;Bewertung_Stammdaten!B$71,Bewertung_Stammdaten!A$71,IF(AX91&lt;Bewertung_Stammdaten!B$72,Bewertung_Stammdaten!A$72,Bewertung_Stammdaten!A$73)))))))))</f>
        <v>#N/A</v>
      </c>
      <c r="BB91" s="32" t="e">
        <f>IF(AY91&lt;Bewertung_Stammdaten!F$64,Bewertung_Stammdaten!E$64,IF(AY91&lt;Bewertung_Stammdaten!F$65,Bewertung_Stammdaten!E$65,IF(AY91&lt;Bewertung_Stammdaten!F$66,Bewertung_Stammdaten!E$66,IF(AY91&lt;Bewertung_Stammdaten!F$67,Bewertung_Stammdaten!E$67,IF(AY91&lt;Bewertung_Stammdaten!F$68,Bewertung_Stammdaten!E$68,IF(AY91&lt;Bewertung_Stammdaten!F$69,Bewertung_Stammdaten!E$69,IF(AY91&lt;Bewertung_Stammdaten!F$70,Bewertung_Stammdaten!E$70,IF(AY91&lt;Bewertung_Stammdaten!F$71,Bewertung_Stammdaten!E$71,IF(AY91&lt;Bewertung_Stammdaten!F$72,Bewertung_Stammdaten!E$72,Bewertung_Stammdaten!E$73)))))))))</f>
        <v>#N/A</v>
      </c>
      <c r="BC91" s="32" t="e">
        <f>IF(AZ91&lt;Bewertung_Stammdaten!J$64,Bewertung_Stammdaten!I$64,IF(AZ91&lt;Bewertung_Stammdaten!J$65,Bewertung_Stammdaten!I$65,IF(AZ91&lt;Bewertung_Stammdaten!J$66,Bewertung_Stammdaten!I$66,IF(AZ91&lt;Bewertung_Stammdaten!J$67,Bewertung_Stammdaten!I$67,IF(AZ91&lt;Bewertung_Stammdaten!J$68,Bewertung_Stammdaten!I$68,IF(AZ91&lt;Bewertung_Stammdaten!J$69,Bewertung_Stammdaten!I$69,IF(AZ91&lt;Bewertung_Stammdaten!J$70,Bewertung_Stammdaten!I$70,IF(AZ91&lt;Bewertung_Stammdaten!J$71,Bewertung_Stammdaten!I$71,IF(AZ91&lt;Bewertung_Stammdaten!J$72,Bewertung_Stammdaten!I$72,Bewertung_Stammdaten!I$73)))))))))</f>
        <v>#N/A</v>
      </c>
      <c r="BD91" s="43"/>
      <c r="BE91" s="12" t="e">
        <f>VLOOKUP(A91,Aktien_im_Umlauf_splitbereinigt!A$3:Z$103,26,FALSE)</f>
        <v>#N/A</v>
      </c>
      <c r="BF91" s="12" t="e">
        <f>VLOOKUP(A91,Aktien_im_Umlauf_splitbereinigt!A$3:Y$103,24,FALSE)</f>
        <v>#N/A</v>
      </c>
      <c r="BG91" s="12" t="e">
        <f>VLOOKUP(A91,Aktien_im_Umlauf_splitbereinigt!A$3:Y$103,25,FALSE)</f>
        <v>#N/A</v>
      </c>
      <c r="BH91" s="41" t="e">
        <f>IF(BE91&lt;Bewertung_Stammdaten!B$77,Bewertung_Stammdaten!A$77,IF(BE91&lt;Bewertung_Stammdaten!B$78,Bewertung_Stammdaten!A$78,IF(BE91&lt;Bewertung_Stammdaten!B$79,Bewertung_Stammdaten!A$79,IF(BE91&lt;Bewertung_Stammdaten!B$80,Bewertung_Stammdaten!A$80,IF(BE91&lt;Bewertung_Stammdaten!B$81,Bewertung_Stammdaten!A$81,IF(BE91&lt;Bewertung_Stammdaten!B$82,Bewertung_Stammdaten!A$82,IF(BE91&lt;Bewertung_Stammdaten!B$83,Bewertung_Stammdaten!A$83,IF(BE91&lt;Bewertung_Stammdaten!B$84,Bewertung_Stammdaten!A$84,IF(BE91&lt;Bewertung_Stammdaten!B$85,Bewertung_Stammdaten!A$85,Bewertung_Stammdaten!A$86)))))))))</f>
        <v>#N/A</v>
      </c>
      <c r="BI91" s="41" t="e">
        <f>IF(BF91&lt;Bewertung_Stammdaten!F$77,Bewertung_Stammdaten!E$77,IF(BF91&lt;Bewertung_Stammdaten!F$78,Bewertung_Stammdaten!E$78,IF(BF91&lt;Bewertung_Stammdaten!F$79,Bewertung_Stammdaten!E$79,IF(BF91&lt;Bewertung_Stammdaten!F$80,Bewertung_Stammdaten!E$80,IF(BF91&lt;Bewertung_Stammdaten!F$81,Bewertung_Stammdaten!E$81,IF(BF91&lt;Bewertung_Stammdaten!F$82,Bewertung_Stammdaten!E$82,IF(BF91&lt;Bewertung_Stammdaten!F$83,Bewertung_Stammdaten!E$83,IF(BF91&lt;Bewertung_Stammdaten!F$84,Bewertung_Stammdaten!E$84,IF(BF91&lt;Bewertung_Stammdaten!F$85,Bewertung_Stammdaten!E$85,Bewertung_Stammdaten!E$86)))))))))</f>
        <v>#N/A</v>
      </c>
      <c r="BJ91" s="41" t="e">
        <f>IF(BG91&lt;Bewertung_Stammdaten!J$77,Bewertung_Stammdaten!I$77,IF(BG91&lt;Bewertung_Stammdaten!J$78,Bewertung_Stammdaten!I$78,IF(BG91&lt;Bewertung_Stammdaten!J$79,Bewertung_Stammdaten!I$79,IF(BG91&lt;Bewertung_Stammdaten!J$80,Bewertung_Stammdaten!I$80,IF(BG91&lt;Bewertung_Stammdaten!J$81,Bewertung_Stammdaten!I$81,IF(BG91&lt;Bewertung_Stammdaten!J$82,Bewertung_Stammdaten!I$82,IF(BG91&lt;Bewertung_Stammdaten!J$83,Bewertung_Stammdaten!I$83,IF(BG91&lt;Bewertung_Stammdaten!J$84,Bewertung_Stammdaten!I$84,IF(BG91&lt;Bewertung_Stammdaten!J$85,Bewertung_Stammdaten!I$85,Bewertung_Stammdaten!I$86)))))))))</f>
        <v>#N/A</v>
      </c>
      <c r="BK91" s="43"/>
      <c r="BL91" s="12" t="e">
        <f>VLOOKUP(A91,Ausschüttungsquote!A$3:X$103,23,FALSE)</f>
        <v>#N/A</v>
      </c>
      <c r="BM91" s="12" t="e">
        <f>VLOOKUP(A91,Ausschüttungsquote!A$3:X$103,19,FALSE)</f>
        <v>#N/A</v>
      </c>
      <c r="BN91" s="12" t="e">
        <f>VLOOKUP(A91,Ausschüttungsquote!A$3:X$103,24,FALSE)</f>
        <v>#N/A</v>
      </c>
      <c r="BO91" s="32" t="e">
        <f>IF(BL91&lt;Bewertung_Stammdaten!B$90,Bewertung_Stammdaten!A$90,IF(BL91&lt;Bewertung_Stammdaten!B$91,Bewertung_Stammdaten!A$91,IF(BL91&lt;Bewertung_Stammdaten!B$92,Bewertung_Stammdaten!A$92,IF(BL91&lt;Bewertung_Stammdaten!B$93,Bewertung_Stammdaten!A$93,IF(BL91&lt;Bewertung_Stammdaten!B$94,Bewertung_Stammdaten!A$94,IF(BL91&lt;Bewertung_Stammdaten!B$95,Bewertung_Stammdaten!A$95,IF(BL91&lt;Bewertung_Stammdaten!B$96,Bewertung_Stammdaten!A$96,IF(BL91&lt;Bewertung_Stammdaten!B$97,Bewertung_Stammdaten!A$97,IF(BL91&lt;Bewertung_Stammdaten!B$98,Bewertung_Stammdaten!A$98,Bewertung_Stammdaten!A$99)))))))))</f>
        <v>#N/A</v>
      </c>
      <c r="BP91" s="41" t="e">
        <f>IF(BM91&lt;Bewertung_Stammdaten!F$90,Bewertung_Stammdaten!E$90,IF(BM91&lt;Bewertung_Stammdaten!F$91,Bewertung_Stammdaten!E$91,IF(BM91&lt;Bewertung_Stammdaten!F$92,Bewertung_Stammdaten!E$92,IF(BM91&lt;Bewertung_Stammdaten!F$93,Bewertung_Stammdaten!E$93,IF(BM91&lt;Bewertung_Stammdaten!F$94,Bewertung_Stammdaten!E$94,IF(BM91&lt;Bewertung_Stammdaten!F$95,Bewertung_Stammdaten!E$95,IF(BM91&lt;Bewertung_Stammdaten!F$96,Bewertung_Stammdaten!E$96,IF(BM91&lt;Bewertung_Stammdaten!F$97,Bewertung_Stammdaten!E$97,IF(BM91&lt;Bewertung_Stammdaten!F$98,Bewertung_Stammdaten!E$98,Bewertung_Stammdaten!E$99)))))))))</f>
        <v>#N/A</v>
      </c>
      <c r="BQ91" s="32" t="e">
        <f>IF(BN91&lt;Bewertung_Stammdaten!J$90,Bewertung_Stammdaten!I$90,IF(BN91&lt;Bewertung_Stammdaten!J$91,Bewertung_Stammdaten!I$91,IF(BN91&lt;Bewertung_Stammdaten!J$92,Bewertung_Stammdaten!I$92,IF(BN91&lt;Bewertung_Stammdaten!J$93,Bewertung_Stammdaten!I$93,IF(BN91&lt;Bewertung_Stammdaten!J$94,Bewertung_Stammdaten!I$94,IF(BN91&lt;Bewertung_Stammdaten!J$95,Bewertung_Stammdaten!I$95,IF(BN91&lt;Bewertung_Stammdaten!J$96,Bewertung_Stammdaten!I$96,IF(BN91&lt;Bewertung_Stammdaten!J$97,Bewertung_Stammdaten!I$97,IF(BN91&lt;Bewertung_Stammdaten!J$98,Bewertung_Stammdaten!I$98,Bewertung_Stammdaten!I$99)))))))))</f>
        <v>#N/A</v>
      </c>
    </row>
    <row r="92" spans="3:69" x14ac:dyDescent="0.25">
      <c r="C92" s="55" t="s">
        <v>297</v>
      </c>
      <c r="D92" s="32" t="e">
        <f t="shared" si="11"/>
        <v>#N/A</v>
      </c>
      <c r="E92" s="43"/>
      <c r="F92" s="66">
        <v>1</v>
      </c>
      <c r="G92" s="11" t="e">
        <f>VLOOKUP(A92,KGV!A$3:R$103,17,FALSE)</f>
        <v>#N/A</v>
      </c>
      <c r="H92" s="11" t="e">
        <f>VLOOKUP(A92,KGV!A$3:R$103,16,FALSE)</f>
        <v>#N/A</v>
      </c>
      <c r="I92" s="12" t="e">
        <f>VLOOKUP(A92,KGV!A$3:R$103,18,FALSE)</f>
        <v>#N/A</v>
      </c>
      <c r="J92" s="16" t="e">
        <f t="shared" si="12"/>
        <v>#N/A</v>
      </c>
      <c r="K92" s="12" t="e">
        <f t="shared" si="13"/>
        <v>#N/A</v>
      </c>
      <c r="L92" s="11" t="e">
        <f>VLOOKUP(A92,KBV!A$3:R$103,17,FALSE)</f>
        <v>#N/A</v>
      </c>
      <c r="M92" s="11" t="e">
        <f>VLOOKUP(A92,KBV!A$3:R$103,16,FALSE)</f>
        <v>#N/A</v>
      </c>
      <c r="N92" s="12" t="e">
        <f>VLOOKUP(A92,KBV!A$3:R$103,18,FALSE)</f>
        <v>#N/A</v>
      </c>
      <c r="O92" s="16" t="e">
        <f t="shared" si="20"/>
        <v>#N/A</v>
      </c>
      <c r="P92" s="12" t="e">
        <f t="shared" si="21"/>
        <v>#N/A</v>
      </c>
      <c r="Q92" s="32" t="e">
        <f>IF(F92=1,IF(I92&lt;Bewertung_Stammdaten!B$12,Bewertung_Stammdaten!A$12,IF(I92&lt;Bewertung_Stammdaten!B$13,Bewertung_Stammdaten!A$13,IF(I92&lt;Bewertung_Stammdaten!B$14,Bewertung_Stammdaten!A$14,IF(I92&lt;Bewertung_Stammdaten!B$15,Bewertung_Stammdaten!A$15,IF(I92&lt;Bewertung_Stammdaten!B$16,Bewertung_Stammdaten!A$16,IF(I92&lt;Bewertung_Stammdaten!B$17,Bewertung_Stammdaten!A$17,IF(I92&lt;Bewertung_Stammdaten!B$18,Bewertung_Stammdaten!A$18,IF(I92&lt;Bewertung_Stammdaten!B$19,Bewertung_Stammdaten!A$19,IF(I92&lt;Bewertung_Stammdaten!B$20,Bewertung_Stammdaten!A$20,Bewertung_Stammdaten!A$21))))))))),IF(N92&lt;Bewertung_Stammdaten!C$12,Bewertung_Stammdaten!A$12,IF(N92&lt;Bewertung_Stammdaten!C$13,Bewertung_Stammdaten!A$13,IF(N92&lt;Bewertung_Stammdaten!C$14,Bewertung_Stammdaten!A$14,IF(N92&lt;Bewertung_Stammdaten!C$15,Bewertung_Stammdaten!A$15,IF(N92&lt;Bewertung_Stammdaten!C$16,Bewertung_Stammdaten!A$16,IF(N92&lt;Bewertung_Stammdaten!C$17,Bewertung_Stammdaten!A$17,IF(N92&lt;Bewertung_Stammdaten!C$18,Bewertung_Stammdaten!A$18,IF(N92&lt;Bewertung_Stammdaten!C$19,Bewertung_Stammdaten!A$19,IF(N92&lt;Bewertung_Stammdaten!C$20,Bewertung_Stammdaten!A$20,Bewertung_Stammdaten!A$21))))))))))</f>
        <v>#N/A</v>
      </c>
      <c r="R92" s="32" t="e">
        <f>IF(F92=1,IF(K92&lt;Bewertung_Stammdaten!F$12,Bewertung_Stammdaten!E$12,IF(K92&lt;Bewertung_Stammdaten!F$13,Bewertung_Stammdaten!E$13,IF(K92&lt;Bewertung_Stammdaten!F$14,Bewertung_Stammdaten!E$14,IF(K92&lt;Bewertung_Stammdaten!F$15,Bewertung_Stammdaten!E$15,IF(K92&lt;Bewertung_Stammdaten!F$16,Bewertung_Stammdaten!E$16,IF(K92&lt;Bewertung_Stammdaten!F$17,Bewertung_Stammdaten!E$17,IF(K92&lt;Bewertung_Stammdaten!F$18,Bewertung_Stammdaten!E$18,IF(K92&lt;Bewertung_Stammdaten!F$19,Bewertung_Stammdaten!E$19,IF(K92&lt;Bewertung_Stammdaten!F$20,Bewertung_Stammdaten!E$20,Bewertung_Stammdaten!E$21))))))))),IF(P92&lt;Bewertung_Stammdaten!G$12,Bewertung_Stammdaten!E$12,IF(P92&lt;Bewertung_Stammdaten!G$13,Bewertung_Stammdaten!E$13,IF(P92&lt;Bewertung_Stammdaten!G$14,Bewertung_Stammdaten!E$14,IF(P92&lt;Bewertung_Stammdaten!G$15,Bewertung_Stammdaten!E$15,IF(P92&lt;Bewertung_Stammdaten!G$16,Bewertung_Stammdaten!E$16,IF(P92&lt;Bewertung_Stammdaten!G$17,Bewertung_Stammdaten!E$17,IF(P92&lt;Bewertung_Stammdaten!G$18,Bewertung_Stammdaten!E$18,IF(P92&lt;Bewertung_Stammdaten!G$19,Bewertung_Stammdaten!E$19,IF(P92&lt;Bewertung_Stammdaten!G$20,Bewertung_Stammdaten!E$20,Bewertung_Stammdaten!E$21))))))))))</f>
        <v>#N/A</v>
      </c>
      <c r="S92" s="43"/>
      <c r="T92" s="11" t="e">
        <f>VLOOKUP(A92,Buchwert_je_Aktie!A$3:AK$103,23,FALSE)</f>
        <v>#N/A</v>
      </c>
      <c r="U92" s="11" t="e">
        <f>VLOOKUP(A92,Buchwert_je_Aktie!A$3:AK$103,19,FALSE)</f>
        <v>#N/A</v>
      </c>
      <c r="V92" s="12" t="e">
        <f>VLOOKUP(A92,Buchwert_je_Aktie!A$3:AK$103,24,FALSE)</f>
        <v>#N/A</v>
      </c>
      <c r="W92" s="12" t="e">
        <f>VLOOKUP(A92,Buchwert_je_Aktie!A$3:AK$103,37,FALSE)</f>
        <v>#N/A</v>
      </c>
      <c r="X92" s="16" t="e">
        <f t="shared" si="14"/>
        <v>#N/A</v>
      </c>
      <c r="Y92" s="12" t="e">
        <f t="shared" si="15"/>
        <v>#N/A</v>
      </c>
      <c r="Z92" s="51" t="e">
        <f>IF(V92&lt;Bewertung_Stammdaten!B$25,Bewertung_Stammdaten!A$25,IF(V92&lt;Bewertung_Stammdaten!B$26,Bewertung_Stammdaten!A$26,IF(V92&lt;Bewertung_Stammdaten!B$27,Bewertung_Stammdaten!A$27,IF(V92&lt;Bewertung_Stammdaten!B$28,Bewertung_Stammdaten!A$28,IF(V92&lt;Bewertung_Stammdaten!B$29,Bewertung_Stammdaten!A$29,IF(V92&lt;Bewertung_Stammdaten!B$30,Bewertung_Stammdaten!A$30,IF(V92&lt;Bewertung_Stammdaten!B$31,Bewertung_Stammdaten!A$31,IF(V92&lt;Bewertung_Stammdaten!B$32,Bewertung_Stammdaten!A$32,IF(V92&lt;Bewertung_Stammdaten!B$33,Bewertung_Stammdaten!A$33,Bewertung_Stammdaten!A$34)))))))))</f>
        <v>#N/A</v>
      </c>
      <c r="AA92" s="51" t="e">
        <f>IF(W92&lt;Bewertung_Stammdaten!F$25,Bewertung_Stammdaten!E$25,IF(W92&lt;Bewertung_Stammdaten!F$26,Bewertung_Stammdaten!E$26,IF(W92&lt;Bewertung_Stammdaten!F$27,Bewertung_Stammdaten!E$27,IF(W92&lt;Bewertung_Stammdaten!F$28,Bewertung_Stammdaten!E$28,IF(W92&lt;Bewertung_Stammdaten!F$29,Bewertung_Stammdaten!E$29,IF(W92&lt;Bewertung_Stammdaten!F$30,Bewertung_Stammdaten!E$30,IF(W92&lt;Bewertung_Stammdaten!F$31,Bewertung_Stammdaten!E$31,IF(W92&lt;Bewertung_Stammdaten!F$32,Bewertung_Stammdaten!E$32,IF(W92&lt;Bewertung_Stammdaten!F$33,Bewertung_Stammdaten!E$33,Bewertung_Stammdaten!E$34)))))))))</f>
        <v>#N/A</v>
      </c>
      <c r="AB92" s="51" t="e">
        <f>IF(Y92&lt;Bewertung_Stammdaten!J$25,Bewertung_Stammdaten!I$25,IF(Y92&lt;Bewertung_Stammdaten!J$26,Bewertung_Stammdaten!I$26,IF(Y92&lt;Bewertung_Stammdaten!J$27,Bewertung_Stammdaten!I$27,IF(Y92&lt;Bewertung_Stammdaten!J$28,Bewertung_Stammdaten!I$28,IF(Y92&lt;Bewertung_Stammdaten!J$29,Bewertung_Stammdaten!I$29,IF(Y92&lt;Bewertung_Stammdaten!J$30,Bewertung_Stammdaten!I$30,IF(Y92&lt;Bewertung_Stammdaten!J$31,Bewertung_Stammdaten!I$31,IF(Y92&lt;Bewertung_Stammdaten!J$32,Bewertung_Stammdaten!I$32,IF(Y92&lt;Bewertung_Stammdaten!J$33,Bewertung_Stammdaten!I$33,Bewertung_Stammdaten!I$34)))))))))</f>
        <v>#N/A</v>
      </c>
      <c r="AC92" s="43"/>
      <c r="AD92" s="14" t="e">
        <f>VLOOKUP(A92,Ergebnis_je_Aktie_verwässert!A$3:AK$103,23,FALSE)</f>
        <v>#N/A</v>
      </c>
      <c r="AE92" s="14" t="e">
        <f>VLOOKUP(A92,Ergebnis_je_Aktie_verwässert!A$3:AK$103,19,FALSE)</f>
        <v>#N/A</v>
      </c>
      <c r="AF92" s="12" t="e">
        <f>VLOOKUP(A92,Ergebnis_je_Aktie_verwässert!A$3:AK$103,24,FALSE)</f>
        <v>#N/A</v>
      </c>
      <c r="AG92" s="40" t="e">
        <f>VLOOKUP(A92,Ergebnis_je_Aktie_verwässert!A$3:AK$103,37,FALSE)</f>
        <v>#N/A</v>
      </c>
      <c r="AH92" s="16" t="e">
        <f t="shared" si="16"/>
        <v>#N/A</v>
      </c>
      <c r="AI92" s="12" t="e">
        <f t="shared" si="17"/>
        <v>#N/A</v>
      </c>
      <c r="AJ92" s="32" t="e">
        <f>IF(AF92&lt;Bewertung_Stammdaten!B$38,Bewertung_Stammdaten!A$38,IF(AF92&lt;Bewertung_Stammdaten!B$39,Bewertung_Stammdaten!A$39,IF(AF92&lt;Bewertung_Stammdaten!B$40,Bewertung_Stammdaten!A$40,IF(AF92&lt;Bewertung_Stammdaten!B$41,Bewertung_Stammdaten!A$41,IF(AF92&lt;Bewertung_Stammdaten!B$42,Bewertung_Stammdaten!A$42,IF(AF92&lt;Bewertung_Stammdaten!B$43,Bewertung_Stammdaten!A$43,IF(AF92&lt;Bewertung_Stammdaten!B$44,Bewertung_Stammdaten!A$44,IF(AF92&lt;Bewertung_Stammdaten!B$45,Bewertung_Stammdaten!A$45,IF(AF92&lt;Bewertung_Stammdaten!B$46,Bewertung_Stammdaten!A$46,Bewertung_Stammdaten!A$47)))))))))</f>
        <v>#N/A</v>
      </c>
      <c r="AK92" s="32" t="e">
        <f>IF(AG92&lt;Bewertung_Stammdaten!F$38,Bewertung_Stammdaten!E$38,IF(AG92&lt;Bewertung_Stammdaten!F$39,Bewertung_Stammdaten!E$39,IF(AG92&lt;Bewertung_Stammdaten!F$40,Bewertung_Stammdaten!E$40,IF(AG92&lt;Bewertung_Stammdaten!F$41,Bewertung_Stammdaten!E$41,IF(AG92&lt;Bewertung_Stammdaten!F$42,Bewertung_Stammdaten!E$42,IF(AG92&lt;Bewertung_Stammdaten!F$43,Bewertung_Stammdaten!E$43,IF(AG92&lt;Bewertung_Stammdaten!F$44,Bewertung_Stammdaten!E$44,IF(AG92&lt;Bewertung_Stammdaten!F$45,Bewertung_Stammdaten!E$45,IF(AG92&lt;Bewertung_Stammdaten!F$46,Bewertung_Stammdaten!E$46,Bewertung_Stammdaten!E$47)))))))))</f>
        <v>#N/A</v>
      </c>
      <c r="AL92" s="32" t="e">
        <f>IF(AI92&lt;Bewertung_Stammdaten!J$38,Bewertung_Stammdaten!I$38,IF(AI92&lt;Bewertung_Stammdaten!J$39,Bewertung_Stammdaten!I$39,IF(AI92&lt;Bewertung_Stammdaten!J$40,Bewertung_Stammdaten!I$40,IF(AI92&lt;Bewertung_Stammdaten!J$41,Bewertung_Stammdaten!I$41,IF(AI92&lt;Bewertung_Stammdaten!J$42,Bewertung_Stammdaten!I$42,IF(AI92&lt;Bewertung_Stammdaten!J$43,Bewertung_Stammdaten!I$43,IF(AI92&lt;Bewertung_Stammdaten!J$44,Bewertung_Stammdaten!I$44,IF(AI92&lt;Bewertung_Stammdaten!J$45,Bewertung_Stammdaten!I$45,IF(AI92&lt;Bewertung_Stammdaten!J$46,Bewertung_Stammdaten!I$46,Bewertung_Stammdaten!I$47)))))))))</f>
        <v>#N/A</v>
      </c>
      <c r="AM92" s="43"/>
      <c r="AN92" s="14" t="e">
        <f>VLOOKUP(A92,Dividende_je_Aktie!A$3:AM$103,24,FALSE)</f>
        <v>#N/A</v>
      </c>
      <c r="AO92" s="14" t="e">
        <f>VLOOKUP(A92,Dividende_je_Aktie!A$3:AM$103,20,FALSE)</f>
        <v>#N/A</v>
      </c>
      <c r="AP92" s="12" t="e">
        <f>VLOOKUP(A92,Dividende_je_Aktie!A$3:AM$103,25,FALSE)</f>
        <v>#N/A</v>
      </c>
      <c r="AQ92" s="40" t="e">
        <f>VLOOKUP(A92,Dividende_je_Aktie!A$3:AM$103,39,FALSE)</f>
        <v>#N/A</v>
      </c>
      <c r="AR92" s="16" t="e">
        <f t="shared" si="18"/>
        <v>#N/A</v>
      </c>
      <c r="AS92" s="12" t="e">
        <f t="shared" si="19"/>
        <v>#N/A</v>
      </c>
      <c r="AT92" s="32" t="e">
        <f>IF(AP92&lt;Bewertung_Stammdaten!B$51,Bewertung_Stammdaten!A$51,IF(AP92&lt;Bewertung_Stammdaten!B$52,Bewertung_Stammdaten!A$52,IF(AP92&lt;Bewertung_Stammdaten!B$53,Bewertung_Stammdaten!A$53,IF(AP92&lt;Bewertung_Stammdaten!B$54,Bewertung_Stammdaten!A$54,IF(AP92&lt;Bewertung_Stammdaten!B$55,Bewertung_Stammdaten!A$55,IF(AP92&lt;Bewertung_Stammdaten!B$56,Bewertung_Stammdaten!A$56,IF(AP92&lt;Bewertung_Stammdaten!B$57,Bewertung_Stammdaten!A$57,IF(AP92&lt;Bewertung_Stammdaten!B$58,Bewertung_Stammdaten!A$58,IF(AP92&lt;Bewertung_Stammdaten!B$59,Bewertung_Stammdaten!A$59,Bewertung_Stammdaten!A$60)))))))))</f>
        <v>#N/A</v>
      </c>
      <c r="AU92" s="32" t="e">
        <f>IF(AQ92&lt;Bewertung_Stammdaten!F$51,Bewertung_Stammdaten!E$51,IF(AQ92&lt;Bewertung_Stammdaten!F$52,Bewertung_Stammdaten!E$52,IF(AQ92&lt;Bewertung_Stammdaten!F$53,Bewertung_Stammdaten!E$53,IF(AQ92&lt;Bewertung_Stammdaten!F$54,Bewertung_Stammdaten!E$54,IF(AQ92&lt;Bewertung_Stammdaten!F$55,Bewertung_Stammdaten!E$55,IF(AQ92&lt;Bewertung_Stammdaten!F$56,Bewertung_Stammdaten!E$56,IF(AQ92&lt;Bewertung_Stammdaten!F$57,Bewertung_Stammdaten!E$57,IF(AQ92&lt;Bewertung_Stammdaten!F$58,Bewertung_Stammdaten!E$58,IF(AQ92&lt;Bewertung_Stammdaten!F$59,Bewertung_Stammdaten!E$59,Bewertung_Stammdaten!E$60)))))))))</f>
        <v>#N/A</v>
      </c>
      <c r="AV92" s="32" t="e">
        <f>IF(AS92&lt;Bewertung_Stammdaten!J$51,Bewertung_Stammdaten!I$51,IF(AS92&lt;Bewertung_Stammdaten!J$52,Bewertung_Stammdaten!I$52,IF(AS92&lt;Bewertung_Stammdaten!J$53,Bewertung_Stammdaten!I$53,IF(AS92&lt;Bewertung_Stammdaten!J$54,Bewertung_Stammdaten!I$54,IF(AS92&lt;Bewertung_Stammdaten!J$55,Bewertung_Stammdaten!I$55,IF(AS92&lt;Bewertung_Stammdaten!J$56,Bewertung_Stammdaten!I$56,IF(AS92&lt;Bewertung_Stammdaten!J$57,Bewertung_Stammdaten!I$57,IF(AS92&lt;Bewertung_Stammdaten!J$58,Bewertung_Stammdaten!I$58,IF(AS92&lt;Bewertung_Stammdaten!J$59,Bewertung_Stammdaten!I$59,Bewertung_Stammdaten!I$60)))))))))</f>
        <v>#N/A</v>
      </c>
      <c r="AW92" s="43"/>
      <c r="AX92" s="12" t="e">
        <f>VLOOKUP(A92,Dividendenrendite!A$3:R$103,17,FALSE)</f>
        <v>#N/A</v>
      </c>
      <c r="AY92" s="12" t="e">
        <f>VLOOKUP(A92,Dividendenrendite!A$3:R$103,16,FALSE)</f>
        <v>#N/A</v>
      </c>
      <c r="AZ92" s="12" t="e">
        <f>VLOOKUP(A92,Dividendenrendite!A$3:R$103,18,FALSE)</f>
        <v>#N/A</v>
      </c>
      <c r="BA92" s="32" t="e">
        <f>IF(AX92&lt;Bewertung_Stammdaten!B$64,Bewertung_Stammdaten!A$64,IF(AX92&lt;Bewertung_Stammdaten!B$65,Bewertung_Stammdaten!A$65,IF(AX92&lt;Bewertung_Stammdaten!B$66,Bewertung_Stammdaten!A$66,IF(AX92&lt;Bewertung_Stammdaten!B$67,Bewertung_Stammdaten!A$67,IF(AX92&lt;Bewertung_Stammdaten!B$68,Bewertung_Stammdaten!A$68,IF(AX92&lt;Bewertung_Stammdaten!B$69,Bewertung_Stammdaten!A$69,IF(AX92&lt;Bewertung_Stammdaten!B$70,Bewertung_Stammdaten!A$70,IF(AX92&lt;Bewertung_Stammdaten!B$71,Bewertung_Stammdaten!A$71,IF(AX92&lt;Bewertung_Stammdaten!B$72,Bewertung_Stammdaten!A$72,Bewertung_Stammdaten!A$73)))))))))</f>
        <v>#N/A</v>
      </c>
      <c r="BB92" s="32" t="e">
        <f>IF(AY92&lt;Bewertung_Stammdaten!F$64,Bewertung_Stammdaten!E$64,IF(AY92&lt;Bewertung_Stammdaten!F$65,Bewertung_Stammdaten!E$65,IF(AY92&lt;Bewertung_Stammdaten!F$66,Bewertung_Stammdaten!E$66,IF(AY92&lt;Bewertung_Stammdaten!F$67,Bewertung_Stammdaten!E$67,IF(AY92&lt;Bewertung_Stammdaten!F$68,Bewertung_Stammdaten!E$68,IF(AY92&lt;Bewertung_Stammdaten!F$69,Bewertung_Stammdaten!E$69,IF(AY92&lt;Bewertung_Stammdaten!F$70,Bewertung_Stammdaten!E$70,IF(AY92&lt;Bewertung_Stammdaten!F$71,Bewertung_Stammdaten!E$71,IF(AY92&lt;Bewertung_Stammdaten!F$72,Bewertung_Stammdaten!E$72,Bewertung_Stammdaten!E$73)))))))))</f>
        <v>#N/A</v>
      </c>
      <c r="BC92" s="32" t="e">
        <f>IF(AZ92&lt;Bewertung_Stammdaten!J$64,Bewertung_Stammdaten!I$64,IF(AZ92&lt;Bewertung_Stammdaten!J$65,Bewertung_Stammdaten!I$65,IF(AZ92&lt;Bewertung_Stammdaten!J$66,Bewertung_Stammdaten!I$66,IF(AZ92&lt;Bewertung_Stammdaten!J$67,Bewertung_Stammdaten!I$67,IF(AZ92&lt;Bewertung_Stammdaten!J$68,Bewertung_Stammdaten!I$68,IF(AZ92&lt;Bewertung_Stammdaten!J$69,Bewertung_Stammdaten!I$69,IF(AZ92&lt;Bewertung_Stammdaten!J$70,Bewertung_Stammdaten!I$70,IF(AZ92&lt;Bewertung_Stammdaten!J$71,Bewertung_Stammdaten!I$71,IF(AZ92&lt;Bewertung_Stammdaten!J$72,Bewertung_Stammdaten!I$72,Bewertung_Stammdaten!I$73)))))))))</f>
        <v>#N/A</v>
      </c>
      <c r="BD92" s="43"/>
      <c r="BE92" s="12" t="e">
        <f>VLOOKUP(A92,Aktien_im_Umlauf_splitbereinigt!A$3:Z$103,26,FALSE)</f>
        <v>#N/A</v>
      </c>
      <c r="BF92" s="12" t="e">
        <f>VLOOKUP(A92,Aktien_im_Umlauf_splitbereinigt!A$3:Y$103,24,FALSE)</f>
        <v>#N/A</v>
      </c>
      <c r="BG92" s="12" t="e">
        <f>VLOOKUP(A92,Aktien_im_Umlauf_splitbereinigt!A$3:Y$103,25,FALSE)</f>
        <v>#N/A</v>
      </c>
      <c r="BH92" s="41" t="e">
        <f>IF(BE92&lt;Bewertung_Stammdaten!B$77,Bewertung_Stammdaten!A$77,IF(BE92&lt;Bewertung_Stammdaten!B$78,Bewertung_Stammdaten!A$78,IF(BE92&lt;Bewertung_Stammdaten!B$79,Bewertung_Stammdaten!A$79,IF(BE92&lt;Bewertung_Stammdaten!B$80,Bewertung_Stammdaten!A$80,IF(BE92&lt;Bewertung_Stammdaten!B$81,Bewertung_Stammdaten!A$81,IF(BE92&lt;Bewertung_Stammdaten!B$82,Bewertung_Stammdaten!A$82,IF(BE92&lt;Bewertung_Stammdaten!B$83,Bewertung_Stammdaten!A$83,IF(BE92&lt;Bewertung_Stammdaten!B$84,Bewertung_Stammdaten!A$84,IF(BE92&lt;Bewertung_Stammdaten!B$85,Bewertung_Stammdaten!A$85,Bewertung_Stammdaten!A$86)))))))))</f>
        <v>#N/A</v>
      </c>
      <c r="BI92" s="41" t="e">
        <f>IF(BF92&lt;Bewertung_Stammdaten!F$77,Bewertung_Stammdaten!E$77,IF(BF92&lt;Bewertung_Stammdaten!F$78,Bewertung_Stammdaten!E$78,IF(BF92&lt;Bewertung_Stammdaten!F$79,Bewertung_Stammdaten!E$79,IF(BF92&lt;Bewertung_Stammdaten!F$80,Bewertung_Stammdaten!E$80,IF(BF92&lt;Bewertung_Stammdaten!F$81,Bewertung_Stammdaten!E$81,IF(BF92&lt;Bewertung_Stammdaten!F$82,Bewertung_Stammdaten!E$82,IF(BF92&lt;Bewertung_Stammdaten!F$83,Bewertung_Stammdaten!E$83,IF(BF92&lt;Bewertung_Stammdaten!F$84,Bewertung_Stammdaten!E$84,IF(BF92&lt;Bewertung_Stammdaten!F$85,Bewertung_Stammdaten!E$85,Bewertung_Stammdaten!E$86)))))))))</f>
        <v>#N/A</v>
      </c>
      <c r="BJ92" s="41" t="e">
        <f>IF(BG92&lt;Bewertung_Stammdaten!J$77,Bewertung_Stammdaten!I$77,IF(BG92&lt;Bewertung_Stammdaten!J$78,Bewertung_Stammdaten!I$78,IF(BG92&lt;Bewertung_Stammdaten!J$79,Bewertung_Stammdaten!I$79,IF(BG92&lt;Bewertung_Stammdaten!J$80,Bewertung_Stammdaten!I$80,IF(BG92&lt;Bewertung_Stammdaten!J$81,Bewertung_Stammdaten!I$81,IF(BG92&lt;Bewertung_Stammdaten!J$82,Bewertung_Stammdaten!I$82,IF(BG92&lt;Bewertung_Stammdaten!J$83,Bewertung_Stammdaten!I$83,IF(BG92&lt;Bewertung_Stammdaten!J$84,Bewertung_Stammdaten!I$84,IF(BG92&lt;Bewertung_Stammdaten!J$85,Bewertung_Stammdaten!I$85,Bewertung_Stammdaten!I$86)))))))))</f>
        <v>#N/A</v>
      </c>
      <c r="BK92" s="43"/>
      <c r="BL92" s="12" t="e">
        <f>VLOOKUP(A92,Ausschüttungsquote!A$3:X$103,23,FALSE)</f>
        <v>#N/A</v>
      </c>
      <c r="BM92" s="12" t="e">
        <f>VLOOKUP(A92,Ausschüttungsquote!A$3:X$103,19,FALSE)</f>
        <v>#N/A</v>
      </c>
      <c r="BN92" s="12" t="e">
        <f>VLOOKUP(A92,Ausschüttungsquote!A$3:X$103,24,FALSE)</f>
        <v>#N/A</v>
      </c>
      <c r="BO92" s="32" t="e">
        <f>IF(BL92&lt;Bewertung_Stammdaten!B$90,Bewertung_Stammdaten!A$90,IF(BL92&lt;Bewertung_Stammdaten!B$91,Bewertung_Stammdaten!A$91,IF(BL92&lt;Bewertung_Stammdaten!B$92,Bewertung_Stammdaten!A$92,IF(BL92&lt;Bewertung_Stammdaten!B$93,Bewertung_Stammdaten!A$93,IF(BL92&lt;Bewertung_Stammdaten!B$94,Bewertung_Stammdaten!A$94,IF(BL92&lt;Bewertung_Stammdaten!B$95,Bewertung_Stammdaten!A$95,IF(BL92&lt;Bewertung_Stammdaten!B$96,Bewertung_Stammdaten!A$96,IF(BL92&lt;Bewertung_Stammdaten!B$97,Bewertung_Stammdaten!A$97,IF(BL92&lt;Bewertung_Stammdaten!B$98,Bewertung_Stammdaten!A$98,Bewertung_Stammdaten!A$99)))))))))</f>
        <v>#N/A</v>
      </c>
      <c r="BP92" s="41" t="e">
        <f>IF(BM92&lt;Bewertung_Stammdaten!F$90,Bewertung_Stammdaten!E$90,IF(BM92&lt;Bewertung_Stammdaten!F$91,Bewertung_Stammdaten!E$91,IF(BM92&lt;Bewertung_Stammdaten!F$92,Bewertung_Stammdaten!E$92,IF(BM92&lt;Bewertung_Stammdaten!F$93,Bewertung_Stammdaten!E$93,IF(BM92&lt;Bewertung_Stammdaten!F$94,Bewertung_Stammdaten!E$94,IF(BM92&lt;Bewertung_Stammdaten!F$95,Bewertung_Stammdaten!E$95,IF(BM92&lt;Bewertung_Stammdaten!F$96,Bewertung_Stammdaten!E$96,IF(BM92&lt;Bewertung_Stammdaten!F$97,Bewertung_Stammdaten!E$97,IF(BM92&lt;Bewertung_Stammdaten!F$98,Bewertung_Stammdaten!E$98,Bewertung_Stammdaten!E$99)))))))))</f>
        <v>#N/A</v>
      </c>
      <c r="BQ92" s="32" t="e">
        <f>IF(BN92&lt;Bewertung_Stammdaten!J$90,Bewertung_Stammdaten!I$90,IF(BN92&lt;Bewertung_Stammdaten!J$91,Bewertung_Stammdaten!I$91,IF(BN92&lt;Bewertung_Stammdaten!J$92,Bewertung_Stammdaten!I$92,IF(BN92&lt;Bewertung_Stammdaten!J$93,Bewertung_Stammdaten!I$93,IF(BN92&lt;Bewertung_Stammdaten!J$94,Bewertung_Stammdaten!I$94,IF(BN92&lt;Bewertung_Stammdaten!J$95,Bewertung_Stammdaten!I$95,IF(BN92&lt;Bewertung_Stammdaten!J$96,Bewertung_Stammdaten!I$96,IF(BN92&lt;Bewertung_Stammdaten!J$97,Bewertung_Stammdaten!I$97,IF(BN92&lt;Bewertung_Stammdaten!J$98,Bewertung_Stammdaten!I$98,Bewertung_Stammdaten!I$99)))))))))</f>
        <v>#N/A</v>
      </c>
    </row>
    <row r="93" spans="3:69" x14ac:dyDescent="0.25">
      <c r="C93" s="55" t="s">
        <v>297</v>
      </c>
      <c r="D93" s="32" t="e">
        <f t="shared" si="11"/>
        <v>#N/A</v>
      </c>
      <c r="E93" s="43"/>
      <c r="F93" s="66">
        <v>1</v>
      </c>
      <c r="G93" s="11" t="e">
        <f>VLOOKUP(A93,KGV!A$3:R$103,17,FALSE)</f>
        <v>#N/A</v>
      </c>
      <c r="H93" s="11" t="e">
        <f>VLOOKUP(A93,KGV!A$3:R$103,16,FALSE)</f>
        <v>#N/A</v>
      </c>
      <c r="I93" s="12" t="e">
        <f>VLOOKUP(A93,KGV!A$3:R$103,18,FALSE)</f>
        <v>#N/A</v>
      </c>
      <c r="J93" s="16" t="e">
        <f t="shared" si="12"/>
        <v>#N/A</v>
      </c>
      <c r="K93" s="12" t="e">
        <f t="shared" si="13"/>
        <v>#N/A</v>
      </c>
      <c r="L93" s="11" t="e">
        <f>VLOOKUP(A93,KBV!A$3:R$103,17,FALSE)</f>
        <v>#N/A</v>
      </c>
      <c r="M93" s="11" t="e">
        <f>VLOOKUP(A93,KBV!A$3:R$103,16,FALSE)</f>
        <v>#N/A</v>
      </c>
      <c r="N93" s="12" t="e">
        <f>VLOOKUP(A93,KBV!A$3:R$103,18,FALSE)</f>
        <v>#N/A</v>
      </c>
      <c r="O93" s="16" t="e">
        <f t="shared" si="20"/>
        <v>#N/A</v>
      </c>
      <c r="P93" s="12" t="e">
        <f t="shared" si="21"/>
        <v>#N/A</v>
      </c>
      <c r="Q93" s="32" t="e">
        <f>IF(F93=1,IF(I93&lt;Bewertung_Stammdaten!B$12,Bewertung_Stammdaten!A$12,IF(I93&lt;Bewertung_Stammdaten!B$13,Bewertung_Stammdaten!A$13,IF(I93&lt;Bewertung_Stammdaten!B$14,Bewertung_Stammdaten!A$14,IF(I93&lt;Bewertung_Stammdaten!B$15,Bewertung_Stammdaten!A$15,IF(I93&lt;Bewertung_Stammdaten!B$16,Bewertung_Stammdaten!A$16,IF(I93&lt;Bewertung_Stammdaten!B$17,Bewertung_Stammdaten!A$17,IF(I93&lt;Bewertung_Stammdaten!B$18,Bewertung_Stammdaten!A$18,IF(I93&lt;Bewertung_Stammdaten!B$19,Bewertung_Stammdaten!A$19,IF(I93&lt;Bewertung_Stammdaten!B$20,Bewertung_Stammdaten!A$20,Bewertung_Stammdaten!A$21))))))))),IF(N93&lt;Bewertung_Stammdaten!C$12,Bewertung_Stammdaten!A$12,IF(N93&lt;Bewertung_Stammdaten!C$13,Bewertung_Stammdaten!A$13,IF(N93&lt;Bewertung_Stammdaten!C$14,Bewertung_Stammdaten!A$14,IF(N93&lt;Bewertung_Stammdaten!C$15,Bewertung_Stammdaten!A$15,IF(N93&lt;Bewertung_Stammdaten!C$16,Bewertung_Stammdaten!A$16,IF(N93&lt;Bewertung_Stammdaten!C$17,Bewertung_Stammdaten!A$17,IF(N93&lt;Bewertung_Stammdaten!C$18,Bewertung_Stammdaten!A$18,IF(N93&lt;Bewertung_Stammdaten!C$19,Bewertung_Stammdaten!A$19,IF(N93&lt;Bewertung_Stammdaten!C$20,Bewertung_Stammdaten!A$20,Bewertung_Stammdaten!A$21))))))))))</f>
        <v>#N/A</v>
      </c>
      <c r="R93" s="32" t="e">
        <f>IF(F93=1,IF(K93&lt;Bewertung_Stammdaten!F$12,Bewertung_Stammdaten!E$12,IF(K93&lt;Bewertung_Stammdaten!F$13,Bewertung_Stammdaten!E$13,IF(K93&lt;Bewertung_Stammdaten!F$14,Bewertung_Stammdaten!E$14,IF(K93&lt;Bewertung_Stammdaten!F$15,Bewertung_Stammdaten!E$15,IF(K93&lt;Bewertung_Stammdaten!F$16,Bewertung_Stammdaten!E$16,IF(K93&lt;Bewertung_Stammdaten!F$17,Bewertung_Stammdaten!E$17,IF(K93&lt;Bewertung_Stammdaten!F$18,Bewertung_Stammdaten!E$18,IF(K93&lt;Bewertung_Stammdaten!F$19,Bewertung_Stammdaten!E$19,IF(K93&lt;Bewertung_Stammdaten!F$20,Bewertung_Stammdaten!E$20,Bewertung_Stammdaten!E$21))))))))),IF(P93&lt;Bewertung_Stammdaten!G$12,Bewertung_Stammdaten!E$12,IF(P93&lt;Bewertung_Stammdaten!G$13,Bewertung_Stammdaten!E$13,IF(P93&lt;Bewertung_Stammdaten!G$14,Bewertung_Stammdaten!E$14,IF(P93&lt;Bewertung_Stammdaten!G$15,Bewertung_Stammdaten!E$15,IF(P93&lt;Bewertung_Stammdaten!G$16,Bewertung_Stammdaten!E$16,IF(P93&lt;Bewertung_Stammdaten!G$17,Bewertung_Stammdaten!E$17,IF(P93&lt;Bewertung_Stammdaten!G$18,Bewertung_Stammdaten!E$18,IF(P93&lt;Bewertung_Stammdaten!G$19,Bewertung_Stammdaten!E$19,IF(P93&lt;Bewertung_Stammdaten!G$20,Bewertung_Stammdaten!E$20,Bewertung_Stammdaten!E$21))))))))))</f>
        <v>#N/A</v>
      </c>
      <c r="S93" s="43"/>
      <c r="T93" s="11" t="e">
        <f>VLOOKUP(A93,Buchwert_je_Aktie!A$3:AK$103,23,FALSE)</f>
        <v>#N/A</v>
      </c>
      <c r="U93" s="11" t="e">
        <f>VLOOKUP(A93,Buchwert_je_Aktie!A$3:AK$103,19,FALSE)</f>
        <v>#N/A</v>
      </c>
      <c r="V93" s="12" t="e">
        <f>VLOOKUP(A93,Buchwert_je_Aktie!A$3:AK$103,24,FALSE)</f>
        <v>#N/A</v>
      </c>
      <c r="W93" s="12" t="e">
        <f>VLOOKUP(A93,Buchwert_je_Aktie!A$3:AK$103,37,FALSE)</f>
        <v>#N/A</v>
      </c>
      <c r="X93" s="16" t="e">
        <f t="shared" si="14"/>
        <v>#N/A</v>
      </c>
      <c r="Y93" s="12" t="e">
        <f t="shared" si="15"/>
        <v>#N/A</v>
      </c>
      <c r="Z93" s="51" t="e">
        <f>IF(V93&lt;Bewertung_Stammdaten!B$25,Bewertung_Stammdaten!A$25,IF(V93&lt;Bewertung_Stammdaten!B$26,Bewertung_Stammdaten!A$26,IF(V93&lt;Bewertung_Stammdaten!B$27,Bewertung_Stammdaten!A$27,IF(V93&lt;Bewertung_Stammdaten!B$28,Bewertung_Stammdaten!A$28,IF(V93&lt;Bewertung_Stammdaten!B$29,Bewertung_Stammdaten!A$29,IF(V93&lt;Bewertung_Stammdaten!B$30,Bewertung_Stammdaten!A$30,IF(V93&lt;Bewertung_Stammdaten!B$31,Bewertung_Stammdaten!A$31,IF(V93&lt;Bewertung_Stammdaten!B$32,Bewertung_Stammdaten!A$32,IF(V93&lt;Bewertung_Stammdaten!B$33,Bewertung_Stammdaten!A$33,Bewertung_Stammdaten!A$34)))))))))</f>
        <v>#N/A</v>
      </c>
      <c r="AA93" s="51" t="e">
        <f>IF(W93&lt;Bewertung_Stammdaten!F$25,Bewertung_Stammdaten!E$25,IF(W93&lt;Bewertung_Stammdaten!F$26,Bewertung_Stammdaten!E$26,IF(W93&lt;Bewertung_Stammdaten!F$27,Bewertung_Stammdaten!E$27,IF(W93&lt;Bewertung_Stammdaten!F$28,Bewertung_Stammdaten!E$28,IF(W93&lt;Bewertung_Stammdaten!F$29,Bewertung_Stammdaten!E$29,IF(W93&lt;Bewertung_Stammdaten!F$30,Bewertung_Stammdaten!E$30,IF(W93&lt;Bewertung_Stammdaten!F$31,Bewertung_Stammdaten!E$31,IF(W93&lt;Bewertung_Stammdaten!F$32,Bewertung_Stammdaten!E$32,IF(W93&lt;Bewertung_Stammdaten!F$33,Bewertung_Stammdaten!E$33,Bewertung_Stammdaten!E$34)))))))))</f>
        <v>#N/A</v>
      </c>
      <c r="AB93" s="51" t="e">
        <f>IF(Y93&lt;Bewertung_Stammdaten!J$25,Bewertung_Stammdaten!I$25,IF(Y93&lt;Bewertung_Stammdaten!J$26,Bewertung_Stammdaten!I$26,IF(Y93&lt;Bewertung_Stammdaten!J$27,Bewertung_Stammdaten!I$27,IF(Y93&lt;Bewertung_Stammdaten!J$28,Bewertung_Stammdaten!I$28,IF(Y93&lt;Bewertung_Stammdaten!J$29,Bewertung_Stammdaten!I$29,IF(Y93&lt;Bewertung_Stammdaten!J$30,Bewertung_Stammdaten!I$30,IF(Y93&lt;Bewertung_Stammdaten!J$31,Bewertung_Stammdaten!I$31,IF(Y93&lt;Bewertung_Stammdaten!J$32,Bewertung_Stammdaten!I$32,IF(Y93&lt;Bewertung_Stammdaten!J$33,Bewertung_Stammdaten!I$33,Bewertung_Stammdaten!I$34)))))))))</f>
        <v>#N/A</v>
      </c>
      <c r="AC93" s="43"/>
      <c r="AD93" s="14" t="e">
        <f>VLOOKUP(A93,Ergebnis_je_Aktie_verwässert!A$3:AK$103,23,FALSE)</f>
        <v>#N/A</v>
      </c>
      <c r="AE93" s="14" t="e">
        <f>VLOOKUP(A93,Ergebnis_je_Aktie_verwässert!A$3:AK$103,19,FALSE)</f>
        <v>#N/A</v>
      </c>
      <c r="AF93" s="12" t="e">
        <f>VLOOKUP(A93,Ergebnis_je_Aktie_verwässert!A$3:AK$103,24,FALSE)</f>
        <v>#N/A</v>
      </c>
      <c r="AG93" s="40" t="e">
        <f>VLOOKUP(A93,Ergebnis_je_Aktie_verwässert!A$3:AK$103,37,FALSE)</f>
        <v>#N/A</v>
      </c>
      <c r="AH93" s="16" t="e">
        <f t="shared" si="16"/>
        <v>#N/A</v>
      </c>
      <c r="AI93" s="12" t="e">
        <f t="shared" si="17"/>
        <v>#N/A</v>
      </c>
      <c r="AJ93" s="32" t="e">
        <f>IF(AF93&lt;Bewertung_Stammdaten!B$38,Bewertung_Stammdaten!A$38,IF(AF93&lt;Bewertung_Stammdaten!B$39,Bewertung_Stammdaten!A$39,IF(AF93&lt;Bewertung_Stammdaten!B$40,Bewertung_Stammdaten!A$40,IF(AF93&lt;Bewertung_Stammdaten!B$41,Bewertung_Stammdaten!A$41,IF(AF93&lt;Bewertung_Stammdaten!B$42,Bewertung_Stammdaten!A$42,IF(AF93&lt;Bewertung_Stammdaten!B$43,Bewertung_Stammdaten!A$43,IF(AF93&lt;Bewertung_Stammdaten!B$44,Bewertung_Stammdaten!A$44,IF(AF93&lt;Bewertung_Stammdaten!B$45,Bewertung_Stammdaten!A$45,IF(AF93&lt;Bewertung_Stammdaten!B$46,Bewertung_Stammdaten!A$46,Bewertung_Stammdaten!A$47)))))))))</f>
        <v>#N/A</v>
      </c>
      <c r="AK93" s="32" t="e">
        <f>IF(AG93&lt;Bewertung_Stammdaten!F$38,Bewertung_Stammdaten!E$38,IF(AG93&lt;Bewertung_Stammdaten!F$39,Bewertung_Stammdaten!E$39,IF(AG93&lt;Bewertung_Stammdaten!F$40,Bewertung_Stammdaten!E$40,IF(AG93&lt;Bewertung_Stammdaten!F$41,Bewertung_Stammdaten!E$41,IF(AG93&lt;Bewertung_Stammdaten!F$42,Bewertung_Stammdaten!E$42,IF(AG93&lt;Bewertung_Stammdaten!F$43,Bewertung_Stammdaten!E$43,IF(AG93&lt;Bewertung_Stammdaten!F$44,Bewertung_Stammdaten!E$44,IF(AG93&lt;Bewertung_Stammdaten!F$45,Bewertung_Stammdaten!E$45,IF(AG93&lt;Bewertung_Stammdaten!F$46,Bewertung_Stammdaten!E$46,Bewertung_Stammdaten!E$47)))))))))</f>
        <v>#N/A</v>
      </c>
      <c r="AL93" s="32" t="e">
        <f>IF(AI93&lt;Bewertung_Stammdaten!J$38,Bewertung_Stammdaten!I$38,IF(AI93&lt;Bewertung_Stammdaten!J$39,Bewertung_Stammdaten!I$39,IF(AI93&lt;Bewertung_Stammdaten!J$40,Bewertung_Stammdaten!I$40,IF(AI93&lt;Bewertung_Stammdaten!J$41,Bewertung_Stammdaten!I$41,IF(AI93&lt;Bewertung_Stammdaten!J$42,Bewertung_Stammdaten!I$42,IF(AI93&lt;Bewertung_Stammdaten!J$43,Bewertung_Stammdaten!I$43,IF(AI93&lt;Bewertung_Stammdaten!J$44,Bewertung_Stammdaten!I$44,IF(AI93&lt;Bewertung_Stammdaten!J$45,Bewertung_Stammdaten!I$45,IF(AI93&lt;Bewertung_Stammdaten!J$46,Bewertung_Stammdaten!I$46,Bewertung_Stammdaten!I$47)))))))))</f>
        <v>#N/A</v>
      </c>
      <c r="AM93" s="43"/>
      <c r="AN93" s="14" t="e">
        <f>VLOOKUP(A93,Dividende_je_Aktie!A$3:AM$103,24,FALSE)</f>
        <v>#N/A</v>
      </c>
      <c r="AO93" s="14" t="e">
        <f>VLOOKUP(A93,Dividende_je_Aktie!A$3:AM$103,20,FALSE)</f>
        <v>#N/A</v>
      </c>
      <c r="AP93" s="12" t="e">
        <f>VLOOKUP(A93,Dividende_je_Aktie!A$3:AM$103,25,FALSE)</f>
        <v>#N/A</v>
      </c>
      <c r="AQ93" s="40" t="e">
        <f>VLOOKUP(A93,Dividende_je_Aktie!A$3:AM$103,39,FALSE)</f>
        <v>#N/A</v>
      </c>
      <c r="AR93" s="16" t="e">
        <f t="shared" si="18"/>
        <v>#N/A</v>
      </c>
      <c r="AS93" s="12" t="e">
        <f t="shared" si="19"/>
        <v>#N/A</v>
      </c>
      <c r="AT93" s="32" t="e">
        <f>IF(AP93&lt;Bewertung_Stammdaten!B$51,Bewertung_Stammdaten!A$51,IF(AP93&lt;Bewertung_Stammdaten!B$52,Bewertung_Stammdaten!A$52,IF(AP93&lt;Bewertung_Stammdaten!B$53,Bewertung_Stammdaten!A$53,IF(AP93&lt;Bewertung_Stammdaten!B$54,Bewertung_Stammdaten!A$54,IF(AP93&lt;Bewertung_Stammdaten!B$55,Bewertung_Stammdaten!A$55,IF(AP93&lt;Bewertung_Stammdaten!B$56,Bewertung_Stammdaten!A$56,IF(AP93&lt;Bewertung_Stammdaten!B$57,Bewertung_Stammdaten!A$57,IF(AP93&lt;Bewertung_Stammdaten!B$58,Bewertung_Stammdaten!A$58,IF(AP93&lt;Bewertung_Stammdaten!B$59,Bewertung_Stammdaten!A$59,Bewertung_Stammdaten!A$60)))))))))</f>
        <v>#N/A</v>
      </c>
      <c r="AU93" s="32" t="e">
        <f>IF(AQ93&lt;Bewertung_Stammdaten!F$51,Bewertung_Stammdaten!E$51,IF(AQ93&lt;Bewertung_Stammdaten!F$52,Bewertung_Stammdaten!E$52,IF(AQ93&lt;Bewertung_Stammdaten!F$53,Bewertung_Stammdaten!E$53,IF(AQ93&lt;Bewertung_Stammdaten!F$54,Bewertung_Stammdaten!E$54,IF(AQ93&lt;Bewertung_Stammdaten!F$55,Bewertung_Stammdaten!E$55,IF(AQ93&lt;Bewertung_Stammdaten!F$56,Bewertung_Stammdaten!E$56,IF(AQ93&lt;Bewertung_Stammdaten!F$57,Bewertung_Stammdaten!E$57,IF(AQ93&lt;Bewertung_Stammdaten!F$58,Bewertung_Stammdaten!E$58,IF(AQ93&lt;Bewertung_Stammdaten!F$59,Bewertung_Stammdaten!E$59,Bewertung_Stammdaten!E$60)))))))))</f>
        <v>#N/A</v>
      </c>
      <c r="AV93" s="32" t="e">
        <f>IF(AS93&lt;Bewertung_Stammdaten!J$51,Bewertung_Stammdaten!I$51,IF(AS93&lt;Bewertung_Stammdaten!J$52,Bewertung_Stammdaten!I$52,IF(AS93&lt;Bewertung_Stammdaten!J$53,Bewertung_Stammdaten!I$53,IF(AS93&lt;Bewertung_Stammdaten!J$54,Bewertung_Stammdaten!I$54,IF(AS93&lt;Bewertung_Stammdaten!J$55,Bewertung_Stammdaten!I$55,IF(AS93&lt;Bewertung_Stammdaten!J$56,Bewertung_Stammdaten!I$56,IF(AS93&lt;Bewertung_Stammdaten!J$57,Bewertung_Stammdaten!I$57,IF(AS93&lt;Bewertung_Stammdaten!J$58,Bewertung_Stammdaten!I$58,IF(AS93&lt;Bewertung_Stammdaten!J$59,Bewertung_Stammdaten!I$59,Bewertung_Stammdaten!I$60)))))))))</f>
        <v>#N/A</v>
      </c>
      <c r="AW93" s="43"/>
      <c r="AX93" s="12" t="e">
        <f>VLOOKUP(A93,Dividendenrendite!A$3:R$103,17,FALSE)</f>
        <v>#N/A</v>
      </c>
      <c r="AY93" s="12" t="e">
        <f>VLOOKUP(A93,Dividendenrendite!A$3:R$103,16,FALSE)</f>
        <v>#N/A</v>
      </c>
      <c r="AZ93" s="12" t="e">
        <f>VLOOKUP(A93,Dividendenrendite!A$3:R$103,18,FALSE)</f>
        <v>#N/A</v>
      </c>
      <c r="BA93" s="32" t="e">
        <f>IF(AX93&lt;Bewertung_Stammdaten!B$64,Bewertung_Stammdaten!A$64,IF(AX93&lt;Bewertung_Stammdaten!B$65,Bewertung_Stammdaten!A$65,IF(AX93&lt;Bewertung_Stammdaten!B$66,Bewertung_Stammdaten!A$66,IF(AX93&lt;Bewertung_Stammdaten!B$67,Bewertung_Stammdaten!A$67,IF(AX93&lt;Bewertung_Stammdaten!B$68,Bewertung_Stammdaten!A$68,IF(AX93&lt;Bewertung_Stammdaten!B$69,Bewertung_Stammdaten!A$69,IF(AX93&lt;Bewertung_Stammdaten!B$70,Bewertung_Stammdaten!A$70,IF(AX93&lt;Bewertung_Stammdaten!B$71,Bewertung_Stammdaten!A$71,IF(AX93&lt;Bewertung_Stammdaten!B$72,Bewertung_Stammdaten!A$72,Bewertung_Stammdaten!A$73)))))))))</f>
        <v>#N/A</v>
      </c>
      <c r="BB93" s="32" t="e">
        <f>IF(AY93&lt;Bewertung_Stammdaten!F$64,Bewertung_Stammdaten!E$64,IF(AY93&lt;Bewertung_Stammdaten!F$65,Bewertung_Stammdaten!E$65,IF(AY93&lt;Bewertung_Stammdaten!F$66,Bewertung_Stammdaten!E$66,IF(AY93&lt;Bewertung_Stammdaten!F$67,Bewertung_Stammdaten!E$67,IF(AY93&lt;Bewertung_Stammdaten!F$68,Bewertung_Stammdaten!E$68,IF(AY93&lt;Bewertung_Stammdaten!F$69,Bewertung_Stammdaten!E$69,IF(AY93&lt;Bewertung_Stammdaten!F$70,Bewertung_Stammdaten!E$70,IF(AY93&lt;Bewertung_Stammdaten!F$71,Bewertung_Stammdaten!E$71,IF(AY93&lt;Bewertung_Stammdaten!F$72,Bewertung_Stammdaten!E$72,Bewertung_Stammdaten!E$73)))))))))</f>
        <v>#N/A</v>
      </c>
      <c r="BC93" s="32" t="e">
        <f>IF(AZ93&lt;Bewertung_Stammdaten!J$64,Bewertung_Stammdaten!I$64,IF(AZ93&lt;Bewertung_Stammdaten!J$65,Bewertung_Stammdaten!I$65,IF(AZ93&lt;Bewertung_Stammdaten!J$66,Bewertung_Stammdaten!I$66,IF(AZ93&lt;Bewertung_Stammdaten!J$67,Bewertung_Stammdaten!I$67,IF(AZ93&lt;Bewertung_Stammdaten!J$68,Bewertung_Stammdaten!I$68,IF(AZ93&lt;Bewertung_Stammdaten!J$69,Bewertung_Stammdaten!I$69,IF(AZ93&lt;Bewertung_Stammdaten!J$70,Bewertung_Stammdaten!I$70,IF(AZ93&lt;Bewertung_Stammdaten!J$71,Bewertung_Stammdaten!I$71,IF(AZ93&lt;Bewertung_Stammdaten!J$72,Bewertung_Stammdaten!I$72,Bewertung_Stammdaten!I$73)))))))))</f>
        <v>#N/A</v>
      </c>
      <c r="BD93" s="43"/>
      <c r="BE93" s="12" t="e">
        <f>VLOOKUP(A93,Aktien_im_Umlauf_splitbereinigt!A$3:Z$103,26,FALSE)</f>
        <v>#N/A</v>
      </c>
      <c r="BF93" s="12" t="e">
        <f>VLOOKUP(A93,Aktien_im_Umlauf_splitbereinigt!A$3:Y$103,24,FALSE)</f>
        <v>#N/A</v>
      </c>
      <c r="BG93" s="12" t="e">
        <f>VLOOKUP(A93,Aktien_im_Umlauf_splitbereinigt!A$3:Y$103,25,FALSE)</f>
        <v>#N/A</v>
      </c>
      <c r="BH93" s="41" t="e">
        <f>IF(BE93&lt;Bewertung_Stammdaten!B$77,Bewertung_Stammdaten!A$77,IF(BE93&lt;Bewertung_Stammdaten!B$78,Bewertung_Stammdaten!A$78,IF(BE93&lt;Bewertung_Stammdaten!B$79,Bewertung_Stammdaten!A$79,IF(BE93&lt;Bewertung_Stammdaten!B$80,Bewertung_Stammdaten!A$80,IF(BE93&lt;Bewertung_Stammdaten!B$81,Bewertung_Stammdaten!A$81,IF(BE93&lt;Bewertung_Stammdaten!B$82,Bewertung_Stammdaten!A$82,IF(BE93&lt;Bewertung_Stammdaten!B$83,Bewertung_Stammdaten!A$83,IF(BE93&lt;Bewertung_Stammdaten!B$84,Bewertung_Stammdaten!A$84,IF(BE93&lt;Bewertung_Stammdaten!B$85,Bewertung_Stammdaten!A$85,Bewertung_Stammdaten!A$86)))))))))</f>
        <v>#N/A</v>
      </c>
      <c r="BI93" s="41" t="e">
        <f>IF(BF93&lt;Bewertung_Stammdaten!F$77,Bewertung_Stammdaten!E$77,IF(BF93&lt;Bewertung_Stammdaten!F$78,Bewertung_Stammdaten!E$78,IF(BF93&lt;Bewertung_Stammdaten!F$79,Bewertung_Stammdaten!E$79,IF(BF93&lt;Bewertung_Stammdaten!F$80,Bewertung_Stammdaten!E$80,IF(BF93&lt;Bewertung_Stammdaten!F$81,Bewertung_Stammdaten!E$81,IF(BF93&lt;Bewertung_Stammdaten!F$82,Bewertung_Stammdaten!E$82,IF(BF93&lt;Bewertung_Stammdaten!F$83,Bewertung_Stammdaten!E$83,IF(BF93&lt;Bewertung_Stammdaten!F$84,Bewertung_Stammdaten!E$84,IF(BF93&lt;Bewertung_Stammdaten!F$85,Bewertung_Stammdaten!E$85,Bewertung_Stammdaten!E$86)))))))))</f>
        <v>#N/A</v>
      </c>
      <c r="BJ93" s="41" t="e">
        <f>IF(BG93&lt;Bewertung_Stammdaten!J$77,Bewertung_Stammdaten!I$77,IF(BG93&lt;Bewertung_Stammdaten!J$78,Bewertung_Stammdaten!I$78,IF(BG93&lt;Bewertung_Stammdaten!J$79,Bewertung_Stammdaten!I$79,IF(BG93&lt;Bewertung_Stammdaten!J$80,Bewertung_Stammdaten!I$80,IF(BG93&lt;Bewertung_Stammdaten!J$81,Bewertung_Stammdaten!I$81,IF(BG93&lt;Bewertung_Stammdaten!J$82,Bewertung_Stammdaten!I$82,IF(BG93&lt;Bewertung_Stammdaten!J$83,Bewertung_Stammdaten!I$83,IF(BG93&lt;Bewertung_Stammdaten!J$84,Bewertung_Stammdaten!I$84,IF(BG93&lt;Bewertung_Stammdaten!J$85,Bewertung_Stammdaten!I$85,Bewertung_Stammdaten!I$86)))))))))</f>
        <v>#N/A</v>
      </c>
      <c r="BK93" s="43"/>
      <c r="BL93" s="12" t="e">
        <f>VLOOKUP(A93,Ausschüttungsquote!A$3:X$103,23,FALSE)</f>
        <v>#N/A</v>
      </c>
      <c r="BM93" s="12" t="e">
        <f>VLOOKUP(A93,Ausschüttungsquote!A$3:X$103,19,FALSE)</f>
        <v>#N/A</v>
      </c>
      <c r="BN93" s="12" t="e">
        <f>VLOOKUP(A93,Ausschüttungsquote!A$3:X$103,24,FALSE)</f>
        <v>#N/A</v>
      </c>
      <c r="BO93" s="32" t="e">
        <f>IF(BL93&lt;Bewertung_Stammdaten!B$90,Bewertung_Stammdaten!A$90,IF(BL93&lt;Bewertung_Stammdaten!B$91,Bewertung_Stammdaten!A$91,IF(BL93&lt;Bewertung_Stammdaten!B$92,Bewertung_Stammdaten!A$92,IF(BL93&lt;Bewertung_Stammdaten!B$93,Bewertung_Stammdaten!A$93,IF(BL93&lt;Bewertung_Stammdaten!B$94,Bewertung_Stammdaten!A$94,IF(BL93&lt;Bewertung_Stammdaten!B$95,Bewertung_Stammdaten!A$95,IF(BL93&lt;Bewertung_Stammdaten!B$96,Bewertung_Stammdaten!A$96,IF(BL93&lt;Bewertung_Stammdaten!B$97,Bewertung_Stammdaten!A$97,IF(BL93&lt;Bewertung_Stammdaten!B$98,Bewertung_Stammdaten!A$98,Bewertung_Stammdaten!A$99)))))))))</f>
        <v>#N/A</v>
      </c>
      <c r="BP93" s="41" t="e">
        <f>IF(BM93&lt;Bewertung_Stammdaten!F$90,Bewertung_Stammdaten!E$90,IF(BM93&lt;Bewertung_Stammdaten!F$91,Bewertung_Stammdaten!E$91,IF(BM93&lt;Bewertung_Stammdaten!F$92,Bewertung_Stammdaten!E$92,IF(BM93&lt;Bewertung_Stammdaten!F$93,Bewertung_Stammdaten!E$93,IF(BM93&lt;Bewertung_Stammdaten!F$94,Bewertung_Stammdaten!E$94,IF(BM93&lt;Bewertung_Stammdaten!F$95,Bewertung_Stammdaten!E$95,IF(BM93&lt;Bewertung_Stammdaten!F$96,Bewertung_Stammdaten!E$96,IF(BM93&lt;Bewertung_Stammdaten!F$97,Bewertung_Stammdaten!E$97,IF(BM93&lt;Bewertung_Stammdaten!F$98,Bewertung_Stammdaten!E$98,Bewertung_Stammdaten!E$99)))))))))</f>
        <v>#N/A</v>
      </c>
      <c r="BQ93" s="32" t="e">
        <f>IF(BN93&lt;Bewertung_Stammdaten!J$90,Bewertung_Stammdaten!I$90,IF(BN93&lt;Bewertung_Stammdaten!J$91,Bewertung_Stammdaten!I$91,IF(BN93&lt;Bewertung_Stammdaten!J$92,Bewertung_Stammdaten!I$92,IF(BN93&lt;Bewertung_Stammdaten!J$93,Bewertung_Stammdaten!I$93,IF(BN93&lt;Bewertung_Stammdaten!J$94,Bewertung_Stammdaten!I$94,IF(BN93&lt;Bewertung_Stammdaten!J$95,Bewertung_Stammdaten!I$95,IF(BN93&lt;Bewertung_Stammdaten!J$96,Bewertung_Stammdaten!I$96,IF(BN93&lt;Bewertung_Stammdaten!J$97,Bewertung_Stammdaten!I$97,IF(BN93&lt;Bewertung_Stammdaten!J$98,Bewertung_Stammdaten!I$98,Bewertung_Stammdaten!I$99)))))))))</f>
        <v>#N/A</v>
      </c>
    </row>
    <row r="94" spans="3:69" x14ac:dyDescent="0.25">
      <c r="C94" s="55" t="s">
        <v>297</v>
      </c>
      <c r="D94" s="32" t="e">
        <f t="shared" si="11"/>
        <v>#N/A</v>
      </c>
      <c r="E94" s="43"/>
      <c r="F94" s="66">
        <v>1</v>
      </c>
      <c r="G94" s="11" t="e">
        <f>VLOOKUP(A94,KGV!A$3:R$103,17,FALSE)</f>
        <v>#N/A</v>
      </c>
      <c r="H94" s="11" t="e">
        <f>VLOOKUP(A94,KGV!A$3:R$103,16,FALSE)</f>
        <v>#N/A</v>
      </c>
      <c r="I94" s="12" t="e">
        <f>VLOOKUP(A94,KGV!A$3:R$103,18,FALSE)</f>
        <v>#N/A</v>
      </c>
      <c r="J94" s="16" t="e">
        <f t="shared" si="12"/>
        <v>#N/A</v>
      </c>
      <c r="K94" s="12" t="e">
        <f t="shared" si="13"/>
        <v>#N/A</v>
      </c>
      <c r="L94" s="11" t="e">
        <f>VLOOKUP(A94,KBV!A$3:R$103,17,FALSE)</f>
        <v>#N/A</v>
      </c>
      <c r="M94" s="11" t="e">
        <f>VLOOKUP(A94,KBV!A$3:R$103,16,FALSE)</f>
        <v>#N/A</v>
      </c>
      <c r="N94" s="12" t="e">
        <f>VLOOKUP(A94,KBV!A$3:R$103,18,FALSE)</f>
        <v>#N/A</v>
      </c>
      <c r="O94" s="16" t="e">
        <f t="shared" si="20"/>
        <v>#N/A</v>
      </c>
      <c r="P94" s="12" t="e">
        <f t="shared" si="21"/>
        <v>#N/A</v>
      </c>
      <c r="Q94" s="32" t="e">
        <f>IF(F94=1,IF(I94&lt;Bewertung_Stammdaten!B$12,Bewertung_Stammdaten!A$12,IF(I94&lt;Bewertung_Stammdaten!B$13,Bewertung_Stammdaten!A$13,IF(I94&lt;Bewertung_Stammdaten!B$14,Bewertung_Stammdaten!A$14,IF(I94&lt;Bewertung_Stammdaten!B$15,Bewertung_Stammdaten!A$15,IF(I94&lt;Bewertung_Stammdaten!B$16,Bewertung_Stammdaten!A$16,IF(I94&lt;Bewertung_Stammdaten!B$17,Bewertung_Stammdaten!A$17,IF(I94&lt;Bewertung_Stammdaten!B$18,Bewertung_Stammdaten!A$18,IF(I94&lt;Bewertung_Stammdaten!B$19,Bewertung_Stammdaten!A$19,IF(I94&lt;Bewertung_Stammdaten!B$20,Bewertung_Stammdaten!A$20,Bewertung_Stammdaten!A$21))))))))),IF(N94&lt;Bewertung_Stammdaten!C$12,Bewertung_Stammdaten!A$12,IF(N94&lt;Bewertung_Stammdaten!C$13,Bewertung_Stammdaten!A$13,IF(N94&lt;Bewertung_Stammdaten!C$14,Bewertung_Stammdaten!A$14,IF(N94&lt;Bewertung_Stammdaten!C$15,Bewertung_Stammdaten!A$15,IF(N94&lt;Bewertung_Stammdaten!C$16,Bewertung_Stammdaten!A$16,IF(N94&lt;Bewertung_Stammdaten!C$17,Bewertung_Stammdaten!A$17,IF(N94&lt;Bewertung_Stammdaten!C$18,Bewertung_Stammdaten!A$18,IF(N94&lt;Bewertung_Stammdaten!C$19,Bewertung_Stammdaten!A$19,IF(N94&lt;Bewertung_Stammdaten!C$20,Bewertung_Stammdaten!A$20,Bewertung_Stammdaten!A$21))))))))))</f>
        <v>#N/A</v>
      </c>
      <c r="R94" s="32" t="e">
        <f>IF(F94=1,IF(K94&lt;Bewertung_Stammdaten!F$12,Bewertung_Stammdaten!E$12,IF(K94&lt;Bewertung_Stammdaten!F$13,Bewertung_Stammdaten!E$13,IF(K94&lt;Bewertung_Stammdaten!F$14,Bewertung_Stammdaten!E$14,IF(K94&lt;Bewertung_Stammdaten!F$15,Bewertung_Stammdaten!E$15,IF(K94&lt;Bewertung_Stammdaten!F$16,Bewertung_Stammdaten!E$16,IF(K94&lt;Bewertung_Stammdaten!F$17,Bewertung_Stammdaten!E$17,IF(K94&lt;Bewertung_Stammdaten!F$18,Bewertung_Stammdaten!E$18,IF(K94&lt;Bewertung_Stammdaten!F$19,Bewertung_Stammdaten!E$19,IF(K94&lt;Bewertung_Stammdaten!F$20,Bewertung_Stammdaten!E$20,Bewertung_Stammdaten!E$21))))))))),IF(P94&lt;Bewertung_Stammdaten!G$12,Bewertung_Stammdaten!E$12,IF(P94&lt;Bewertung_Stammdaten!G$13,Bewertung_Stammdaten!E$13,IF(P94&lt;Bewertung_Stammdaten!G$14,Bewertung_Stammdaten!E$14,IF(P94&lt;Bewertung_Stammdaten!G$15,Bewertung_Stammdaten!E$15,IF(P94&lt;Bewertung_Stammdaten!G$16,Bewertung_Stammdaten!E$16,IF(P94&lt;Bewertung_Stammdaten!G$17,Bewertung_Stammdaten!E$17,IF(P94&lt;Bewertung_Stammdaten!G$18,Bewertung_Stammdaten!E$18,IF(P94&lt;Bewertung_Stammdaten!G$19,Bewertung_Stammdaten!E$19,IF(P94&lt;Bewertung_Stammdaten!G$20,Bewertung_Stammdaten!E$20,Bewertung_Stammdaten!E$21))))))))))</f>
        <v>#N/A</v>
      </c>
      <c r="S94" s="43"/>
      <c r="T94" s="11" t="e">
        <f>VLOOKUP(A94,Buchwert_je_Aktie!A$3:AK$103,23,FALSE)</f>
        <v>#N/A</v>
      </c>
      <c r="U94" s="11" t="e">
        <f>VLOOKUP(A94,Buchwert_je_Aktie!A$3:AK$103,19,FALSE)</f>
        <v>#N/A</v>
      </c>
      <c r="V94" s="12" t="e">
        <f>VLOOKUP(A94,Buchwert_je_Aktie!A$3:AK$103,24,FALSE)</f>
        <v>#N/A</v>
      </c>
      <c r="W94" s="12" t="e">
        <f>VLOOKUP(A94,Buchwert_je_Aktie!A$3:AK$103,37,FALSE)</f>
        <v>#N/A</v>
      </c>
      <c r="X94" s="16" t="e">
        <f t="shared" si="14"/>
        <v>#N/A</v>
      </c>
      <c r="Y94" s="12" t="e">
        <f t="shared" si="15"/>
        <v>#N/A</v>
      </c>
      <c r="Z94" s="51" t="e">
        <f>IF(V94&lt;Bewertung_Stammdaten!B$25,Bewertung_Stammdaten!A$25,IF(V94&lt;Bewertung_Stammdaten!B$26,Bewertung_Stammdaten!A$26,IF(V94&lt;Bewertung_Stammdaten!B$27,Bewertung_Stammdaten!A$27,IF(V94&lt;Bewertung_Stammdaten!B$28,Bewertung_Stammdaten!A$28,IF(V94&lt;Bewertung_Stammdaten!B$29,Bewertung_Stammdaten!A$29,IF(V94&lt;Bewertung_Stammdaten!B$30,Bewertung_Stammdaten!A$30,IF(V94&lt;Bewertung_Stammdaten!B$31,Bewertung_Stammdaten!A$31,IF(V94&lt;Bewertung_Stammdaten!B$32,Bewertung_Stammdaten!A$32,IF(V94&lt;Bewertung_Stammdaten!B$33,Bewertung_Stammdaten!A$33,Bewertung_Stammdaten!A$34)))))))))</f>
        <v>#N/A</v>
      </c>
      <c r="AA94" s="51" t="e">
        <f>IF(W94&lt;Bewertung_Stammdaten!F$25,Bewertung_Stammdaten!E$25,IF(W94&lt;Bewertung_Stammdaten!F$26,Bewertung_Stammdaten!E$26,IF(W94&lt;Bewertung_Stammdaten!F$27,Bewertung_Stammdaten!E$27,IF(W94&lt;Bewertung_Stammdaten!F$28,Bewertung_Stammdaten!E$28,IF(W94&lt;Bewertung_Stammdaten!F$29,Bewertung_Stammdaten!E$29,IF(W94&lt;Bewertung_Stammdaten!F$30,Bewertung_Stammdaten!E$30,IF(W94&lt;Bewertung_Stammdaten!F$31,Bewertung_Stammdaten!E$31,IF(W94&lt;Bewertung_Stammdaten!F$32,Bewertung_Stammdaten!E$32,IF(W94&lt;Bewertung_Stammdaten!F$33,Bewertung_Stammdaten!E$33,Bewertung_Stammdaten!E$34)))))))))</f>
        <v>#N/A</v>
      </c>
      <c r="AB94" s="51" t="e">
        <f>IF(Y94&lt;Bewertung_Stammdaten!J$25,Bewertung_Stammdaten!I$25,IF(Y94&lt;Bewertung_Stammdaten!J$26,Bewertung_Stammdaten!I$26,IF(Y94&lt;Bewertung_Stammdaten!J$27,Bewertung_Stammdaten!I$27,IF(Y94&lt;Bewertung_Stammdaten!J$28,Bewertung_Stammdaten!I$28,IF(Y94&lt;Bewertung_Stammdaten!J$29,Bewertung_Stammdaten!I$29,IF(Y94&lt;Bewertung_Stammdaten!J$30,Bewertung_Stammdaten!I$30,IF(Y94&lt;Bewertung_Stammdaten!J$31,Bewertung_Stammdaten!I$31,IF(Y94&lt;Bewertung_Stammdaten!J$32,Bewertung_Stammdaten!I$32,IF(Y94&lt;Bewertung_Stammdaten!J$33,Bewertung_Stammdaten!I$33,Bewertung_Stammdaten!I$34)))))))))</f>
        <v>#N/A</v>
      </c>
      <c r="AC94" s="43"/>
      <c r="AD94" s="14" t="e">
        <f>VLOOKUP(A94,Ergebnis_je_Aktie_verwässert!A$3:AK$103,23,FALSE)</f>
        <v>#N/A</v>
      </c>
      <c r="AE94" s="14" t="e">
        <f>VLOOKUP(A94,Ergebnis_je_Aktie_verwässert!A$3:AK$103,19,FALSE)</f>
        <v>#N/A</v>
      </c>
      <c r="AF94" s="12" t="e">
        <f>VLOOKUP(A94,Ergebnis_je_Aktie_verwässert!A$3:AK$103,24,FALSE)</f>
        <v>#N/A</v>
      </c>
      <c r="AG94" s="40" t="e">
        <f>VLOOKUP(A94,Ergebnis_je_Aktie_verwässert!A$3:AK$103,37,FALSE)</f>
        <v>#N/A</v>
      </c>
      <c r="AH94" s="16" t="e">
        <f t="shared" si="16"/>
        <v>#N/A</v>
      </c>
      <c r="AI94" s="12" t="e">
        <f t="shared" si="17"/>
        <v>#N/A</v>
      </c>
      <c r="AJ94" s="32" t="e">
        <f>IF(AF94&lt;Bewertung_Stammdaten!B$38,Bewertung_Stammdaten!A$38,IF(AF94&lt;Bewertung_Stammdaten!B$39,Bewertung_Stammdaten!A$39,IF(AF94&lt;Bewertung_Stammdaten!B$40,Bewertung_Stammdaten!A$40,IF(AF94&lt;Bewertung_Stammdaten!B$41,Bewertung_Stammdaten!A$41,IF(AF94&lt;Bewertung_Stammdaten!B$42,Bewertung_Stammdaten!A$42,IF(AF94&lt;Bewertung_Stammdaten!B$43,Bewertung_Stammdaten!A$43,IF(AF94&lt;Bewertung_Stammdaten!B$44,Bewertung_Stammdaten!A$44,IF(AF94&lt;Bewertung_Stammdaten!B$45,Bewertung_Stammdaten!A$45,IF(AF94&lt;Bewertung_Stammdaten!B$46,Bewertung_Stammdaten!A$46,Bewertung_Stammdaten!A$47)))))))))</f>
        <v>#N/A</v>
      </c>
      <c r="AK94" s="32" t="e">
        <f>IF(AG94&lt;Bewertung_Stammdaten!F$38,Bewertung_Stammdaten!E$38,IF(AG94&lt;Bewertung_Stammdaten!F$39,Bewertung_Stammdaten!E$39,IF(AG94&lt;Bewertung_Stammdaten!F$40,Bewertung_Stammdaten!E$40,IF(AG94&lt;Bewertung_Stammdaten!F$41,Bewertung_Stammdaten!E$41,IF(AG94&lt;Bewertung_Stammdaten!F$42,Bewertung_Stammdaten!E$42,IF(AG94&lt;Bewertung_Stammdaten!F$43,Bewertung_Stammdaten!E$43,IF(AG94&lt;Bewertung_Stammdaten!F$44,Bewertung_Stammdaten!E$44,IF(AG94&lt;Bewertung_Stammdaten!F$45,Bewertung_Stammdaten!E$45,IF(AG94&lt;Bewertung_Stammdaten!F$46,Bewertung_Stammdaten!E$46,Bewertung_Stammdaten!E$47)))))))))</f>
        <v>#N/A</v>
      </c>
      <c r="AL94" s="32" t="e">
        <f>IF(AI94&lt;Bewertung_Stammdaten!J$38,Bewertung_Stammdaten!I$38,IF(AI94&lt;Bewertung_Stammdaten!J$39,Bewertung_Stammdaten!I$39,IF(AI94&lt;Bewertung_Stammdaten!J$40,Bewertung_Stammdaten!I$40,IF(AI94&lt;Bewertung_Stammdaten!J$41,Bewertung_Stammdaten!I$41,IF(AI94&lt;Bewertung_Stammdaten!J$42,Bewertung_Stammdaten!I$42,IF(AI94&lt;Bewertung_Stammdaten!J$43,Bewertung_Stammdaten!I$43,IF(AI94&lt;Bewertung_Stammdaten!J$44,Bewertung_Stammdaten!I$44,IF(AI94&lt;Bewertung_Stammdaten!J$45,Bewertung_Stammdaten!I$45,IF(AI94&lt;Bewertung_Stammdaten!J$46,Bewertung_Stammdaten!I$46,Bewertung_Stammdaten!I$47)))))))))</f>
        <v>#N/A</v>
      </c>
      <c r="AM94" s="43"/>
      <c r="AN94" s="14" t="e">
        <f>VLOOKUP(A94,Dividende_je_Aktie!A$3:AM$103,24,FALSE)</f>
        <v>#N/A</v>
      </c>
      <c r="AO94" s="14" t="e">
        <f>VLOOKUP(A94,Dividende_je_Aktie!A$3:AM$103,20,FALSE)</f>
        <v>#N/A</v>
      </c>
      <c r="AP94" s="12" t="e">
        <f>VLOOKUP(A94,Dividende_je_Aktie!A$3:AM$103,25,FALSE)</f>
        <v>#N/A</v>
      </c>
      <c r="AQ94" s="40" t="e">
        <f>VLOOKUP(A94,Dividende_je_Aktie!A$3:AM$103,39,FALSE)</f>
        <v>#N/A</v>
      </c>
      <c r="AR94" s="16" t="e">
        <f t="shared" si="18"/>
        <v>#N/A</v>
      </c>
      <c r="AS94" s="12" t="e">
        <f t="shared" si="19"/>
        <v>#N/A</v>
      </c>
      <c r="AT94" s="32" t="e">
        <f>IF(AP94&lt;Bewertung_Stammdaten!B$51,Bewertung_Stammdaten!A$51,IF(AP94&lt;Bewertung_Stammdaten!B$52,Bewertung_Stammdaten!A$52,IF(AP94&lt;Bewertung_Stammdaten!B$53,Bewertung_Stammdaten!A$53,IF(AP94&lt;Bewertung_Stammdaten!B$54,Bewertung_Stammdaten!A$54,IF(AP94&lt;Bewertung_Stammdaten!B$55,Bewertung_Stammdaten!A$55,IF(AP94&lt;Bewertung_Stammdaten!B$56,Bewertung_Stammdaten!A$56,IF(AP94&lt;Bewertung_Stammdaten!B$57,Bewertung_Stammdaten!A$57,IF(AP94&lt;Bewertung_Stammdaten!B$58,Bewertung_Stammdaten!A$58,IF(AP94&lt;Bewertung_Stammdaten!B$59,Bewertung_Stammdaten!A$59,Bewertung_Stammdaten!A$60)))))))))</f>
        <v>#N/A</v>
      </c>
      <c r="AU94" s="32" t="e">
        <f>IF(AQ94&lt;Bewertung_Stammdaten!F$51,Bewertung_Stammdaten!E$51,IF(AQ94&lt;Bewertung_Stammdaten!F$52,Bewertung_Stammdaten!E$52,IF(AQ94&lt;Bewertung_Stammdaten!F$53,Bewertung_Stammdaten!E$53,IF(AQ94&lt;Bewertung_Stammdaten!F$54,Bewertung_Stammdaten!E$54,IF(AQ94&lt;Bewertung_Stammdaten!F$55,Bewertung_Stammdaten!E$55,IF(AQ94&lt;Bewertung_Stammdaten!F$56,Bewertung_Stammdaten!E$56,IF(AQ94&lt;Bewertung_Stammdaten!F$57,Bewertung_Stammdaten!E$57,IF(AQ94&lt;Bewertung_Stammdaten!F$58,Bewertung_Stammdaten!E$58,IF(AQ94&lt;Bewertung_Stammdaten!F$59,Bewertung_Stammdaten!E$59,Bewertung_Stammdaten!E$60)))))))))</f>
        <v>#N/A</v>
      </c>
      <c r="AV94" s="32" t="e">
        <f>IF(AS94&lt;Bewertung_Stammdaten!J$51,Bewertung_Stammdaten!I$51,IF(AS94&lt;Bewertung_Stammdaten!J$52,Bewertung_Stammdaten!I$52,IF(AS94&lt;Bewertung_Stammdaten!J$53,Bewertung_Stammdaten!I$53,IF(AS94&lt;Bewertung_Stammdaten!J$54,Bewertung_Stammdaten!I$54,IF(AS94&lt;Bewertung_Stammdaten!J$55,Bewertung_Stammdaten!I$55,IF(AS94&lt;Bewertung_Stammdaten!J$56,Bewertung_Stammdaten!I$56,IF(AS94&lt;Bewertung_Stammdaten!J$57,Bewertung_Stammdaten!I$57,IF(AS94&lt;Bewertung_Stammdaten!J$58,Bewertung_Stammdaten!I$58,IF(AS94&lt;Bewertung_Stammdaten!J$59,Bewertung_Stammdaten!I$59,Bewertung_Stammdaten!I$60)))))))))</f>
        <v>#N/A</v>
      </c>
      <c r="AW94" s="43"/>
      <c r="AX94" s="12" t="e">
        <f>VLOOKUP(A94,Dividendenrendite!A$3:R$103,17,FALSE)</f>
        <v>#N/A</v>
      </c>
      <c r="AY94" s="12" t="e">
        <f>VLOOKUP(A94,Dividendenrendite!A$3:R$103,16,FALSE)</f>
        <v>#N/A</v>
      </c>
      <c r="AZ94" s="12" t="e">
        <f>VLOOKUP(A94,Dividendenrendite!A$3:R$103,18,FALSE)</f>
        <v>#N/A</v>
      </c>
      <c r="BA94" s="32" t="e">
        <f>IF(AX94&lt;Bewertung_Stammdaten!B$64,Bewertung_Stammdaten!A$64,IF(AX94&lt;Bewertung_Stammdaten!B$65,Bewertung_Stammdaten!A$65,IF(AX94&lt;Bewertung_Stammdaten!B$66,Bewertung_Stammdaten!A$66,IF(AX94&lt;Bewertung_Stammdaten!B$67,Bewertung_Stammdaten!A$67,IF(AX94&lt;Bewertung_Stammdaten!B$68,Bewertung_Stammdaten!A$68,IF(AX94&lt;Bewertung_Stammdaten!B$69,Bewertung_Stammdaten!A$69,IF(AX94&lt;Bewertung_Stammdaten!B$70,Bewertung_Stammdaten!A$70,IF(AX94&lt;Bewertung_Stammdaten!B$71,Bewertung_Stammdaten!A$71,IF(AX94&lt;Bewertung_Stammdaten!B$72,Bewertung_Stammdaten!A$72,Bewertung_Stammdaten!A$73)))))))))</f>
        <v>#N/A</v>
      </c>
      <c r="BB94" s="32" t="e">
        <f>IF(AY94&lt;Bewertung_Stammdaten!F$64,Bewertung_Stammdaten!E$64,IF(AY94&lt;Bewertung_Stammdaten!F$65,Bewertung_Stammdaten!E$65,IF(AY94&lt;Bewertung_Stammdaten!F$66,Bewertung_Stammdaten!E$66,IF(AY94&lt;Bewertung_Stammdaten!F$67,Bewertung_Stammdaten!E$67,IF(AY94&lt;Bewertung_Stammdaten!F$68,Bewertung_Stammdaten!E$68,IF(AY94&lt;Bewertung_Stammdaten!F$69,Bewertung_Stammdaten!E$69,IF(AY94&lt;Bewertung_Stammdaten!F$70,Bewertung_Stammdaten!E$70,IF(AY94&lt;Bewertung_Stammdaten!F$71,Bewertung_Stammdaten!E$71,IF(AY94&lt;Bewertung_Stammdaten!F$72,Bewertung_Stammdaten!E$72,Bewertung_Stammdaten!E$73)))))))))</f>
        <v>#N/A</v>
      </c>
      <c r="BC94" s="32" t="e">
        <f>IF(AZ94&lt;Bewertung_Stammdaten!J$64,Bewertung_Stammdaten!I$64,IF(AZ94&lt;Bewertung_Stammdaten!J$65,Bewertung_Stammdaten!I$65,IF(AZ94&lt;Bewertung_Stammdaten!J$66,Bewertung_Stammdaten!I$66,IF(AZ94&lt;Bewertung_Stammdaten!J$67,Bewertung_Stammdaten!I$67,IF(AZ94&lt;Bewertung_Stammdaten!J$68,Bewertung_Stammdaten!I$68,IF(AZ94&lt;Bewertung_Stammdaten!J$69,Bewertung_Stammdaten!I$69,IF(AZ94&lt;Bewertung_Stammdaten!J$70,Bewertung_Stammdaten!I$70,IF(AZ94&lt;Bewertung_Stammdaten!J$71,Bewertung_Stammdaten!I$71,IF(AZ94&lt;Bewertung_Stammdaten!J$72,Bewertung_Stammdaten!I$72,Bewertung_Stammdaten!I$73)))))))))</f>
        <v>#N/A</v>
      </c>
      <c r="BD94" s="43"/>
      <c r="BE94" s="12" t="e">
        <f>VLOOKUP(A94,Aktien_im_Umlauf_splitbereinigt!A$3:Z$103,26,FALSE)</f>
        <v>#N/A</v>
      </c>
      <c r="BF94" s="12" t="e">
        <f>VLOOKUP(A94,Aktien_im_Umlauf_splitbereinigt!A$3:Y$103,24,FALSE)</f>
        <v>#N/A</v>
      </c>
      <c r="BG94" s="12" t="e">
        <f>VLOOKUP(A94,Aktien_im_Umlauf_splitbereinigt!A$3:Y$103,25,FALSE)</f>
        <v>#N/A</v>
      </c>
      <c r="BH94" s="41" t="e">
        <f>IF(BE94&lt;Bewertung_Stammdaten!B$77,Bewertung_Stammdaten!A$77,IF(BE94&lt;Bewertung_Stammdaten!B$78,Bewertung_Stammdaten!A$78,IF(BE94&lt;Bewertung_Stammdaten!B$79,Bewertung_Stammdaten!A$79,IF(BE94&lt;Bewertung_Stammdaten!B$80,Bewertung_Stammdaten!A$80,IF(BE94&lt;Bewertung_Stammdaten!B$81,Bewertung_Stammdaten!A$81,IF(BE94&lt;Bewertung_Stammdaten!B$82,Bewertung_Stammdaten!A$82,IF(BE94&lt;Bewertung_Stammdaten!B$83,Bewertung_Stammdaten!A$83,IF(BE94&lt;Bewertung_Stammdaten!B$84,Bewertung_Stammdaten!A$84,IF(BE94&lt;Bewertung_Stammdaten!B$85,Bewertung_Stammdaten!A$85,Bewertung_Stammdaten!A$86)))))))))</f>
        <v>#N/A</v>
      </c>
      <c r="BI94" s="41" t="e">
        <f>IF(BF94&lt;Bewertung_Stammdaten!F$77,Bewertung_Stammdaten!E$77,IF(BF94&lt;Bewertung_Stammdaten!F$78,Bewertung_Stammdaten!E$78,IF(BF94&lt;Bewertung_Stammdaten!F$79,Bewertung_Stammdaten!E$79,IF(BF94&lt;Bewertung_Stammdaten!F$80,Bewertung_Stammdaten!E$80,IF(BF94&lt;Bewertung_Stammdaten!F$81,Bewertung_Stammdaten!E$81,IF(BF94&lt;Bewertung_Stammdaten!F$82,Bewertung_Stammdaten!E$82,IF(BF94&lt;Bewertung_Stammdaten!F$83,Bewertung_Stammdaten!E$83,IF(BF94&lt;Bewertung_Stammdaten!F$84,Bewertung_Stammdaten!E$84,IF(BF94&lt;Bewertung_Stammdaten!F$85,Bewertung_Stammdaten!E$85,Bewertung_Stammdaten!E$86)))))))))</f>
        <v>#N/A</v>
      </c>
      <c r="BJ94" s="41" t="e">
        <f>IF(BG94&lt;Bewertung_Stammdaten!J$77,Bewertung_Stammdaten!I$77,IF(BG94&lt;Bewertung_Stammdaten!J$78,Bewertung_Stammdaten!I$78,IF(BG94&lt;Bewertung_Stammdaten!J$79,Bewertung_Stammdaten!I$79,IF(BG94&lt;Bewertung_Stammdaten!J$80,Bewertung_Stammdaten!I$80,IF(BG94&lt;Bewertung_Stammdaten!J$81,Bewertung_Stammdaten!I$81,IF(BG94&lt;Bewertung_Stammdaten!J$82,Bewertung_Stammdaten!I$82,IF(BG94&lt;Bewertung_Stammdaten!J$83,Bewertung_Stammdaten!I$83,IF(BG94&lt;Bewertung_Stammdaten!J$84,Bewertung_Stammdaten!I$84,IF(BG94&lt;Bewertung_Stammdaten!J$85,Bewertung_Stammdaten!I$85,Bewertung_Stammdaten!I$86)))))))))</f>
        <v>#N/A</v>
      </c>
      <c r="BK94" s="43"/>
      <c r="BL94" s="12" t="e">
        <f>VLOOKUP(A94,Ausschüttungsquote!A$3:X$103,23,FALSE)</f>
        <v>#N/A</v>
      </c>
      <c r="BM94" s="12" t="e">
        <f>VLOOKUP(A94,Ausschüttungsquote!A$3:X$103,19,FALSE)</f>
        <v>#N/A</v>
      </c>
      <c r="BN94" s="12" t="e">
        <f>VLOOKUP(A94,Ausschüttungsquote!A$3:X$103,24,FALSE)</f>
        <v>#N/A</v>
      </c>
      <c r="BO94" s="32" t="e">
        <f>IF(BL94&lt;Bewertung_Stammdaten!B$90,Bewertung_Stammdaten!A$90,IF(BL94&lt;Bewertung_Stammdaten!B$91,Bewertung_Stammdaten!A$91,IF(BL94&lt;Bewertung_Stammdaten!B$92,Bewertung_Stammdaten!A$92,IF(BL94&lt;Bewertung_Stammdaten!B$93,Bewertung_Stammdaten!A$93,IF(BL94&lt;Bewertung_Stammdaten!B$94,Bewertung_Stammdaten!A$94,IF(BL94&lt;Bewertung_Stammdaten!B$95,Bewertung_Stammdaten!A$95,IF(BL94&lt;Bewertung_Stammdaten!B$96,Bewertung_Stammdaten!A$96,IF(BL94&lt;Bewertung_Stammdaten!B$97,Bewertung_Stammdaten!A$97,IF(BL94&lt;Bewertung_Stammdaten!B$98,Bewertung_Stammdaten!A$98,Bewertung_Stammdaten!A$99)))))))))</f>
        <v>#N/A</v>
      </c>
      <c r="BP94" s="41" t="e">
        <f>IF(BM94&lt;Bewertung_Stammdaten!F$90,Bewertung_Stammdaten!E$90,IF(BM94&lt;Bewertung_Stammdaten!F$91,Bewertung_Stammdaten!E$91,IF(BM94&lt;Bewertung_Stammdaten!F$92,Bewertung_Stammdaten!E$92,IF(BM94&lt;Bewertung_Stammdaten!F$93,Bewertung_Stammdaten!E$93,IF(BM94&lt;Bewertung_Stammdaten!F$94,Bewertung_Stammdaten!E$94,IF(BM94&lt;Bewertung_Stammdaten!F$95,Bewertung_Stammdaten!E$95,IF(BM94&lt;Bewertung_Stammdaten!F$96,Bewertung_Stammdaten!E$96,IF(BM94&lt;Bewertung_Stammdaten!F$97,Bewertung_Stammdaten!E$97,IF(BM94&lt;Bewertung_Stammdaten!F$98,Bewertung_Stammdaten!E$98,Bewertung_Stammdaten!E$99)))))))))</f>
        <v>#N/A</v>
      </c>
      <c r="BQ94" s="32" t="e">
        <f>IF(BN94&lt;Bewertung_Stammdaten!J$90,Bewertung_Stammdaten!I$90,IF(BN94&lt;Bewertung_Stammdaten!J$91,Bewertung_Stammdaten!I$91,IF(BN94&lt;Bewertung_Stammdaten!J$92,Bewertung_Stammdaten!I$92,IF(BN94&lt;Bewertung_Stammdaten!J$93,Bewertung_Stammdaten!I$93,IF(BN94&lt;Bewertung_Stammdaten!J$94,Bewertung_Stammdaten!I$94,IF(BN94&lt;Bewertung_Stammdaten!J$95,Bewertung_Stammdaten!I$95,IF(BN94&lt;Bewertung_Stammdaten!J$96,Bewertung_Stammdaten!I$96,IF(BN94&lt;Bewertung_Stammdaten!J$97,Bewertung_Stammdaten!I$97,IF(BN94&lt;Bewertung_Stammdaten!J$98,Bewertung_Stammdaten!I$98,Bewertung_Stammdaten!I$99)))))))))</f>
        <v>#N/A</v>
      </c>
    </row>
    <row r="95" spans="3:69" x14ac:dyDescent="0.25">
      <c r="C95" s="55" t="s">
        <v>297</v>
      </c>
      <c r="D95" s="32" t="e">
        <f t="shared" si="11"/>
        <v>#N/A</v>
      </c>
      <c r="E95" s="43"/>
      <c r="F95" s="66">
        <v>1</v>
      </c>
      <c r="G95" s="11" t="e">
        <f>VLOOKUP(A95,KGV!A$3:R$103,17,FALSE)</f>
        <v>#N/A</v>
      </c>
      <c r="H95" s="11" t="e">
        <f>VLOOKUP(A95,KGV!A$3:R$103,16,FALSE)</f>
        <v>#N/A</v>
      </c>
      <c r="I95" s="12" t="e">
        <f>VLOOKUP(A95,KGV!A$3:R$103,18,FALSE)</f>
        <v>#N/A</v>
      </c>
      <c r="J95" s="16" t="e">
        <f t="shared" si="12"/>
        <v>#N/A</v>
      </c>
      <c r="K95" s="12" t="e">
        <f t="shared" si="13"/>
        <v>#N/A</v>
      </c>
      <c r="L95" s="11" t="e">
        <f>VLOOKUP(A95,KBV!A$3:R$103,17,FALSE)</f>
        <v>#N/A</v>
      </c>
      <c r="M95" s="11" t="e">
        <f>VLOOKUP(A95,KBV!A$3:R$103,16,FALSE)</f>
        <v>#N/A</v>
      </c>
      <c r="N95" s="12" t="e">
        <f>VLOOKUP(A95,KBV!A$3:R$103,18,FALSE)</f>
        <v>#N/A</v>
      </c>
      <c r="O95" s="16" t="e">
        <f t="shared" si="20"/>
        <v>#N/A</v>
      </c>
      <c r="P95" s="12" t="e">
        <f t="shared" si="21"/>
        <v>#N/A</v>
      </c>
      <c r="Q95" s="32" t="e">
        <f>IF(F95=1,IF(I95&lt;Bewertung_Stammdaten!B$12,Bewertung_Stammdaten!A$12,IF(I95&lt;Bewertung_Stammdaten!B$13,Bewertung_Stammdaten!A$13,IF(I95&lt;Bewertung_Stammdaten!B$14,Bewertung_Stammdaten!A$14,IF(I95&lt;Bewertung_Stammdaten!B$15,Bewertung_Stammdaten!A$15,IF(I95&lt;Bewertung_Stammdaten!B$16,Bewertung_Stammdaten!A$16,IF(I95&lt;Bewertung_Stammdaten!B$17,Bewertung_Stammdaten!A$17,IF(I95&lt;Bewertung_Stammdaten!B$18,Bewertung_Stammdaten!A$18,IF(I95&lt;Bewertung_Stammdaten!B$19,Bewertung_Stammdaten!A$19,IF(I95&lt;Bewertung_Stammdaten!B$20,Bewertung_Stammdaten!A$20,Bewertung_Stammdaten!A$21))))))))),IF(N95&lt;Bewertung_Stammdaten!C$12,Bewertung_Stammdaten!A$12,IF(N95&lt;Bewertung_Stammdaten!C$13,Bewertung_Stammdaten!A$13,IF(N95&lt;Bewertung_Stammdaten!C$14,Bewertung_Stammdaten!A$14,IF(N95&lt;Bewertung_Stammdaten!C$15,Bewertung_Stammdaten!A$15,IF(N95&lt;Bewertung_Stammdaten!C$16,Bewertung_Stammdaten!A$16,IF(N95&lt;Bewertung_Stammdaten!C$17,Bewertung_Stammdaten!A$17,IF(N95&lt;Bewertung_Stammdaten!C$18,Bewertung_Stammdaten!A$18,IF(N95&lt;Bewertung_Stammdaten!C$19,Bewertung_Stammdaten!A$19,IF(N95&lt;Bewertung_Stammdaten!C$20,Bewertung_Stammdaten!A$20,Bewertung_Stammdaten!A$21))))))))))</f>
        <v>#N/A</v>
      </c>
      <c r="R95" s="32" t="e">
        <f>IF(F95=1,IF(K95&lt;Bewertung_Stammdaten!F$12,Bewertung_Stammdaten!E$12,IF(K95&lt;Bewertung_Stammdaten!F$13,Bewertung_Stammdaten!E$13,IF(K95&lt;Bewertung_Stammdaten!F$14,Bewertung_Stammdaten!E$14,IF(K95&lt;Bewertung_Stammdaten!F$15,Bewertung_Stammdaten!E$15,IF(K95&lt;Bewertung_Stammdaten!F$16,Bewertung_Stammdaten!E$16,IF(K95&lt;Bewertung_Stammdaten!F$17,Bewertung_Stammdaten!E$17,IF(K95&lt;Bewertung_Stammdaten!F$18,Bewertung_Stammdaten!E$18,IF(K95&lt;Bewertung_Stammdaten!F$19,Bewertung_Stammdaten!E$19,IF(K95&lt;Bewertung_Stammdaten!F$20,Bewertung_Stammdaten!E$20,Bewertung_Stammdaten!E$21))))))))),IF(P95&lt;Bewertung_Stammdaten!G$12,Bewertung_Stammdaten!E$12,IF(P95&lt;Bewertung_Stammdaten!G$13,Bewertung_Stammdaten!E$13,IF(P95&lt;Bewertung_Stammdaten!G$14,Bewertung_Stammdaten!E$14,IF(P95&lt;Bewertung_Stammdaten!G$15,Bewertung_Stammdaten!E$15,IF(P95&lt;Bewertung_Stammdaten!G$16,Bewertung_Stammdaten!E$16,IF(P95&lt;Bewertung_Stammdaten!G$17,Bewertung_Stammdaten!E$17,IF(P95&lt;Bewertung_Stammdaten!G$18,Bewertung_Stammdaten!E$18,IF(P95&lt;Bewertung_Stammdaten!G$19,Bewertung_Stammdaten!E$19,IF(P95&lt;Bewertung_Stammdaten!G$20,Bewertung_Stammdaten!E$20,Bewertung_Stammdaten!E$21))))))))))</f>
        <v>#N/A</v>
      </c>
      <c r="S95" s="43"/>
      <c r="T95" s="11" t="e">
        <f>VLOOKUP(A95,Buchwert_je_Aktie!A$3:AK$103,23,FALSE)</f>
        <v>#N/A</v>
      </c>
      <c r="U95" s="11" t="e">
        <f>VLOOKUP(A95,Buchwert_je_Aktie!A$3:AK$103,19,FALSE)</f>
        <v>#N/A</v>
      </c>
      <c r="V95" s="12" t="e">
        <f>VLOOKUP(A95,Buchwert_je_Aktie!A$3:AK$103,24,FALSE)</f>
        <v>#N/A</v>
      </c>
      <c r="W95" s="12" t="e">
        <f>VLOOKUP(A95,Buchwert_je_Aktie!A$3:AK$103,37,FALSE)</f>
        <v>#N/A</v>
      </c>
      <c r="X95" s="16" t="e">
        <f t="shared" si="14"/>
        <v>#N/A</v>
      </c>
      <c r="Y95" s="12" t="e">
        <f t="shared" si="15"/>
        <v>#N/A</v>
      </c>
      <c r="Z95" s="51" t="e">
        <f>IF(V95&lt;Bewertung_Stammdaten!B$25,Bewertung_Stammdaten!A$25,IF(V95&lt;Bewertung_Stammdaten!B$26,Bewertung_Stammdaten!A$26,IF(V95&lt;Bewertung_Stammdaten!B$27,Bewertung_Stammdaten!A$27,IF(V95&lt;Bewertung_Stammdaten!B$28,Bewertung_Stammdaten!A$28,IF(V95&lt;Bewertung_Stammdaten!B$29,Bewertung_Stammdaten!A$29,IF(V95&lt;Bewertung_Stammdaten!B$30,Bewertung_Stammdaten!A$30,IF(V95&lt;Bewertung_Stammdaten!B$31,Bewertung_Stammdaten!A$31,IF(V95&lt;Bewertung_Stammdaten!B$32,Bewertung_Stammdaten!A$32,IF(V95&lt;Bewertung_Stammdaten!B$33,Bewertung_Stammdaten!A$33,Bewertung_Stammdaten!A$34)))))))))</f>
        <v>#N/A</v>
      </c>
      <c r="AA95" s="51" t="e">
        <f>IF(W95&lt;Bewertung_Stammdaten!F$25,Bewertung_Stammdaten!E$25,IF(W95&lt;Bewertung_Stammdaten!F$26,Bewertung_Stammdaten!E$26,IF(W95&lt;Bewertung_Stammdaten!F$27,Bewertung_Stammdaten!E$27,IF(W95&lt;Bewertung_Stammdaten!F$28,Bewertung_Stammdaten!E$28,IF(W95&lt;Bewertung_Stammdaten!F$29,Bewertung_Stammdaten!E$29,IF(W95&lt;Bewertung_Stammdaten!F$30,Bewertung_Stammdaten!E$30,IF(W95&lt;Bewertung_Stammdaten!F$31,Bewertung_Stammdaten!E$31,IF(W95&lt;Bewertung_Stammdaten!F$32,Bewertung_Stammdaten!E$32,IF(W95&lt;Bewertung_Stammdaten!F$33,Bewertung_Stammdaten!E$33,Bewertung_Stammdaten!E$34)))))))))</f>
        <v>#N/A</v>
      </c>
      <c r="AB95" s="51" t="e">
        <f>IF(Y95&lt;Bewertung_Stammdaten!J$25,Bewertung_Stammdaten!I$25,IF(Y95&lt;Bewertung_Stammdaten!J$26,Bewertung_Stammdaten!I$26,IF(Y95&lt;Bewertung_Stammdaten!J$27,Bewertung_Stammdaten!I$27,IF(Y95&lt;Bewertung_Stammdaten!J$28,Bewertung_Stammdaten!I$28,IF(Y95&lt;Bewertung_Stammdaten!J$29,Bewertung_Stammdaten!I$29,IF(Y95&lt;Bewertung_Stammdaten!J$30,Bewertung_Stammdaten!I$30,IF(Y95&lt;Bewertung_Stammdaten!J$31,Bewertung_Stammdaten!I$31,IF(Y95&lt;Bewertung_Stammdaten!J$32,Bewertung_Stammdaten!I$32,IF(Y95&lt;Bewertung_Stammdaten!J$33,Bewertung_Stammdaten!I$33,Bewertung_Stammdaten!I$34)))))))))</f>
        <v>#N/A</v>
      </c>
      <c r="AC95" s="43"/>
      <c r="AD95" s="14" t="e">
        <f>VLOOKUP(A95,Ergebnis_je_Aktie_verwässert!A$3:AK$103,23,FALSE)</f>
        <v>#N/A</v>
      </c>
      <c r="AE95" s="14" t="e">
        <f>VLOOKUP(A95,Ergebnis_je_Aktie_verwässert!A$3:AK$103,19,FALSE)</f>
        <v>#N/A</v>
      </c>
      <c r="AF95" s="12" t="e">
        <f>VLOOKUP(A95,Ergebnis_je_Aktie_verwässert!A$3:AK$103,24,FALSE)</f>
        <v>#N/A</v>
      </c>
      <c r="AG95" s="40" t="e">
        <f>VLOOKUP(A95,Ergebnis_je_Aktie_verwässert!A$3:AK$103,37,FALSE)</f>
        <v>#N/A</v>
      </c>
      <c r="AH95" s="16" t="e">
        <f t="shared" si="16"/>
        <v>#N/A</v>
      </c>
      <c r="AI95" s="12" t="e">
        <f t="shared" si="17"/>
        <v>#N/A</v>
      </c>
      <c r="AJ95" s="32" t="e">
        <f>IF(AF95&lt;Bewertung_Stammdaten!B$38,Bewertung_Stammdaten!A$38,IF(AF95&lt;Bewertung_Stammdaten!B$39,Bewertung_Stammdaten!A$39,IF(AF95&lt;Bewertung_Stammdaten!B$40,Bewertung_Stammdaten!A$40,IF(AF95&lt;Bewertung_Stammdaten!B$41,Bewertung_Stammdaten!A$41,IF(AF95&lt;Bewertung_Stammdaten!B$42,Bewertung_Stammdaten!A$42,IF(AF95&lt;Bewertung_Stammdaten!B$43,Bewertung_Stammdaten!A$43,IF(AF95&lt;Bewertung_Stammdaten!B$44,Bewertung_Stammdaten!A$44,IF(AF95&lt;Bewertung_Stammdaten!B$45,Bewertung_Stammdaten!A$45,IF(AF95&lt;Bewertung_Stammdaten!B$46,Bewertung_Stammdaten!A$46,Bewertung_Stammdaten!A$47)))))))))</f>
        <v>#N/A</v>
      </c>
      <c r="AK95" s="32" t="e">
        <f>IF(AG95&lt;Bewertung_Stammdaten!F$38,Bewertung_Stammdaten!E$38,IF(AG95&lt;Bewertung_Stammdaten!F$39,Bewertung_Stammdaten!E$39,IF(AG95&lt;Bewertung_Stammdaten!F$40,Bewertung_Stammdaten!E$40,IF(AG95&lt;Bewertung_Stammdaten!F$41,Bewertung_Stammdaten!E$41,IF(AG95&lt;Bewertung_Stammdaten!F$42,Bewertung_Stammdaten!E$42,IF(AG95&lt;Bewertung_Stammdaten!F$43,Bewertung_Stammdaten!E$43,IF(AG95&lt;Bewertung_Stammdaten!F$44,Bewertung_Stammdaten!E$44,IF(AG95&lt;Bewertung_Stammdaten!F$45,Bewertung_Stammdaten!E$45,IF(AG95&lt;Bewertung_Stammdaten!F$46,Bewertung_Stammdaten!E$46,Bewertung_Stammdaten!E$47)))))))))</f>
        <v>#N/A</v>
      </c>
      <c r="AL95" s="32" t="e">
        <f>IF(AI95&lt;Bewertung_Stammdaten!J$38,Bewertung_Stammdaten!I$38,IF(AI95&lt;Bewertung_Stammdaten!J$39,Bewertung_Stammdaten!I$39,IF(AI95&lt;Bewertung_Stammdaten!J$40,Bewertung_Stammdaten!I$40,IF(AI95&lt;Bewertung_Stammdaten!J$41,Bewertung_Stammdaten!I$41,IF(AI95&lt;Bewertung_Stammdaten!J$42,Bewertung_Stammdaten!I$42,IF(AI95&lt;Bewertung_Stammdaten!J$43,Bewertung_Stammdaten!I$43,IF(AI95&lt;Bewertung_Stammdaten!J$44,Bewertung_Stammdaten!I$44,IF(AI95&lt;Bewertung_Stammdaten!J$45,Bewertung_Stammdaten!I$45,IF(AI95&lt;Bewertung_Stammdaten!J$46,Bewertung_Stammdaten!I$46,Bewertung_Stammdaten!I$47)))))))))</f>
        <v>#N/A</v>
      </c>
      <c r="AM95" s="43"/>
      <c r="AN95" s="14" t="e">
        <f>VLOOKUP(A95,Dividende_je_Aktie!A$3:AM$103,24,FALSE)</f>
        <v>#N/A</v>
      </c>
      <c r="AO95" s="14" t="e">
        <f>VLOOKUP(A95,Dividende_je_Aktie!A$3:AM$103,20,FALSE)</f>
        <v>#N/A</v>
      </c>
      <c r="AP95" s="12" t="e">
        <f>VLOOKUP(A95,Dividende_je_Aktie!A$3:AM$103,25,FALSE)</f>
        <v>#N/A</v>
      </c>
      <c r="AQ95" s="40" t="e">
        <f>VLOOKUP(A95,Dividende_je_Aktie!A$3:AM$103,39,FALSE)</f>
        <v>#N/A</v>
      </c>
      <c r="AR95" s="16" t="e">
        <f t="shared" si="18"/>
        <v>#N/A</v>
      </c>
      <c r="AS95" s="12" t="e">
        <f t="shared" si="19"/>
        <v>#N/A</v>
      </c>
      <c r="AT95" s="32" t="e">
        <f>IF(AP95&lt;Bewertung_Stammdaten!B$51,Bewertung_Stammdaten!A$51,IF(AP95&lt;Bewertung_Stammdaten!B$52,Bewertung_Stammdaten!A$52,IF(AP95&lt;Bewertung_Stammdaten!B$53,Bewertung_Stammdaten!A$53,IF(AP95&lt;Bewertung_Stammdaten!B$54,Bewertung_Stammdaten!A$54,IF(AP95&lt;Bewertung_Stammdaten!B$55,Bewertung_Stammdaten!A$55,IF(AP95&lt;Bewertung_Stammdaten!B$56,Bewertung_Stammdaten!A$56,IF(AP95&lt;Bewertung_Stammdaten!B$57,Bewertung_Stammdaten!A$57,IF(AP95&lt;Bewertung_Stammdaten!B$58,Bewertung_Stammdaten!A$58,IF(AP95&lt;Bewertung_Stammdaten!B$59,Bewertung_Stammdaten!A$59,Bewertung_Stammdaten!A$60)))))))))</f>
        <v>#N/A</v>
      </c>
      <c r="AU95" s="32" t="e">
        <f>IF(AQ95&lt;Bewertung_Stammdaten!F$51,Bewertung_Stammdaten!E$51,IF(AQ95&lt;Bewertung_Stammdaten!F$52,Bewertung_Stammdaten!E$52,IF(AQ95&lt;Bewertung_Stammdaten!F$53,Bewertung_Stammdaten!E$53,IF(AQ95&lt;Bewertung_Stammdaten!F$54,Bewertung_Stammdaten!E$54,IF(AQ95&lt;Bewertung_Stammdaten!F$55,Bewertung_Stammdaten!E$55,IF(AQ95&lt;Bewertung_Stammdaten!F$56,Bewertung_Stammdaten!E$56,IF(AQ95&lt;Bewertung_Stammdaten!F$57,Bewertung_Stammdaten!E$57,IF(AQ95&lt;Bewertung_Stammdaten!F$58,Bewertung_Stammdaten!E$58,IF(AQ95&lt;Bewertung_Stammdaten!F$59,Bewertung_Stammdaten!E$59,Bewertung_Stammdaten!E$60)))))))))</f>
        <v>#N/A</v>
      </c>
      <c r="AV95" s="32" t="e">
        <f>IF(AS95&lt;Bewertung_Stammdaten!J$51,Bewertung_Stammdaten!I$51,IF(AS95&lt;Bewertung_Stammdaten!J$52,Bewertung_Stammdaten!I$52,IF(AS95&lt;Bewertung_Stammdaten!J$53,Bewertung_Stammdaten!I$53,IF(AS95&lt;Bewertung_Stammdaten!J$54,Bewertung_Stammdaten!I$54,IF(AS95&lt;Bewertung_Stammdaten!J$55,Bewertung_Stammdaten!I$55,IF(AS95&lt;Bewertung_Stammdaten!J$56,Bewertung_Stammdaten!I$56,IF(AS95&lt;Bewertung_Stammdaten!J$57,Bewertung_Stammdaten!I$57,IF(AS95&lt;Bewertung_Stammdaten!J$58,Bewertung_Stammdaten!I$58,IF(AS95&lt;Bewertung_Stammdaten!J$59,Bewertung_Stammdaten!I$59,Bewertung_Stammdaten!I$60)))))))))</f>
        <v>#N/A</v>
      </c>
      <c r="AW95" s="43"/>
      <c r="AX95" s="12" t="e">
        <f>VLOOKUP(A95,Dividendenrendite!A$3:R$103,17,FALSE)</f>
        <v>#N/A</v>
      </c>
      <c r="AY95" s="12" t="e">
        <f>VLOOKUP(A95,Dividendenrendite!A$3:R$103,16,FALSE)</f>
        <v>#N/A</v>
      </c>
      <c r="AZ95" s="12" t="e">
        <f>VLOOKUP(A95,Dividendenrendite!A$3:R$103,18,FALSE)</f>
        <v>#N/A</v>
      </c>
      <c r="BA95" s="32" t="e">
        <f>IF(AX95&lt;Bewertung_Stammdaten!B$64,Bewertung_Stammdaten!A$64,IF(AX95&lt;Bewertung_Stammdaten!B$65,Bewertung_Stammdaten!A$65,IF(AX95&lt;Bewertung_Stammdaten!B$66,Bewertung_Stammdaten!A$66,IF(AX95&lt;Bewertung_Stammdaten!B$67,Bewertung_Stammdaten!A$67,IF(AX95&lt;Bewertung_Stammdaten!B$68,Bewertung_Stammdaten!A$68,IF(AX95&lt;Bewertung_Stammdaten!B$69,Bewertung_Stammdaten!A$69,IF(AX95&lt;Bewertung_Stammdaten!B$70,Bewertung_Stammdaten!A$70,IF(AX95&lt;Bewertung_Stammdaten!B$71,Bewertung_Stammdaten!A$71,IF(AX95&lt;Bewertung_Stammdaten!B$72,Bewertung_Stammdaten!A$72,Bewertung_Stammdaten!A$73)))))))))</f>
        <v>#N/A</v>
      </c>
      <c r="BB95" s="32" t="e">
        <f>IF(AY95&lt;Bewertung_Stammdaten!F$64,Bewertung_Stammdaten!E$64,IF(AY95&lt;Bewertung_Stammdaten!F$65,Bewertung_Stammdaten!E$65,IF(AY95&lt;Bewertung_Stammdaten!F$66,Bewertung_Stammdaten!E$66,IF(AY95&lt;Bewertung_Stammdaten!F$67,Bewertung_Stammdaten!E$67,IF(AY95&lt;Bewertung_Stammdaten!F$68,Bewertung_Stammdaten!E$68,IF(AY95&lt;Bewertung_Stammdaten!F$69,Bewertung_Stammdaten!E$69,IF(AY95&lt;Bewertung_Stammdaten!F$70,Bewertung_Stammdaten!E$70,IF(AY95&lt;Bewertung_Stammdaten!F$71,Bewertung_Stammdaten!E$71,IF(AY95&lt;Bewertung_Stammdaten!F$72,Bewertung_Stammdaten!E$72,Bewertung_Stammdaten!E$73)))))))))</f>
        <v>#N/A</v>
      </c>
      <c r="BC95" s="32" t="e">
        <f>IF(AZ95&lt;Bewertung_Stammdaten!J$64,Bewertung_Stammdaten!I$64,IF(AZ95&lt;Bewertung_Stammdaten!J$65,Bewertung_Stammdaten!I$65,IF(AZ95&lt;Bewertung_Stammdaten!J$66,Bewertung_Stammdaten!I$66,IF(AZ95&lt;Bewertung_Stammdaten!J$67,Bewertung_Stammdaten!I$67,IF(AZ95&lt;Bewertung_Stammdaten!J$68,Bewertung_Stammdaten!I$68,IF(AZ95&lt;Bewertung_Stammdaten!J$69,Bewertung_Stammdaten!I$69,IF(AZ95&lt;Bewertung_Stammdaten!J$70,Bewertung_Stammdaten!I$70,IF(AZ95&lt;Bewertung_Stammdaten!J$71,Bewertung_Stammdaten!I$71,IF(AZ95&lt;Bewertung_Stammdaten!J$72,Bewertung_Stammdaten!I$72,Bewertung_Stammdaten!I$73)))))))))</f>
        <v>#N/A</v>
      </c>
      <c r="BD95" s="43"/>
      <c r="BE95" s="12" t="e">
        <f>VLOOKUP(A95,Aktien_im_Umlauf_splitbereinigt!A$3:Z$103,26,FALSE)</f>
        <v>#N/A</v>
      </c>
      <c r="BF95" s="12" t="e">
        <f>VLOOKUP(A95,Aktien_im_Umlauf_splitbereinigt!A$3:Y$103,24,FALSE)</f>
        <v>#N/A</v>
      </c>
      <c r="BG95" s="12" t="e">
        <f>VLOOKUP(A95,Aktien_im_Umlauf_splitbereinigt!A$3:Y$103,25,FALSE)</f>
        <v>#N/A</v>
      </c>
      <c r="BH95" s="41" t="e">
        <f>IF(BE95&lt;Bewertung_Stammdaten!B$77,Bewertung_Stammdaten!A$77,IF(BE95&lt;Bewertung_Stammdaten!B$78,Bewertung_Stammdaten!A$78,IF(BE95&lt;Bewertung_Stammdaten!B$79,Bewertung_Stammdaten!A$79,IF(BE95&lt;Bewertung_Stammdaten!B$80,Bewertung_Stammdaten!A$80,IF(BE95&lt;Bewertung_Stammdaten!B$81,Bewertung_Stammdaten!A$81,IF(BE95&lt;Bewertung_Stammdaten!B$82,Bewertung_Stammdaten!A$82,IF(BE95&lt;Bewertung_Stammdaten!B$83,Bewertung_Stammdaten!A$83,IF(BE95&lt;Bewertung_Stammdaten!B$84,Bewertung_Stammdaten!A$84,IF(BE95&lt;Bewertung_Stammdaten!B$85,Bewertung_Stammdaten!A$85,Bewertung_Stammdaten!A$86)))))))))</f>
        <v>#N/A</v>
      </c>
      <c r="BI95" s="41" t="e">
        <f>IF(BF95&lt;Bewertung_Stammdaten!F$77,Bewertung_Stammdaten!E$77,IF(BF95&lt;Bewertung_Stammdaten!F$78,Bewertung_Stammdaten!E$78,IF(BF95&lt;Bewertung_Stammdaten!F$79,Bewertung_Stammdaten!E$79,IF(BF95&lt;Bewertung_Stammdaten!F$80,Bewertung_Stammdaten!E$80,IF(BF95&lt;Bewertung_Stammdaten!F$81,Bewertung_Stammdaten!E$81,IF(BF95&lt;Bewertung_Stammdaten!F$82,Bewertung_Stammdaten!E$82,IF(BF95&lt;Bewertung_Stammdaten!F$83,Bewertung_Stammdaten!E$83,IF(BF95&lt;Bewertung_Stammdaten!F$84,Bewertung_Stammdaten!E$84,IF(BF95&lt;Bewertung_Stammdaten!F$85,Bewertung_Stammdaten!E$85,Bewertung_Stammdaten!E$86)))))))))</f>
        <v>#N/A</v>
      </c>
      <c r="BJ95" s="41" t="e">
        <f>IF(BG95&lt;Bewertung_Stammdaten!J$77,Bewertung_Stammdaten!I$77,IF(BG95&lt;Bewertung_Stammdaten!J$78,Bewertung_Stammdaten!I$78,IF(BG95&lt;Bewertung_Stammdaten!J$79,Bewertung_Stammdaten!I$79,IF(BG95&lt;Bewertung_Stammdaten!J$80,Bewertung_Stammdaten!I$80,IF(BG95&lt;Bewertung_Stammdaten!J$81,Bewertung_Stammdaten!I$81,IF(BG95&lt;Bewertung_Stammdaten!J$82,Bewertung_Stammdaten!I$82,IF(BG95&lt;Bewertung_Stammdaten!J$83,Bewertung_Stammdaten!I$83,IF(BG95&lt;Bewertung_Stammdaten!J$84,Bewertung_Stammdaten!I$84,IF(BG95&lt;Bewertung_Stammdaten!J$85,Bewertung_Stammdaten!I$85,Bewertung_Stammdaten!I$86)))))))))</f>
        <v>#N/A</v>
      </c>
      <c r="BK95" s="43"/>
      <c r="BL95" s="12" t="e">
        <f>VLOOKUP(A95,Ausschüttungsquote!A$3:X$103,23,FALSE)</f>
        <v>#N/A</v>
      </c>
      <c r="BM95" s="12" t="e">
        <f>VLOOKUP(A95,Ausschüttungsquote!A$3:X$103,19,FALSE)</f>
        <v>#N/A</v>
      </c>
      <c r="BN95" s="12" t="e">
        <f>VLOOKUP(A95,Ausschüttungsquote!A$3:X$103,24,FALSE)</f>
        <v>#N/A</v>
      </c>
      <c r="BO95" s="32" t="e">
        <f>IF(BL95&lt;Bewertung_Stammdaten!B$90,Bewertung_Stammdaten!A$90,IF(BL95&lt;Bewertung_Stammdaten!B$91,Bewertung_Stammdaten!A$91,IF(BL95&lt;Bewertung_Stammdaten!B$92,Bewertung_Stammdaten!A$92,IF(BL95&lt;Bewertung_Stammdaten!B$93,Bewertung_Stammdaten!A$93,IF(BL95&lt;Bewertung_Stammdaten!B$94,Bewertung_Stammdaten!A$94,IF(BL95&lt;Bewertung_Stammdaten!B$95,Bewertung_Stammdaten!A$95,IF(BL95&lt;Bewertung_Stammdaten!B$96,Bewertung_Stammdaten!A$96,IF(BL95&lt;Bewertung_Stammdaten!B$97,Bewertung_Stammdaten!A$97,IF(BL95&lt;Bewertung_Stammdaten!B$98,Bewertung_Stammdaten!A$98,Bewertung_Stammdaten!A$99)))))))))</f>
        <v>#N/A</v>
      </c>
      <c r="BP95" s="41" t="e">
        <f>IF(BM95&lt;Bewertung_Stammdaten!F$90,Bewertung_Stammdaten!E$90,IF(BM95&lt;Bewertung_Stammdaten!F$91,Bewertung_Stammdaten!E$91,IF(BM95&lt;Bewertung_Stammdaten!F$92,Bewertung_Stammdaten!E$92,IF(BM95&lt;Bewertung_Stammdaten!F$93,Bewertung_Stammdaten!E$93,IF(BM95&lt;Bewertung_Stammdaten!F$94,Bewertung_Stammdaten!E$94,IF(BM95&lt;Bewertung_Stammdaten!F$95,Bewertung_Stammdaten!E$95,IF(BM95&lt;Bewertung_Stammdaten!F$96,Bewertung_Stammdaten!E$96,IF(BM95&lt;Bewertung_Stammdaten!F$97,Bewertung_Stammdaten!E$97,IF(BM95&lt;Bewertung_Stammdaten!F$98,Bewertung_Stammdaten!E$98,Bewertung_Stammdaten!E$99)))))))))</f>
        <v>#N/A</v>
      </c>
      <c r="BQ95" s="32" t="e">
        <f>IF(BN95&lt;Bewertung_Stammdaten!J$90,Bewertung_Stammdaten!I$90,IF(BN95&lt;Bewertung_Stammdaten!J$91,Bewertung_Stammdaten!I$91,IF(BN95&lt;Bewertung_Stammdaten!J$92,Bewertung_Stammdaten!I$92,IF(BN95&lt;Bewertung_Stammdaten!J$93,Bewertung_Stammdaten!I$93,IF(BN95&lt;Bewertung_Stammdaten!J$94,Bewertung_Stammdaten!I$94,IF(BN95&lt;Bewertung_Stammdaten!J$95,Bewertung_Stammdaten!I$95,IF(BN95&lt;Bewertung_Stammdaten!J$96,Bewertung_Stammdaten!I$96,IF(BN95&lt;Bewertung_Stammdaten!J$97,Bewertung_Stammdaten!I$97,IF(BN95&lt;Bewertung_Stammdaten!J$98,Bewertung_Stammdaten!I$98,Bewertung_Stammdaten!I$99)))))))))</f>
        <v>#N/A</v>
      </c>
    </row>
    <row r="96" spans="3:69" x14ac:dyDescent="0.25">
      <c r="C96" s="55" t="s">
        <v>297</v>
      </c>
      <c r="D96" s="32" t="e">
        <f t="shared" si="11"/>
        <v>#N/A</v>
      </c>
      <c r="E96" s="43"/>
      <c r="F96" s="66">
        <v>1</v>
      </c>
      <c r="G96" s="11" t="e">
        <f>VLOOKUP(A96,KGV!A$3:R$103,17,FALSE)</f>
        <v>#N/A</v>
      </c>
      <c r="H96" s="11" t="e">
        <f>VLOOKUP(A96,KGV!A$3:R$103,16,FALSE)</f>
        <v>#N/A</v>
      </c>
      <c r="I96" s="12" t="e">
        <f>VLOOKUP(A96,KGV!A$3:R$103,18,FALSE)</f>
        <v>#N/A</v>
      </c>
      <c r="J96" s="16" t="e">
        <f t="shared" si="12"/>
        <v>#N/A</v>
      </c>
      <c r="K96" s="12" t="e">
        <f t="shared" si="13"/>
        <v>#N/A</v>
      </c>
      <c r="L96" s="11" t="e">
        <f>VLOOKUP(A96,KBV!A$3:R$103,17,FALSE)</f>
        <v>#N/A</v>
      </c>
      <c r="M96" s="11" t="e">
        <f>VLOOKUP(A96,KBV!A$3:R$103,16,FALSE)</f>
        <v>#N/A</v>
      </c>
      <c r="N96" s="12" t="e">
        <f>VLOOKUP(A96,KBV!A$3:R$103,18,FALSE)</f>
        <v>#N/A</v>
      </c>
      <c r="O96" s="16" t="e">
        <f t="shared" si="20"/>
        <v>#N/A</v>
      </c>
      <c r="P96" s="12" t="e">
        <f t="shared" si="21"/>
        <v>#N/A</v>
      </c>
      <c r="Q96" s="32" t="e">
        <f>IF(F96=1,IF(I96&lt;Bewertung_Stammdaten!B$12,Bewertung_Stammdaten!A$12,IF(I96&lt;Bewertung_Stammdaten!B$13,Bewertung_Stammdaten!A$13,IF(I96&lt;Bewertung_Stammdaten!B$14,Bewertung_Stammdaten!A$14,IF(I96&lt;Bewertung_Stammdaten!B$15,Bewertung_Stammdaten!A$15,IF(I96&lt;Bewertung_Stammdaten!B$16,Bewertung_Stammdaten!A$16,IF(I96&lt;Bewertung_Stammdaten!B$17,Bewertung_Stammdaten!A$17,IF(I96&lt;Bewertung_Stammdaten!B$18,Bewertung_Stammdaten!A$18,IF(I96&lt;Bewertung_Stammdaten!B$19,Bewertung_Stammdaten!A$19,IF(I96&lt;Bewertung_Stammdaten!B$20,Bewertung_Stammdaten!A$20,Bewertung_Stammdaten!A$21))))))))),IF(N96&lt;Bewertung_Stammdaten!C$12,Bewertung_Stammdaten!A$12,IF(N96&lt;Bewertung_Stammdaten!C$13,Bewertung_Stammdaten!A$13,IF(N96&lt;Bewertung_Stammdaten!C$14,Bewertung_Stammdaten!A$14,IF(N96&lt;Bewertung_Stammdaten!C$15,Bewertung_Stammdaten!A$15,IF(N96&lt;Bewertung_Stammdaten!C$16,Bewertung_Stammdaten!A$16,IF(N96&lt;Bewertung_Stammdaten!C$17,Bewertung_Stammdaten!A$17,IF(N96&lt;Bewertung_Stammdaten!C$18,Bewertung_Stammdaten!A$18,IF(N96&lt;Bewertung_Stammdaten!C$19,Bewertung_Stammdaten!A$19,IF(N96&lt;Bewertung_Stammdaten!C$20,Bewertung_Stammdaten!A$20,Bewertung_Stammdaten!A$21))))))))))</f>
        <v>#N/A</v>
      </c>
      <c r="R96" s="32" t="e">
        <f>IF(F96=1,IF(K96&lt;Bewertung_Stammdaten!F$12,Bewertung_Stammdaten!E$12,IF(K96&lt;Bewertung_Stammdaten!F$13,Bewertung_Stammdaten!E$13,IF(K96&lt;Bewertung_Stammdaten!F$14,Bewertung_Stammdaten!E$14,IF(K96&lt;Bewertung_Stammdaten!F$15,Bewertung_Stammdaten!E$15,IF(K96&lt;Bewertung_Stammdaten!F$16,Bewertung_Stammdaten!E$16,IF(K96&lt;Bewertung_Stammdaten!F$17,Bewertung_Stammdaten!E$17,IF(K96&lt;Bewertung_Stammdaten!F$18,Bewertung_Stammdaten!E$18,IF(K96&lt;Bewertung_Stammdaten!F$19,Bewertung_Stammdaten!E$19,IF(K96&lt;Bewertung_Stammdaten!F$20,Bewertung_Stammdaten!E$20,Bewertung_Stammdaten!E$21))))))))),IF(P96&lt;Bewertung_Stammdaten!G$12,Bewertung_Stammdaten!E$12,IF(P96&lt;Bewertung_Stammdaten!G$13,Bewertung_Stammdaten!E$13,IF(P96&lt;Bewertung_Stammdaten!G$14,Bewertung_Stammdaten!E$14,IF(P96&lt;Bewertung_Stammdaten!G$15,Bewertung_Stammdaten!E$15,IF(P96&lt;Bewertung_Stammdaten!G$16,Bewertung_Stammdaten!E$16,IF(P96&lt;Bewertung_Stammdaten!G$17,Bewertung_Stammdaten!E$17,IF(P96&lt;Bewertung_Stammdaten!G$18,Bewertung_Stammdaten!E$18,IF(P96&lt;Bewertung_Stammdaten!G$19,Bewertung_Stammdaten!E$19,IF(P96&lt;Bewertung_Stammdaten!G$20,Bewertung_Stammdaten!E$20,Bewertung_Stammdaten!E$21))))))))))</f>
        <v>#N/A</v>
      </c>
      <c r="S96" s="43"/>
      <c r="T96" s="11" t="e">
        <f>VLOOKUP(A96,Buchwert_je_Aktie!A$3:AK$103,23,FALSE)</f>
        <v>#N/A</v>
      </c>
      <c r="U96" s="11" t="e">
        <f>VLOOKUP(A96,Buchwert_je_Aktie!A$3:AK$103,19,FALSE)</f>
        <v>#N/A</v>
      </c>
      <c r="V96" s="12" t="e">
        <f>VLOOKUP(A96,Buchwert_je_Aktie!A$3:AK$103,24,FALSE)</f>
        <v>#N/A</v>
      </c>
      <c r="W96" s="12" t="e">
        <f>VLOOKUP(A96,Buchwert_je_Aktie!A$3:AK$103,37,FALSE)</f>
        <v>#N/A</v>
      </c>
      <c r="X96" s="16" t="e">
        <f t="shared" si="14"/>
        <v>#N/A</v>
      </c>
      <c r="Y96" s="12" t="e">
        <f t="shared" si="15"/>
        <v>#N/A</v>
      </c>
      <c r="Z96" s="51" t="e">
        <f>IF(V96&lt;Bewertung_Stammdaten!B$25,Bewertung_Stammdaten!A$25,IF(V96&lt;Bewertung_Stammdaten!B$26,Bewertung_Stammdaten!A$26,IF(V96&lt;Bewertung_Stammdaten!B$27,Bewertung_Stammdaten!A$27,IF(V96&lt;Bewertung_Stammdaten!B$28,Bewertung_Stammdaten!A$28,IF(V96&lt;Bewertung_Stammdaten!B$29,Bewertung_Stammdaten!A$29,IF(V96&lt;Bewertung_Stammdaten!B$30,Bewertung_Stammdaten!A$30,IF(V96&lt;Bewertung_Stammdaten!B$31,Bewertung_Stammdaten!A$31,IF(V96&lt;Bewertung_Stammdaten!B$32,Bewertung_Stammdaten!A$32,IF(V96&lt;Bewertung_Stammdaten!B$33,Bewertung_Stammdaten!A$33,Bewertung_Stammdaten!A$34)))))))))</f>
        <v>#N/A</v>
      </c>
      <c r="AA96" s="51" t="e">
        <f>IF(W96&lt;Bewertung_Stammdaten!F$25,Bewertung_Stammdaten!E$25,IF(W96&lt;Bewertung_Stammdaten!F$26,Bewertung_Stammdaten!E$26,IF(W96&lt;Bewertung_Stammdaten!F$27,Bewertung_Stammdaten!E$27,IF(W96&lt;Bewertung_Stammdaten!F$28,Bewertung_Stammdaten!E$28,IF(W96&lt;Bewertung_Stammdaten!F$29,Bewertung_Stammdaten!E$29,IF(W96&lt;Bewertung_Stammdaten!F$30,Bewertung_Stammdaten!E$30,IF(W96&lt;Bewertung_Stammdaten!F$31,Bewertung_Stammdaten!E$31,IF(W96&lt;Bewertung_Stammdaten!F$32,Bewertung_Stammdaten!E$32,IF(W96&lt;Bewertung_Stammdaten!F$33,Bewertung_Stammdaten!E$33,Bewertung_Stammdaten!E$34)))))))))</f>
        <v>#N/A</v>
      </c>
      <c r="AB96" s="51" t="e">
        <f>IF(Y96&lt;Bewertung_Stammdaten!J$25,Bewertung_Stammdaten!I$25,IF(Y96&lt;Bewertung_Stammdaten!J$26,Bewertung_Stammdaten!I$26,IF(Y96&lt;Bewertung_Stammdaten!J$27,Bewertung_Stammdaten!I$27,IF(Y96&lt;Bewertung_Stammdaten!J$28,Bewertung_Stammdaten!I$28,IF(Y96&lt;Bewertung_Stammdaten!J$29,Bewertung_Stammdaten!I$29,IF(Y96&lt;Bewertung_Stammdaten!J$30,Bewertung_Stammdaten!I$30,IF(Y96&lt;Bewertung_Stammdaten!J$31,Bewertung_Stammdaten!I$31,IF(Y96&lt;Bewertung_Stammdaten!J$32,Bewertung_Stammdaten!I$32,IF(Y96&lt;Bewertung_Stammdaten!J$33,Bewertung_Stammdaten!I$33,Bewertung_Stammdaten!I$34)))))))))</f>
        <v>#N/A</v>
      </c>
      <c r="AC96" s="43"/>
      <c r="AD96" s="14" t="e">
        <f>VLOOKUP(A96,Ergebnis_je_Aktie_verwässert!A$3:AK$103,23,FALSE)</f>
        <v>#N/A</v>
      </c>
      <c r="AE96" s="14" t="e">
        <f>VLOOKUP(A96,Ergebnis_je_Aktie_verwässert!A$3:AK$103,19,FALSE)</f>
        <v>#N/A</v>
      </c>
      <c r="AF96" s="12" t="e">
        <f>VLOOKUP(A96,Ergebnis_je_Aktie_verwässert!A$3:AK$103,24,FALSE)</f>
        <v>#N/A</v>
      </c>
      <c r="AG96" s="40" t="e">
        <f>VLOOKUP(A96,Ergebnis_je_Aktie_verwässert!A$3:AK$103,37,FALSE)</f>
        <v>#N/A</v>
      </c>
      <c r="AH96" s="16" t="e">
        <f t="shared" si="16"/>
        <v>#N/A</v>
      </c>
      <c r="AI96" s="12" t="e">
        <f t="shared" si="17"/>
        <v>#N/A</v>
      </c>
      <c r="AJ96" s="32" t="e">
        <f>IF(AF96&lt;Bewertung_Stammdaten!B$38,Bewertung_Stammdaten!A$38,IF(AF96&lt;Bewertung_Stammdaten!B$39,Bewertung_Stammdaten!A$39,IF(AF96&lt;Bewertung_Stammdaten!B$40,Bewertung_Stammdaten!A$40,IF(AF96&lt;Bewertung_Stammdaten!B$41,Bewertung_Stammdaten!A$41,IF(AF96&lt;Bewertung_Stammdaten!B$42,Bewertung_Stammdaten!A$42,IF(AF96&lt;Bewertung_Stammdaten!B$43,Bewertung_Stammdaten!A$43,IF(AF96&lt;Bewertung_Stammdaten!B$44,Bewertung_Stammdaten!A$44,IF(AF96&lt;Bewertung_Stammdaten!B$45,Bewertung_Stammdaten!A$45,IF(AF96&lt;Bewertung_Stammdaten!B$46,Bewertung_Stammdaten!A$46,Bewertung_Stammdaten!A$47)))))))))</f>
        <v>#N/A</v>
      </c>
      <c r="AK96" s="32" t="e">
        <f>IF(AG96&lt;Bewertung_Stammdaten!F$38,Bewertung_Stammdaten!E$38,IF(AG96&lt;Bewertung_Stammdaten!F$39,Bewertung_Stammdaten!E$39,IF(AG96&lt;Bewertung_Stammdaten!F$40,Bewertung_Stammdaten!E$40,IF(AG96&lt;Bewertung_Stammdaten!F$41,Bewertung_Stammdaten!E$41,IF(AG96&lt;Bewertung_Stammdaten!F$42,Bewertung_Stammdaten!E$42,IF(AG96&lt;Bewertung_Stammdaten!F$43,Bewertung_Stammdaten!E$43,IF(AG96&lt;Bewertung_Stammdaten!F$44,Bewertung_Stammdaten!E$44,IF(AG96&lt;Bewertung_Stammdaten!F$45,Bewertung_Stammdaten!E$45,IF(AG96&lt;Bewertung_Stammdaten!F$46,Bewertung_Stammdaten!E$46,Bewertung_Stammdaten!E$47)))))))))</f>
        <v>#N/A</v>
      </c>
      <c r="AL96" s="32" t="e">
        <f>IF(AI96&lt;Bewertung_Stammdaten!J$38,Bewertung_Stammdaten!I$38,IF(AI96&lt;Bewertung_Stammdaten!J$39,Bewertung_Stammdaten!I$39,IF(AI96&lt;Bewertung_Stammdaten!J$40,Bewertung_Stammdaten!I$40,IF(AI96&lt;Bewertung_Stammdaten!J$41,Bewertung_Stammdaten!I$41,IF(AI96&lt;Bewertung_Stammdaten!J$42,Bewertung_Stammdaten!I$42,IF(AI96&lt;Bewertung_Stammdaten!J$43,Bewertung_Stammdaten!I$43,IF(AI96&lt;Bewertung_Stammdaten!J$44,Bewertung_Stammdaten!I$44,IF(AI96&lt;Bewertung_Stammdaten!J$45,Bewertung_Stammdaten!I$45,IF(AI96&lt;Bewertung_Stammdaten!J$46,Bewertung_Stammdaten!I$46,Bewertung_Stammdaten!I$47)))))))))</f>
        <v>#N/A</v>
      </c>
      <c r="AM96" s="43"/>
      <c r="AN96" s="14" t="e">
        <f>VLOOKUP(A96,Dividende_je_Aktie!A$3:AM$103,24,FALSE)</f>
        <v>#N/A</v>
      </c>
      <c r="AO96" s="14" t="e">
        <f>VLOOKUP(A96,Dividende_je_Aktie!A$3:AM$103,20,FALSE)</f>
        <v>#N/A</v>
      </c>
      <c r="AP96" s="12" t="e">
        <f>VLOOKUP(A96,Dividende_je_Aktie!A$3:AM$103,25,FALSE)</f>
        <v>#N/A</v>
      </c>
      <c r="AQ96" s="40" t="e">
        <f>VLOOKUP(A96,Dividende_je_Aktie!A$3:AM$103,39,FALSE)</f>
        <v>#N/A</v>
      </c>
      <c r="AR96" s="16" t="e">
        <f t="shared" si="18"/>
        <v>#N/A</v>
      </c>
      <c r="AS96" s="12" t="e">
        <f t="shared" si="19"/>
        <v>#N/A</v>
      </c>
      <c r="AT96" s="32" t="e">
        <f>IF(AP96&lt;Bewertung_Stammdaten!B$51,Bewertung_Stammdaten!A$51,IF(AP96&lt;Bewertung_Stammdaten!B$52,Bewertung_Stammdaten!A$52,IF(AP96&lt;Bewertung_Stammdaten!B$53,Bewertung_Stammdaten!A$53,IF(AP96&lt;Bewertung_Stammdaten!B$54,Bewertung_Stammdaten!A$54,IF(AP96&lt;Bewertung_Stammdaten!B$55,Bewertung_Stammdaten!A$55,IF(AP96&lt;Bewertung_Stammdaten!B$56,Bewertung_Stammdaten!A$56,IF(AP96&lt;Bewertung_Stammdaten!B$57,Bewertung_Stammdaten!A$57,IF(AP96&lt;Bewertung_Stammdaten!B$58,Bewertung_Stammdaten!A$58,IF(AP96&lt;Bewertung_Stammdaten!B$59,Bewertung_Stammdaten!A$59,Bewertung_Stammdaten!A$60)))))))))</f>
        <v>#N/A</v>
      </c>
      <c r="AU96" s="32" t="e">
        <f>IF(AQ96&lt;Bewertung_Stammdaten!F$51,Bewertung_Stammdaten!E$51,IF(AQ96&lt;Bewertung_Stammdaten!F$52,Bewertung_Stammdaten!E$52,IF(AQ96&lt;Bewertung_Stammdaten!F$53,Bewertung_Stammdaten!E$53,IF(AQ96&lt;Bewertung_Stammdaten!F$54,Bewertung_Stammdaten!E$54,IF(AQ96&lt;Bewertung_Stammdaten!F$55,Bewertung_Stammdaten!E$55,IF(AQ96&lt;Bewertung_Stammdaten!F$56,Bewertung_Stammdaten!E$56,IF(AQ96&lt;Bewertung_Stammdaten!F$57,Bewertung_Stammdaten!E$57,IF(AQ96&lt;Bewertung_Stammdaten!F$58,Bewertung_Stammdaten!E$58,IF(AQ96&lt;Bewertung_Stammdaten!F$59,Bewertung_Stammdaten!E$59,Bewertung_Stammdaten!E$60)))))))))</f>
        <v>#N/A</v>
      </c>
      <c r="AV96" s="32" t="e">
        <f>IF(AS96&lt;Bewertung_Stammdaten!J$51,Bewertung_Stammdaten!I$51,IF(AS96&lt;Bewertung_Stammdaten!J$52,Bewertung_Stammdaten!I$52,IF(AS96&lt;Bewertung_Stammdaten!J$53,Bewertung_Stammdaten!I$53,IF(AS96&lt;Bewertung_Stammdaten!J$54,Bewertung_Stammdaten!I$54,IF(AS96&lt;Bewertung_Stammdaten!J$55,Bewertung_Stammdaten!I$55,IF(AS96&lt;Bewertung_Stammdaten!J$56,Bewertung_Stammdaten!I$56,IF(AS96&lt;Bewertung_Stammdaten!J$57,Bewertung_Stammdaten!I$57,IF(AS96&lt;Bewertung_Stammdaten!J$58,Bewertung_Stammdaten!I$58,IF(AS96&lt;Bewertung_Stammdaten!J$59,Bewertung_Stammdaten!I$59,Bewertung_Stammdaten!I$60)))))))))</f>
        <v>#N/A</v>
      </c>
      <c r="AW96" s="43"/>
      <c r="AX96" s="12" t="e">
        <f>VLOOKUP(A96,Dividendenrendite!A$3:R$103,17,FALSE)</f>
        <v>#N/A</v>
      </c>
      <c r="AY96" s="12" t="e">
        <f>VLOOKUP(A96,Dividendenrendite!A$3:R$103,16,FALSE)</f>
        <v>#N/A</v>
      </c>
      <c r="AZ96" s="12" t="e">
        <f>VLOOKUP(A96,Dividendenrendite!A$3:R$103,18,FALSE)</f>
        <v>#N/A</v>
      </c>
      <c r="BA96" s="32" t="e">
        <f>IF(AX96&lt;Bewertung_Stammdaten!B$64,Bewertung_Stammdaten!A$64,IF(AX96&lt;Bewertung_Stammdaten!B$65,Bewertung_Stammdaten!A$65,IF(AX96&lt;Bewertung_Stammdaten!B$66,Bewertung_Stammdaten!A$66,IF(AX96&lt;Bewertung_Stammdaten!B$67,Bewertung_Stammdaten!A$67,IF(AX96&lt;Bewertung_Stammdaten!B$68,Bewertung_Stammdaten!A$68,IF(AX96&lt;Bewertung_Stammdaten!B$69,Bewertung_Stammdaten!A$69,IF(AX96&lt;Bewertung_Stammdaten!B$70,Bewertung_Stammdaten!A$70,IF(AX96&lt;Bewertung_Stammdaten!B$71,Bewertung_Stammdaten!A$71,IF(AX96&lt;Bewertung_Stammdaten!B$72,Bewertung_Stammdaten!A$72,Bewertung_Stammdaten!A$73)))))))))</f>
        <v>#N/A</v>
      </c>
      <c r="BB96" s="32" t="e">
        <f>IF(AY96&lt;Bewertung_Stammdaten!F$64,Bewertung_Stammdaten!E$64,IF(AY96&lt;Bewertung_Stammdaten!F$65,Bewertung_Stammdaten!E$65,IF(AY96&lt;Bewertung_Stammdaten!F$66,Bewertung_Stammdaten!E$66,IF(AY96&lt;Bewertung_Stammdaten!F$67,Bewertung_Stammdaten!E$67,IF(AY96&lt;Bewertung_Stammdaten!F$68,Bewertung_Stammdaten!E$68,IF(AY96&lt;Bewertung_Stammdaten!F$69,Bewertung_Stammdaten!E$69,IF(AY96&lt;Bewertung_Stammdaten!F$70,Bewertung_Stammdaten!E$70,IF(AY96&lt;Bewertung_Stammdaten!F$71,Bewertung_Stammdaten!E$71,IF(AY96&lt;Bewertung_Stammdaten!F$72,Bewertung_Stammdaten!E$72,Bewertung_Stammdaten!E$73)))))))))</f>
        <v>#N/A</v>
      </c>
      <c r="BC96" s="32" t="e">
        <f>IF(AZ96&lt;Bewertung_Stammdaten!J$64,Bewertung_Stammdaten!I$64,IF(AZ96&lt;Bewertung_Stammdaten!J$65,Bewertung_Stammdaten!I$65,IF(AZ96&lt;Bewertung_Stammdaten!J$66,Bewertung_Stammdaten!I$66,IF(AZ96&lt;Bewertung_Stammdaten!J$67,Bewertung_Stammdaten!I$67,IF(AZ96&lt;Bewertung_Stammdaten!J$68,Bewertung_Stammdaten!I$68,IF(AZ96&lt;Bewertung_Stammdaten!J$69,Bewertung_Stammdaten!I$69,IF(AZ96&lt;Bewertung_Stammdaten!J$70,Bewertung_Stammdaten!I$70,IF(AZ96&lt;Bewertung_Stammdaten!J$71,Bewertung_Stammdaten!I$71,IF(AZ96&lt;Bewertung_Stammdaten!J$72,Bewertung_Stammdaten!I$72,Bewertung_Stammdaten!I$73)))))))))</f>
        <v>#N/A</v>
      </c>
      <c r="BD96" s="43"/>
      <c r="BE96" s="12" t="e">
        <f>VLOOKUP(A96,Aktien_im_Umlauf_splitbereinigt!A$3:Z$103,26,FALSE)</f>
        <v>#N/A</v>
      </c>
      <c r="BF96" s="12" t="e">
        <f>VLOOKUP(A96,Aktien_im_Umlauf_splitbereinigt!A$3:Y$103,24,FALSE)</f>
        <v>#N/A</v>
      </c>
      <c r="BG96" s="12" t="e">
        <f>VLOOKUP(A96,Aktien_im_Umlauf_splitbereinigt!A$3:Y$103,25,FALSE)</f>
        <v>#N/A</v>
      </c>
      <c r="BH96" s="41" t="e">
        <f>IF(BE96&lt;Bewertung_Stammdaten!B$77,Bewertung_Stammdaten!A$77,IF(BE96&lt;Bewertung_Stammdaten!B$78,Bewertung_Stammdaten!A$78,IF(BE96&lt;Bewertung_Stammdaten!B$79,Bewertung_Stammdaten!A$79,IF(BE96&lt;Bewertung_Stammdaten!B$80,Bewertung_Stammdaten!A$80,IF(BE96&lt;Bewertung_Stammdaten!B$81,Bewertung_Stammdaten!A$81,IF(BE96&lt;Bewertung_Stammdaten!B$82,Bewertung_Stammdaten!A$82,IF(BE96&lt;Bewertung_Stammdaten!B$83,Bewertung_Stammdaten!A$83,IF(BE96&lt;Bewertung_Stammdaten!B$84,Bewertung_Stammdaten!A$84,IF(BE96&lt;Bewertung_Stammdaten!B$85,Bewertung_Stammdaten!A$85,Bewertung_Stammdaten!A$86)))))))))</f>
        <v>#N/A</v>
      </c>
      <c r="BI96" s="41" t="e">
        <f>IF(BF96&lt;Bewertung_Stammdaten!F$77,Bewertung_Stammdaten!E$77,IF(BF96&lt;Bewertung_Stammdaten!F$78,Bewertung_Stammdaten!E$78,IF(BF96&lt;Bewertung_Stammdaten!F$79,Bewertung_Stammdaten!E$79,IF(BF96&lt;Bewertung_Stammdaten!F$80,Bewertung_Stammdaten!E$80,IF(BF96&lt;Bewertung_Stammdaten!F$81,Bewertung_Stammdaten!E$81,IF(BF96&lt;Bewertung_Stammdaten!F$82,Bewertung_Stammdaten!E$82,IF(BF96&lt;Bewertung_Stammdaten!F$83,Bewertung_Stammdaten!E$83,IF(BF96&lt;Bewertung_Stammdaten!F$84,Bewertung_Stammdaten!E$84,IF(BF96&lt;Bewertung_Stammdaten!F$85,Bewertung_Stammdaten!E$85,Bewertung_Stammdaten!E$86)))))))))</f>
        <v>#N/A</v>
      </c>
      <c r="BJ96" s="41" t="e">
        <f>IF(BG96&lt;Bewertung_Stammdaten!J$77,Bewertung_Stammdaten!I$77,IF(BG96&lt;Bewertung_Stammdaten!J$78,Bewertung_Stammdaten!I$78,IF(BG96&lt;Bewertung_Stammdaten!J$79,Bewertung_Stammdaten!I$79,IF(BG96&lt;Bewertung_Stammdaten!J$80,Bewertung_Stammdaten!I$80,IF(BG96&lt;Bewertung_Stammdaten!J$81,Bewertung_Stammdaten!I$81,IF(BG96&lt;Bewertung_Stammdaten!J$82,Bewertung_Stammdaten!I$82,IF(BG96&lt;Bewertung_Stammdaten!J$83,Bewertung_Stammdaten!I$83,IF(BG96&lt;Bewertung_Stammdaten!J$84,Bewertung_Stammdaten!I$84,IF(BG96&lt;Bewertung_Stammdaten!J$85,Bewertung_Stammdaten!I$85,Bewertung_Stammdaten!I$86)))))))))</f>
        <v>#N/A</v>
      </c>
      <c r="BK96" s="43"/>
      <c r="BL96" s="12" t="e">
        <f>VLOOKUP(A96,Ausschüttungsquote!A$3:X$103,23,FALSE)</f>
        <v>#N/A</v>
      </c>
      <c r="BM96" s="12" t="e">
        <f>VLOOKUP(A96,Ausschüttungsquote!A$3:X$103,19,FALSE)</f>
        <v>#N/A</v>
      </c>
      <c r="BN96" s="12" t="e">
        <f>VLOOKUP(A96,Ausschüttungsquote!A$3:X$103,24,FALSE)</f>
        <v>#N/A</v>
      </c>
      <c r="BO96" s="32" t="e">
        <f>IF(BL96&lt;Bewertung_Stammdaten!B$90,Bewertung_Stammdaten!A$90,IF(BL96&lt;Bewertung_Stammdaten!B$91,Bewertung_Stammdaten!A$91,IF(BL96&lt;Bewertung_Stammdaten!B$92,Bewertung_Stammdaten!A$92,IF(BL96&lt;Bewertung_Stammdaten!B$93,Bewertung_Stammdaten!A$93,IF(BL96&lt;Bewertung_Stammdaten!B$94,Bewertung_Stammdaten!A$94,IF(BL96&lt;Bewertung_Stammdaten!B$95,Bewertung_Stammdaten!A$95,IF(BL96&lt;Bewertung_Stammdaten!B$96,Bewertung_Stammdaten!A$96,IF(BL96&lt;Bewertung_Stammdaten!B$97,Bewertung_Stammdaten!A$97,IF(BL96&lt;Bewertung_Stammdaten!B$98,Bewertung_Stammdaten!A$98,Bewertung_Stammdaten!A$99)))))))))</f>
        <v>#N/A</v>
      </c>
      <c r="BP96" s="41" t="e">
        <f>IF(BM96&lt;Bewertung_Stammdaten!F$90,Bewertung_Stammdaten!E$90,IF(BM96&lt;Bewertung_Stammdaten!F$91,Bewertung_Stammdaten!E$91,IF(BM96&lt;Bewertung_Stammdaten!F$92,Bewertung_Stammdaten!E$92,IF(BM96&lt;Bewertung_Stammdaten!F$93,Bewertung_Stammdaten!E$93,IF(BM96&lt;Bewertung_Stammdaten!F$94,Bewertung_Stammdaten!E$94,IF(BM96&lt;Bewertung_Stammdaten!F$95,Bewertung_Stammdaten!E$95,IF(BM96&lt;Bewertung_Stammdaten!F$96,Bewertung_Stammdaten!E$96,IF(BM96&lt;Bewertung_Stammdaten!F$97,Bewertung_Stammdaten!E$97,IF(BM96&lt;Bewertung_Stammdaten!F$98,Bewertung_Stammdaten!E$98,Bewertung_Stammdaten!E$99)))))))))</f>
        <v>#N/A</v>
      </c>
      <c r="BQ96" s="32" t="e">
        <f>IF(BN96&lt;Bewertung_Stammdaten!J$90,Bewertung_Stammdaten!I$90,IF(BN96&lt;Bewertung_Stammdaten!J$91,Bewertung_Stammdaten!I$91,IF(BN96&lt;Bewertung_Stammdaten!J$92,Bewertung_Stammdaten!I$92,IF(BN96&lt;Bewertung_Stammdaten!J$93,Bewertung_Stammdaten!I$93,IF(BN96&lt;Bewertung_Stammdaten!J$94,Bewertung_Stammdaten!I$94,IF(BN96&lt;Bewertung_Stammdaten!J$95,Bewertung_Stammdaten!I$95,IF(BN96&lt;Bewertung_Stammdaten!J$96,Bewertung_Stammdaten!I$96,IF(BN96&lt;Bewertung_Stammdaten!J$97,Bewertung_Stammdaten!I$97,IF(BN96&lt;Bewertung_Stammdaten!J$98,Bewertung_Stammdaten!I$98,Bewertung_Stammdaten!I$99)))))))))</f>
        <v>#N/A</v>
      </c>
    </row>
    <row r="97" spans="3:69" x14ac:dyDescent="0.25">
      <c r="C97" s="55" t="s">
        <v>297</v>
      </c>
      <c r="D97" s="32" t="e">
        <f t="shared" si="11"/>
        <v>#N/A</v>
      </c>
      <c r="E97" s="43"/>
      <c r="F97" s="66">
        <v>1</v>
      </c>
      <c r="G97" s="11" t="e">
        <f>VLOOKUP(A97,KGV!A$3:R$103,17,FALSE)</f>
        <v>#N/A</v>
      </c>
      <c r="H97" s="11" t="e">
        <f>VLOOKUP(A97,KGV!A$3:R$103,16,FALSE)</f>
        <v>#N/A</v>
      </c>
      <c r="I97" s="12" t="e">
        <f>VLOOKUP(A97,KGV!A$3:R$103,18,FALSE)</f>
        <v>#N/A</v>
      </c>
      <c r="J97" s="16" t="e">
        <f t="shared" si="12"/>
        <v>#N/A</v>
      </c>
      <c r="K97" s="12" t="e">
        <f t="shared" si="13"/>
        <v>#N/A</v>
      </c>
      <c r="L97" s="11" t="e">
        <f>VLOOKUP(A97,KBV!A$3:R$103,17,FALSE)</f>
        <v>#N/A</v>
      </c>
      <c r="M97" s="11" t="e">
        <f>VLOOKUP(A97,KBV!A$3:R$103,16,FALSE)</f>
        <v>#N/A</v>
      </c>
      <c r="N97" s="12" t="e">
        <f>VLOOKUP(A97,KBV!A$3:R$103,18,FALSE)</f>
        <v>#N/A</v>
      </c>
      <c r="O97" s="16" t="e">
        <f t="shared" si="20"/>
        <v>#N/A</v>
      </c>
      <c r="P97" s="12" t="e">
        <f t="shared" si="21"/>
        <v>#N/A</v>
      </c>
      <c r="Q97" s="32" t="e">
        <f>IF(F97=1,IF(I97&lt;Bewertung_Stammdaten!B$12,Bewertung_Stammdaten!A$12,IF(I97&lt;Bewertung_Stammdaten!B$13,Bewertung_Stammdaten!A$13,IF(I97&lt;Bewertung_Stammdaten!B$14,Bewertung_Stammdaten!A$14,IF(I97&lt;Bewertung_Stammdaten!B$15,Bewertung_Stammdaten!A$15,IF(I97&lt;Bewertung_Stammdaten!B$16,Bewertung_Stammdaten!A$16,IF(I97&lt;Bewertung_Stammdaten!B$17,Bewertung_Stammdaten!A$17,IF(I97&lt;Bewertung_Stammdaten!B$18,Bewertung_Stammdaten!A$18,IF(I97&lt;Bewertung_Stammdaten!B$19,Bewertung_Stammdaten!A$19,IF(I97&lt;Bewertung_Stammdaten!B$20,Bewertung_Stammdaten!A$20,Bewertung_Stammdaten!A$21))))))))),IF(N97&lt;Bewertung_Stammdaten!C$12,Bewertung_Stammdaten!A$12,IF(N97&lt;Bewertung_Stammdaten!C$13,Bewertung_Stammdaten!A$13,IF(N97&lt;Bewertung_Stammdaten!C$14,Bewertung_Stammdaten!A$14,IF(N97&lt;Bewertung_Stammdaten!C$15,Bewertung_Stammdaten!A$15,IF(N97&lt;Bewertung_Stammdaten!C$16,Bewertung_Stammdaten!A$16,IF(N97&lt;Bewertung_Stammdaten!C$17,Bewertung_Stammdaten!A$17,IF(N97&lt;Bewertung_Stammdaten!C$18,Bewertung_Stammdaten!A$18,IF(N97&lt;Bewertung_Stammdaten!C$19,Bewertung_Stammdaten!A$19,IF(N97&lt;Bewertung_Stammdaten!C$20,Bewertung_Stammdaten!A$20,Bewertung_Stammdaten!A$21))))))))))</f>
        <v>#N/A</v>
      </c>
      <c r="R97" s="32" t="e">
        <f>IF(F97=1,IF(K97&lt;Bewertung_Stammdaten!F$12,Bewertung_Stammdaten!E$12,IF(K97&lt;Bewertung_Stammdaten!F$13,Bewertung_Stammdaten!E$13,IF(K97&lt;Bewertung_Stammdaten!F$14,Bewertung_Stammdaten!E$14,IF(K97&lt;Bewertung_Stammdaten!F$15,Bewertung_Stammdaten!E$15,IF(K97&lt;Bewertung_Stammdaten!F$16,Bewertung_Stammdaten!E$16,IF(K97&lt;Bewertung_Stammdaten!F$17,Bewertung_Stammdaten!E$17,IF(K97&lt;Bewertung_Stammdaten!F$18,Bewertung_Stammdaten!E$18,IF(K97&lt;Bewertung_Stammdaten!F$19,Bewertung_Stammdaten!E$19,IF(K97&lt;Bewertung_Stammdaten!F$20,Bewertung_Stammdaten!E$20,Bewertung_Stammdaten!E$21))))))))),IF(P97&lt;Bewertung_Stammdaten!G$12,Bewertung_Stammdaten!E$12,IF(P97&lt;Bewertung_Stammdaten!G$13,Bewertung_Stammdaten!E$13,IF(P97&lt;Bewertung_Stammdaten!G$14,Bewertung_Stammdaten!E$14,IF(P97&lt;Bewertung_Stammdaten!G$15,Bewertung_Stammdaten!E$15,IF(P97&lt;Bewertung_Stammdaten!G$16,Bewertung_Stammdaten!E$16,IF(P97&lt;Bewertung_Stammdaten!G$17,Bewertung_Stammdaten!E$17,IF(P97&lt;Bewertung_Stammdaten!G$18,Bewertung_Stammdaten!E$18,IF(P97&lt;Bewertung_Stammdaten!G$19,Bewertung_Stammdaten!E$19,IF(P97&lt;Bewertung_Stammdaten!G$20,Bewertung_Stammdaten!E$20,Bewertung_Stammdaten!E$21))))))))))</f>
        <v>#N/A</v>
      </c>
      <c r="S97" s="43"/>
      <c r="T97" s="11" t="e">
        <f>VLOOKUP(A97,Buchwert_je_Aktie!A$3:AK$103,23,FALSE)</f>
        <v>#N/A</v>
      </c>
      <c r="U97" s="11" t="e">
        <f>VLOOKUP(A97,Buchwert_je_Aktie!A$3:AK$103,19,FALSE)</f>
        <v>#N/A</v>
      </c>
      <c r="V97" s="12" t="e">
        <f>VLOOKUP(A97,Buchwert_je_Aktie!A$3:AK$103,24,FALSE)</f>
        <v>#N/A</v>
      </c>
      <c r="W97" s="12" t="e">
        <f>VLOOKUP(A97,Buchwert_je_Aktie!A$3:AK$103,37,FALSE)</f>
        <v>#N/A</v>
      </c>
      <c r="X97" s="16" t="e">
        <f t="shared" si="14"/>
        <v>#N/A</v>
      </c>
      <c r="Y97" s="12" t="e">
        <f t="shared" si="15"/>
        <v>#N/A</v>
      </c>
      <c r="Z97" s="51" t="e">
        <f>IF(V97&lt;Bewertung_Stammdaten!B$25,Bewertung_Stammdaten!A$25,IF(V97&lt;Bewertung_Stammdaten!B$26,Bewertung_Stammdaten!A$26,IF(V97&lt;Bewertung_Stammdaten!B$27,Bewertung_Stammdaten!A$27,IF(V97&lt;Bewertung_Stammdaten!B$28,Bewertung_Stammdaten!A$28,IF(V97&lt;Bewertung_Stammdaten!B$29,Bewertung_Stammdaten!A$29,IF(V97&lt;Bewertung_Stammdaten!B$30,Bewertung_Stammdaten!A$30,IF(V97&lt;Bewertung_Stammdaten!B$31,Bewertung_Stammdaten!A$31,IF(V97&lt;Bewertung_Stammdaten!B$32,Bewertung_Stammdaten!A$32,IF(V97&lt;Bewertung_Stammdaten!B$33,Bewertung_Stammdaten!A$33,Bewertung_Stammdaten!A$34)))))))))</f>
        <v>#N/A</v>
      </c>
      <c r="AA97" s="51" t="e">
        <f>IF(W97&lt;Bewertung_Stammdaten!F$25,Bewertung_Stammdaten!E$25,IF(W97&lt;Bewertung_Stammdaten!F$26,Bewertung_Stammdaten!E$26,IF(W97&lt;Bewertung_Stammdaten!F$27,Bewertung_Stammdaten!E$27,IF(W97&lt;Bewertung_Stammdaten!F$28,Bewertung_Stammdaten!E$28,IF(W97&lt;Bewertung_Stammdaten!F$29,Bewertung_Stammdaten!E$29,IF(W97&lt;Bewertung_Stammdaten!F$30,Bewertung_Stammdaten!E$30,IF(W97&lt;Bewertung_Stammdaten!F$31,Bewertung_Stammdaten!E$31,IF(W97&lt;Bewertung_Stammdaten!F$32,Bewertung_Stammdaten!E$32,IF(W97&lt;Bewertung_Stammdaten!F$33,Bewertung_Stammdaten!E$33,Bewertung_Stammdaten!E$34)))))))))</f>
        <v>#N/A</v>
      </c>
      <c r="AB97" s="51" t="e">
        <f>IF(Y97&lt;Bewertung_Stammdaten!J$25,Bewertung_Stammdaten!I$25,IF(Y97&lt;Bewertung_Stammdaten!J$26,Bewertung_Stammdaten!I$26,IF(Y97&lt;Bewertung_Stammdaten!J$27,Bewertung_Stammdaten!I$27,IF(Y97&lt;Bewertung_Stammdaten!J$28,Bewertung_Stammdaten!I$28,IF(Y97&lt;Bewertung_Stammdaten!J$29,Bewertung_Stammdaten!I$29,IF(Y97&lt;Bewertung_Stammdaten!J$30,Bewertung_Stammdaten!I$30,IF(Y97&lt;Bewertung_Stammdaten!J$31,Bewertung_Stammdaten!I$31,IF(Y97&lt;Bewertung_Stammdaten!J$32,Bewertung_Stammdaten!I$32,IF(Y97&lt;Bewertung_Stammdaten!J$33,Bewertung_Stammdaten!I$33,Bewertung_Stammdaten!I$34)))))))))</f>
        <v>#N/A</v>
      </c>
      <c r="AC97" s="43"/>
      <c r="AD97" s="14" t="e">
        <f>VLOOKUP(A97,Ergebnis_je_Aktie_verwässert!A$3:AK$103,23,FALSE)</f>
        <v>#N/A</v>
      </c>
      <c r="AE97" s="14" t="e">
        <f>VLOOKUP(A97,Ergebnis_je_Aktie_verwässert!A$3:AK$103,19,FALSE)</f>
        <v>#N/A</v>
      </c>
      <c r="AF97" s="12" t="e">
        <f>VLOOKUP(A97,Ergebnis_je_Aktie_verwässert!A$3:AK$103,24,FALSE)</f>
        <v>#N/A</v>
      </c>
      <c r="AG97" s="40" t="e">
        <f>VLOOKUP(A97,Ergebnis_je_Aktie_verwässert!A$3:AK$103,37,FALSE)</f>
        <v>#N/A</v>
      </c>
      <c r="AH97" s="16" t="e">
        <f t="shared" si="16"/>
        <v>#N/A</v>
      </c>
      <c r="AI97" s="12" t="e">
        <f t="shared" si="17"/>
        <v>#N/A</v>
      </c>
      <c r="AJ97" s="32" t="e">
        <f>IF(AF97&lt;Bewertung_Stammdaten!B$38,Bewertung_Stammdaten!A$38,IF(AF97&lt;Bewertung_Stammdaten!B$39,Bewertung_Stammdaten!A$39,IF(AF97&lt;Bewertung_Stammdaten!B$40,Bewertung_Stammdaten!A$40,IF(AF97&lt;Bewertung_Stammdaten!B$41,Bewertung_Stammdaten!A$41,IF(AF97&lt;Bewertung_Stammdaten!B$42,Bewertung_Stammdaten!A$42,IF(AF97&lt;Bewertung_Stammdaten!B$43,Bewertung_Stammdaten!A$43,IF(AF97&lt;Bewertung_Stammdaten!B$44,Bewertung_Stammdaten!A$44,IF(AF97&lt;Bewertung_Stammdaten!B$45,Bewertung_Stammdaten!A$45,IF(AF97&lt;Bewertung_Stammdaten!B$46,Bewertung_Stammdaten!A$46,Bewertung_Stammdaten!A$47)))))))))</f>
        <v>#N/A</v>
      </c>
      <c r="AK97" s="32" t="e">
        <f>IF(AG97&lt;Bewertung_Stammdaten!F$38,Bewertung_Stammdaten!E$38,IF(AG97&lt;Bewertung_Stammdaten!F$39,Bewertung_Stammdaten!E$39,IF(AG97&lt;Bewertung_Stammdaten!F$40,Bewertung_Stammdaten!E$40,IF(AG97&lt;Bewertung_Stammdaten!F$41,Bewertung_Stammdaten!E$41,IF(AG97&lt;Bewertung_Stammdaten!F$42,Bewertung_Stammdaten!E$42,IF(AG97&lt;Bewertung_Stammdaten!F$43,Bewertung_Stammdaten!E$43,IF(AG97&lt;Bewertung_Stammdaten!F$44,Bewertung_Stammdaten!E$44,IF(AG97&lt;Bewertung_Stammdaten!F$45,Bewertung_Stammdaten!E$45,IF(AG97&lt;Bewertung_Stammdaten!F$46,Bewertung_Stammdaten!E$46,Bewertung_Stammdaten!E$47)))))))))</f>
        <v>#N/A</v>
      </c>
      <c r="AL97" s="32" t="e">
        <f>IF(AI97&lt;Bewertung_Stammdaten!J$38,Bewertung_Stammdaten!I$38,IF(AI97&lt;Bewertung_Stammdaten!J$39,Bewertung_Stammdaten!I$39,IF(AI97&lt;Bewertung_Stammdaten!J$40,Bewertung_Stammdaten!I$40,IF(AI97&lt;Bewertung_Stammdaten!J$41,Bewertung_Stammdaten!I$41,IF(AI97&lt;Bewertung_Stammdaten!J$42,Bewertung_Stammdaten!I$42,IF(AI97&lt;Bewertung_Stammdaten!J$43,Bewertung_Stammdaten!I$43,IF(AI97&lt;Bewertung_Stammdaten!J$44,Bewertung_Stammdaten!I$44,IF(AI97&lt;Bewertung_Stammdaten!J$45,Bewertung_Stammdaten!I$45,IF(AI97&lt;Bewertung_Stammdaten!J$46,Bewertung_Stammdaten!I$46,Bewertung_Stammdaten!I$47)))))))))</f>
        <v>#N/A</v>
      </c>
      <c r="AM97" s="43"/>
      <c r="AN97" s="14" t="e">
        <f>VLOOKUP(A97,Dividende_je_Aktie!A$3:AM$103,24,FALSE)</f>
        <v>#N/A</v>
      </c>
      <c r="AO97" s="14" t="e">
        <f>VLOOKUP(A97,Dividende_je_Aktie!A$3:AM$103,20,FALSE)</f>
        <v>#N/A</v>
      </c>
      <c r="AP97" s="12" t="e">
        <f>VLOOKUP(A97,Dividende_je_Aktie!A$3:AM$103,25,FALSE)</f>
        <v>#N/A</v>
      </c>
      <c r="AQ97" s="40" t="e">
        <f>VLOOKUP(A97,Dividende_je_Aktie!A$3:AM$103,39,FALSE)</f>
        <v>#N/A</v>
      </c>
      <c r="AR97" s="16" t="e">
        <f t="shared" si="18"/>
        <v>#N/A</v>
      </c>
      <c r="AS97" s="12" t="e">
        <f t="shared" si="19"/>
        <v>#N/A</v>
      </c>
      <c r="AT97" s="32" t="e">
        <f>IF(AP97&lt;Bewertung_Stammdaten!B$51,Bewertung_Stammdaten!A$51,IF(AP97&lt;Bewertung_Stammdaten!B$52,Bewertung_Stammdaten!A$52,IF(AP97&lt;Bewertung_Stammdaten!B$53,Bewertung_Stammdaten!A$53,IF(AP97&lt;Bewertung_Stammdaten!B$54,Bewertung_Stammdaten!A$54,IF(AP97&lt;Bewertung_Stammdaten!B$55,Bewertung_Stammdaten!A$55,IF(AP97&lt;Bewertung_Stammdaten!B$56,Bewertung_Stammdaten!A$56,IF(AP97&lt;Bewertung_Stammdaten!B$57,Bewertung_Stammdaten!A$57,IF(AP97&lt;Bewertung_Stammdaten!B$58,Bewertung_Stammdaten!A$58,IF(AP97&lt;Bewertung_Stammdaten!B$59,Bewertung_Stammdaten!A$59,Bewertung_Stammdaten!A$60)))))))))</f>
        <v>#N/A</v>
      </c>
      <c r="AU97" s="32" t="e">
        <f>IF(AQ97&lt;Bewertung_Stammdaten!F$51,Bewertung_Stammdaten!E$51,IF(AQ97&lt;Bewertung_Stammdaten!F$52,Bewertung_Stammdaten!E$52,IF(AQ97&lt;Bewertung_Stammdaten!F$53,Bewertung_Stammdaten!E$53,IF(AQ97&lt;Bewertung_Stammdaten!F$54,Bewertung_Stammdaten!E$54,IF(AQ97&lt;Bewertung_Stammdaten!F$55,Bewertung_Stammdaten!E$55,IF(AQ97&lt;Bewertung_Stammdaten!F$56,Bewertung_Stammdaten!E$56,IF(AQ97&lt;Bewertung_Stammdaten!F$57,Bewertung_Stammdaten!E$57,IF(AQ97&lt;Bewertung_Stammdaten!F$58,Bewertung_Stammdaten!E$58,IF(AQ97&lt;Bewertung_Stammdaten!F$59,Bewertung_Stammdaten!E$59,Bewertung_Stammdaten!E$60)))))))))</f>
        <v>#N/A</v>
      </c>
      <c r="AV97" s="32" t="e">
        <f>IF(AS97&lt;Bewertung_Stammdaten!J$51,Bewertung_Stammdaten!I$51,IF(AS97&lt;Bewertung_Stammdaten!J$52,Bewertung_Stammdaten!I$52,IF(AS97&lt;Bewertung_Stammdaten!J$53,Bewertung_Stammdaten!I$53,IF(AS97&lt;Bewertung_Stammdaten!J$54,Bewertung_Stammdaten!I$54,IF(AS97&lt;Bewertung_Stammdaten!J$55,Bewertung_Stammdaten!I$55,IF(AS97&lt;Bewertung_Stammdaten!J$56,Bewertung_Stammdaten!I$56,IF(AS97&lt;Bewertung_Stammdaten!J$57,Bewertung_Stammdaten!I$57,IF(AS97&lt;Bewertung_Stammdaten!J$58,Bewertung_Stammdaten!I$58,IF(AS97&lt;Bewertung_Stammdaten!J$59,Bewertung_Stammdaten!I$59,Bewertung_Stammdaten!I$60)))))))))</f>
        <v>#N/A</v>
      </c>
      <c r="AW97" s="43"/>
      <c r="AX97" s="12" t="e">
        <f>VLOOKUP(A97,Dividendenrendite!A$3:R$103,17,FALSE)</f>
        <v>#N/A</v>
      </c>
      <c r="AY97" s="12" t="e">
        <f>VLOOKUP(A97,Dividendenrendite!A$3:R$103,16,FALSE)</f>
        <v>#N/A</v>
      </c>
      <c r="AZ97" s="12" t="e">
        <f>VLOOKUP(A97,Dividendenrendite!A$3:R$103,18,FALSE)</f>
        <v>#N/A</v>
      </c>
      <c r="BA97" s="32" t="e">
        <f>IF(AX97&lt;Bewertung_Stammdaten!B$64,Bewertung_Stammdaten!A$64,IF(AX97&lt;Bewertung_Stammdaten!B$65,Bewertung_Stammdaten!A$65,IF(AX97&lt;Bewertung_Stammdaten!B$66,Bewertung_Stammdaten!A$66,IF(AX97&lt;Bewertung_Stammdaten!B$67,Bewertung_Stammdaten!A$67,IF(AX97&lt;Bewertung_Stammdaten!B$68,Bewertung_Stammdaten!A$68,IF(AX97&lt;Bewertung_Stammdaten!B$69,Bewertung_Stammdaten!A$69,IF(AX97&lt;Bewertung_Stammdaten!B$70,Bewertung_Stammdaten!A$70,IF(AX97&lt;Bewertung_Stammdaten!B$71,Bewertung_Stammdaten!A$71,IF(AX97&lt;Bewertung_Stammdaten!B$72,Bewertung_Stammdaten!A$72,Bewertung_Stammdaten!A$73)))))))))</f>
        <v>#N/A</v>
      </c>
      <c r="BB97" s="32" t="e">
        <f>IF(AY97&lt;Bewertung_Stammdaten!F$64,Bewertung_Stammdaten!E$64,IF(AY97&lt;Bewertung_Stammdaten!F$65,Bewertung_Stammdaten!E$65,IF(AY97&lt;Bewertung_Stammdaten!F$66,Bewertung_Stammdaten!E$66,IF(AY97&lt;Bewertung_Stammdaten!F$67,Bewertung_Stammdaten!E$67,IF(AY97&lt;Bewertung_Stammdaten!F$68,Bewertung_Stammdaten!E$68,IF(AY97&lt;Bewertung_Stammdaten!F$69,Bewertung_Stammdaten!E$69,IF(AY97&lt;Bewertung_Stammdaten!F$70,Bewertung_Stammdaten!E$70,IF(AY97&lt;Bewertung_Stammdaten!F$71,Bewertung_Stammdaten!E$71,IF(AY97&lt;Bewertung_Stammdaten!F$72,Bewertung_Stammdaten!E$72,Bewertung_Stammdaten!E$73)))))))))</f>
        <v>#N/A</v>
      </c>
      <c r="BC97" s="32" t="e">
        <f>IF(AZ97&lt;Bewertung_Stammdaten!J$64,Bewertung_Stammdaten!I$64,IF(AZ97&lt;Bewertung_Stammdaten!J$65,Bewertung_Stammdaten!I$65,IF(AZ97&lt;Bewertung_Stammdaten!J$66,Bewertung_Stammdaten!I$66,IF(AZ97&lt;Bewertung_Stammdaten!J$67,Bewertung_Stammdaten!I$67,IF(AZ97&lt;Bewertung_Stammdaten!J$68,Bewertung_Stammdaten!I$68,IF(AZ97&lt;Bewertung_Stammdaten!J$69,Bewertung_Stammdaten!I$69,IF(AZ97&lt;Bewertung_Stammdaten!J$70,Bewertung_Stammdaten!I$70,IF(AZ97&lt;Bewertung_Stammdaten!J$71,Bewertung_Stammdaten!I$71,IF(AZ97&lt;Bewertung_Stammdaten!J$72,Bewertung_Stammdaten!I$72,Bewertung_Stammdaten!I$73)))))))))</f>
        <v>#N/A</v>
      </c>
      <c r="BD97" s="43"/>
      <c r="BE97" s="12" t="e">
        <f>VLOOKUP(A97,Aktien_im_Umlauf_splitbereinigt!A$3:Z$103,26,FALSE)</f>
        <v>#N/A</v>
      </c>
      <c r="BF97" s="12" t="e">
        <f>VLOOKUP(A97,Aktien_im_Umlauf_splitbereinigt!A$3:Y$103,24,FALSE)</f>
        <v>#N/A</v>
      </c>
      <c r="BG97" s="12" t="e">
        <f>VLOOKUP(A97,Aktien_im_Umlauf_splitbereinigt!A$3:Y$103,25,FALSE)</f>
        <v>#N/A</v>
      </c>
      <c r="BH97" s="41" t="e">
        <f>IF(BE97&lt;Bewertung_Stammdaten!B$77,Bewertung_Stammdaten!A$77,IF(BE97&lt;Bewertung_Stammdaten!B$78,Bewertung_Stammdaten!A$78,IF(BE97&lt;Bewertung_Stammdaten!B$79,Bewertung_Stammdaten!A$79,IF(BE97&lt;Bewertung_Stammdaten!B$80,Bewertung_Stammdaten!A$80,IF(BE97&lt;Bewertung_Stammdaten!B$81,Bewertung_Stammdaten!A$81,IF(BE97&lt;Bewertung_Stammdaten!B$82,Bewertung_Stammdaten!A$82,IF(BE97&lt;Bewertung_Stammdaten!B$83,Bewertung_Stammdaten!A$83,IF(BE97&lt;Bewertung_Stammdaten!B$84,Bewertung_Stammdaten!A$84,IF(BE97&lt;Bewertung_Stammdaten!B$85,Bewertung_Stammdaten!A$85,Bewertung_Stammdaten!A$86)))))))))</f>
        <v>#N/A</v>
      </c>
      <c r="BI97" s="41" t="e">
        <f>IF(BF97&lt;Bewertung_Stammdaten!F$77,Bewertung_Stammdaten!E$77,IF(BF97&lt;Bewertung_Stammdaten!F$78,Bewertung_Stammdaten!E$78,IF(BF97&lt;Bewertung_Stammdaten!F$79,Bewertung_Stammdaten!E$79,IF(BF97&lt;Bewertung_Stammdaten!F$80,Bewertung_Stammdaten!E$80,IF(BF97&lt;Bewertung_Stammdaten!F$81,Bewertung_Stammdaten!E$81,IF(BF97&lt;Bewertung_Stammdaten!F$82,Bewertung_Stammdaten!E$82,IF(BF97&lt;Bewertung_Stammdaten!F$83,Bewertung_Stammdaten!E$83,IF(BF97&lt;Bewertung_Stammdaten!F$84,Bewertung_Stammdaten!E$84,IF(BF97&lt;Bewertung_Stammdaten!F$85,Bewertung_Stammdaten!E$85,Bewertung_Stammdaten!E$86)))))))))</f>
        <v>#N/A</v>
      </c>
      <c r="BJ97" s="41" t="e">
        <f>IF(BG97&lt;Bewertung_Stammdaten!J$77,Bewertung_Stammdaten!I$77,IF(BG97&lt;Bewertung_Stammdaten!J$78,Bewertung_Stammdaten!I$78,IF(BG97&lt;Bewertung_Stammdaten!J$79,Bewertung_Stammdaten!I$79,IF(BG97&lt;Bewertung_Stammdaten!J$80,Bewertung_Stammdaten!I$80,IF(BG97&lt;Bewertung_Stammdaten!J$81,Bewertung_Stammdaten!I$81,IF(BG97&lt;Bewertung_Stammdaten!J$82,Bewertung_Stammdaten!I$82,IF(BG97&lt;Bewertung_Stammdaten!J$83,Bewertung_Stammdaten!I$83,IF(BG97&lt;Bewertung_Stammdaten!J$84,Bewertung_Stammdaten!I$84,IF(BG97&lt;Bewertung_Stammdaten!J$85,Bewertung_Stammdaten!I$85,Bewertung_Stammdaten!I$86)))))))))</f>
        <v>#N/A</v>
      </c>
      <c r="BK97" s="43"/>
      <c r="BL97" s="12" t="e">
        <f>VLOOKUP(A97,Ausschüttungsquote!A$3:X$103,23,FALSE)</f>
        <v>#N/A</v>
      </c>
      <c r="BM97" s="12" t="e">
        <f>VLOOKUP(A97,Ausschüttungsquote!A$3:X$103,19,FALSE)</f>
        <v>#N/A</v>
      </c>
      <c r="BN97" s="12" t="e">
        <f>VLOOKUP(A97,Ausschüttungsquote!A$3:X$103,24,FALSE)</f>
        <v>#N/A</v>
      </c>
      <c r="BO97" s="32" t="e">
        <f>IF(BL97&lt;Bewertung_Stammdaten!B$90,Bewertung_Stammdaten!A$90,IF(BL97&lt;Bewertung_Stammdaten!B$91,Bewertung_Stammdaten!A$91,IF(BL97&lt;Bewertung_Stammdaten!B$92,Bewertung_Stammdaten!A$92,IF(BL97&lt;Bewertung_Stammdaten!B$93,Bewertung_Stammdaten!A$93,IF(BL97&lt;Bewertung_Stammdaten!B$94,Bewertung_Stammdaten!A$94,IF(BL97&lt;Bewertung_Stammdaten!B$95,Bewertung_Stammdaten!A$95,IF(BL97&lt;Bewertung_Stammdaten!B$96,Bewertung_Stammdaten!A$96,IF(BL97&lt;Bewertung_Stammdaten!B$97,Bewertung_Stammdaten!A$97,IF(BL97&lt;Bewertung_Stammdaten!B$98,Bewertung_Stammdaten!A$98,Bewertung_Stammdaten!A$99)))))))))</f>
        <v>#N/A</v>
      </c>
      <c r="BP97" s="41" t="e">
        <f>IF(BM97&lt;Bewertung_Stammdaten!F$90,Bewertung_Stammdaten!E$90,IF(BM97&lt;Bewertung_Stammdaten!F$91,Bewertung_Stammdaten!E$91,IF(BM97&lt;Bewertung_Stammdaten!F$92,Bewertung_Stammdaten!E$92,IF(BM97&lt;Bewertung_Stammdaten!F$93,Bewertung_Stammdaten!E$93,IF(BM97&lt;Bewertung_Stammdaten!F$94,Bewertung_Stammdaten!E$94,IF(BM97&lt;Bewertung_Stammdaten!F$95,Bewertung_Stammdaten!E$95,IF(BM97&lt;Bewertung_Stammdaten!F$96,Bewertung_Stammdaten!E$96,IF(BM97&lt;Bewertung_Stammdaten!F$97,Bewertung_Stammdaten!E$97,IF(BM97&lt;Bewertung_Stammdaten!F$98,Bewertung_Stammdaten!E$98,Bewertung_Stammdaten!E$99)))))))))</f>
        <v>#N/A</v>
      </c>
      <c r="BQ97" s="32" t="e">
        <f>IF(BN97&lt;Bewertung_Stammdaten!J$90,Bewertung_Stammdaten!I$90,IF(BN97&lt;Bewertung_Stammdaten!J$91,Bewertung_Stammdaten!I$91,IF(BN97&lt;Bewertung_Stammdaten!J$92,Bewertung_Stammdaten!I$92,IF(BN97&lt;Bewertung_Stammdaten!J$93,Bewertung_Stammdaten!I$93,IF(BN97&lt;Bewertung_Stammdaten!J$94,Bewertung_Stammdaten!I$94,IF(BN97&lt;Bewertung_Stammdaten!J$95,Bewertung_Stammdaten!I$95,IF(BN97&lt;Bewertung_Stammdaten!J$96,Bewertung_Stammdaten!I$96,IF(BN97&lt;Bewertung_Stammdaten!J$97,Bewertung_Stammdaten!I$97,IF(BN97&lt;Bewertung_Stammdaten!J$98,Bewertung_Stammdaten!I$98,Bewertung_Stammdaten!I$99)))))))))</f>
        <v>#N/A</v>
      </c>
    </row>
    <row r="98" spans="3:69" x14ac:dyDescent="0.25">
      <c r="C98" s="55" t="s">
        <v>297</v>
      </c>
      <c r="D98" s="32" t="e">
        <f t="shared" si="11"/>
        <v>#N/A</v>
      </c>
      <c r="E98" s="43"/>
      <c r="F98" s="66">
        <v>1</v>
      </c>
      <c r="G98" s="11" t="e">
        <f>VLOOKUP(A98,KGV!A$3:R$103,17,FALSE)</f>
        <v>#N/A</v>
      </c>
      <c r="H98" s="11" t="e">
        <f>VLOOKUP(A98,KGV!A$3:R$103,16,FALSE)</f>
        <v>#N/A</v>
      </c>
      <c r="I98" s="12" t="e">
        <f>VLOOKUP(A98,KGV!A$3:R$103,18,FALSE)</f>
        <v>#N/A</v>
      </c>
      <c r="J98" s="16" t="e">
        <f t="shared" si="12"/>
        <v>#N/A</v>
      </c>
      <c r="K98" s="12" t="e">
        <f t="shared" si="13"/>
        <v>#N/A</v>
      </c>
      <c r="L98" s="11" t="e">
        <f>VLOOKUP(A98,KBV!A$3:R$103,17,FALSE)</f>
        <v>#N/A</v>
      </c>
      <c r="M98" s="11" t="e">
        <f>VLOOKUP(A98,KBV!A$3:R$103,16,FALSE)</f>
        <v>#N/A</v>
      </c>
      <c r="N98" s="12" t="e">
        <f>VLOOKUP(A98,KBV!A$3:R$103,18,FALSE)</f>
        <v>#N/A</v>
      </c>
      <c r="O98" s="16" t="e">
        <f t="shared" si="20"/>
        <v>#N/A</v>
      </c>
      <c r="P98" s="12" t="e">
        <f t="shared" si="21"/>
        <v>#N/A</v>
      </c>
      <c r="Q98" s="32" t="e">
        <f>IF(F98=1,IF(I98&lt;Bewertung_Stammdaten!B$12,Bewertung_Stammdaten!A$12,IF(I98&lt;Bewertung_Stammdaten!B$13,Bewertung_Stammdaten!A$13,IF(I98&lt;Bewertung_Stammdaten!B$14,Bewertung_Stammdaten!A$14,IF(I98&lt;Bewertung_Stammdaten!B$15,Bewertung_Stammdaten!A$15,IF(I98&lt;Bewertung_Stammdaten!B$16,Bewertung_Stammdaten!A$16,IF(I98&lt;Bewertung_Stammdaten!B$17,Bewertung_Stammdaten!A$17,IF(I98&lt;Bewertung_Stammdaten!B$18,Bewertung_Stammdaten!A$18,IF(I98&lt;Bewertung_Stammdaten!B$19,Bewertung_Stammdaten!A$19,IF(I98&lt;Bewertung_Stammdaten!B$20,Bewertung_Stammdaten!A$20,Bewertung_Stammdaten!A$21))))))))),IF(N98&lt;Bewertung_Stammdaten!C$12,Bewertung_Stammdaten!A$12,IF(N98&lt;Bewertung_Stammdaten!C$13,Bewertung_Stammdaten!A$13,IF(N98&lt;Bewertung_Stammdaten!C$14,Bewertung_Stammdaten!A$14,IF(N98&lt;Bewertung_Stammdaten!C$15,Bewertung_Stammdaten!A$15,IF(N98&lt;Bewertung_Stammdaten!C$16,Bewertung_Stammdaten!A$16,IF(N98&lt;Bewertung_Stammdaten!C$17,Bewertung_Stammdaten!A$17,IF(N98&lt;Bewertung_Stammdaten!C$18,Bewertung_Stammdaten!A$18,IF(N98&lt;Bewertung_Stammdaten!C$19,Bewertung_Stammdaten!A$19,IF(N98&lt;Bewertung_Stammdaten!C$20,Bewertung_Stammdaten!A$20,Bewertung_Stammdaten!A$21))))))))))</f>
        <v>#N/A</v>
      </c>
      <c r="R98" s="32" t="e">
        <f>IF(F98=1,IF(K98&lt;Bewertung_Stammdaten!F$12,Bewertung_Stammdaten!E$12,IF(K98&lt;Bewertung_Stammdaten!F$13,Bewertung_Stammdaten!E$13,IF(K98&lt;Bewertung_Stammdaten!F$14,Bewertung_Stammdaten!E$14,IF(K98&lt;Bewertung_Stammdaten!F$15,Bewertung_Stammdaten!E$15,IF(K98&lt;Bewertung_Stammdaten!F$16,Bewertung_Stammdaten!E$16,IF(K98&lt;Bewertung_Stammdaten!F$17,Bewertung_Stammdaten!E$17,IF(K98&lt;Bewertung_Stammdaten!F$18,Bewertung_Stammdaten!E$18,IF(K98&lt;Bewertung_Stammdaten!F$19,Bewertung_Stammdaten!E$19,IF(K98&lt;Bewertung_Stammdaten!F$20,Bewertung_Stammdaten!E$20,Bewertung_Stammdaten!E$21))))))))),IF(P98&lt;Bewertung_Stammdaten!G$12,Bewertung_Stammdaten!E$12,IF(P98&lt;Bewertung_Stammdaten!G$13,Bewertung_Stammdaten!E$13,IF(P98&lt;Bewertung_Stammdaten!G$14,Bewertung_Stammdaten!E$14,IF(P98&lt;Bewertung_Stammdaten!G$15,Bewertung_Stammdaten!E$15,IF(P98&lt;Bewertung_Stammdaten!G$16,Bewertung_Stammdaten!E$16,IF(P98&lt;Bewertung_Stammdaten!G$17,Bewertung_Stammdaten!E$17,IF(P98&lt;Bewertung_Stammdaten!G$18,Bewertung_Stammdaten!E$18,IF(P98&lt;Bewertung_Stammdaten!G$19,Bewertung_Stammdaten!E$19,IF(P98&lt;Bewertung_Stammdaten!G$20,Bewertung_Stammdaten!E$20,Bewertung_Stammdaten!E$21))))))))))</f>
        <v>#N/A</v>
      </c>
      <c r="S98" s="43"/>
      <c r="T98" s="11" t="e">
        <f>VLOOKUP(A98,Buchwert_je_Aktie!A$3:AK$103,23,FALSE)</f>
        <v>#N/A</v>
      </c>
      <c r="U98" s="11" t="e">
        <f>VLOOKUP(A98,Buchwert_je_Aktie!A$3:AK$103,19,FALSE)</f>
        <v>#N/A</v>
      </c>
      <c r="V98" s="12" t="e">
        <f>VLOOKUP(A98,Buchwert_je_Aktie!A$3:AK$103,24,FALSE)</f>
        <v>#N/A</v>
      </c>
      <c r="W98" s="12" t="e">
        <f>VLOOKUP(A98,Buchwert_je_Aktie!A$3:AK$103,37,FALSE)</f>
        <v>#N/A</v>
      </c>
      <c r="X98" s="16" t="e">
        <f t="shared" si="14"/>
        <v>#N/A</v>
      </c>
      <c r="Y98" s="12" t="e">
        <f t="shared" si="15"/>
        <v>#N/A</v>
      </c>
      <c r="Z98" s="51" t="e">
        <f>IF(V98&lt;Bewertung_Stammdaten!B$25,Bewertung_Stammdaten!A$25,IF(V98&lt;Bewertung_Stammdaten!B$26,Bewertung_Stammdaten!A$26,IF(V98&lt;Bewertung_Stammdaten!B$27,Bewertung_Stammdaten!A$27,IF(V98&lt;Bewertung_Stammdaten!B$28,Bewertung_Stammdaten!A$28,IF(V98&lt;Bewertung_Stammdaten!B$29,Bewertung_Stammdaten!A$29,IF(V98&lt;Bewertung_Stammdaten!B$30,Bewertung_Stammdaten!A$30,IF(V98&lt;Bewertung_Stammdaten!B$31,Bewertung_Stammdaten!A$31,IF(V98&lt;Bewertung_Stammdaten!B$32,Bewertung_Stammdaten!A$32,IF(V98&lt;Bewertung_Stammdaten!B$33,Bewertung_Stammdaten!A$33,Bewertung_Stammdaten!A$34)))))))))</f>
        <v>#N/A</v>
      </c>
      <c r="AA98" s="51" t="e">
        <f>IF(W98&lt;Bewertung_Stammdaten!F$25,Bewertung_Stammdaten!E$25,IF(W98&lt;Bewertung_Stammdaten!F$26,Bewertung_Stammdaten!E$26,IF(W98&lt;Bewertung_Stammdaten!F$27,Bewertung_Stammdaten!E$27,IF(W98&lt;Bewertung_Stammdaten!F$28,Bewertung_Stammdaten!E$28,IF(W98&lt;Bewertung_Stammdaten!F$29,Bewertung_Stammdaten!E$29,IF(W98&lt;Bewertung_Stammdaten!F$30,Bewertung_Stammdaten!E$30,IF(W98&lt;Bewertung_Stammdaten!F$31,Bewertung_Stammdaten!E$31,IF(W98&lt;Bewertung_Stammdaten!F$32,Bewertung_Stammdaten!E$32,IF(W98&lt;Bewertung_Stammdaten!F$33,Bewertung_Stammdaten!E$33,Bewertung_Stammdaten!E$34)))))))))</f>
        <v>#N/A</v>
      </c>
      <c r="AB98" s="51" t="e">
        <f>IF(Y98&lt;Bewertung_Stammdaten!J$25,Bewertung_Stammdaten!I$25,IF(Y98&lt;Bewertung_Stammdaten!J$26,Bewertung_Stammdaten!I$26,IF(Y98&lt;Bewertung_Stammdaten!J$27,Bewertung_Stammdaten!I$27,IF(Y98&lt;Bewertung_Stammdaten!J$28,Bewertung_Stammdaten!I$28,IF(Y98&lt;Bewertung_Stammdaten!J$29,Bewertung_Stammdaten!I$29,IF(Y98&lt;Bewertung_Stammdaten!J$30,Bewertung_Stammdaten!I$30,IF(Y98&lt;Bewertung_Stammdaten!J$31,Bewertung_Stammdaten!I$31,IF(Y98&lt;Bewertung_Stammdaten!J$32,Bewertung_Stammdaten!I$32,IF(Y98&lt;Bewertung_Stammdaten!J$33,Bewertung_Stammdaten!I$33,Bewertung_Stammdaten!I$34)))))))))</f>
        <v>#N/A</v>
      </c>
      <c r="AC98" s="43"/>
      <c r="AD98" s="14" t="e">
        <f>VLOOKUP(A98,Ergebnis_je_Aktie_verwässert!A$3:AK$103,23,FALSE)</f>
        <v>#N/A</v>
      </c>
      <c r="AE98" s="14" t="e">
        <f>VLOOKUP(A98,Ergebnis_je_Aktie_verwässert!A$3:AK$103,19,FALSE)</f>
        <v>#N/A</v>
      </c>
      <c r="AF98" s="12" t="e">
        <f>VLOOKUP(A98,Ergebnis_je_Aktie_verwässert!A$3:AK$103,24,FALSE)</f>
        <v>#N/A</v>
      </c>
      <c r="AG98" s="40" t="e">
        <f>VLOOKUP(A98,Ergebnis_je_Aktie_verwässert!A$3:AK$103,37,FALSE)</f>
        <v>#N/A</v>
      </c>
      <c r="AH98" s="16" t="e">
        <f t="shared" si="16"/>
        <v>#N/A</v>
      </c>
      <c r="AI98" s="12" t="e">
        <f t="shared" si="17"/>
        <v>#N/A</v>
      </c>
      <c r="AJ98" s="32" t="e">
        <f>IF(AF98&lt;Bewertung_Stammdaten!B$38,Bewertung_Stammdaten!A$38,IF(AF98&lt;Bewertung_Stammdaten!B$39,Bewertung_Stammdaten!A$39,IF(AF98&lt;Bewertung_Stammdaten!B$40,Bewertung_Stammdaten!A$40,IF(AF98&lt;Bewertung_Stammdaten!B$41,Bewertung_Stammdaten!A$41,IF(AF98&lt;Bewertung_Stammdaten!B$42,Bewertung_Stammdaten!A$42,IF(AF98&lt;Bewertung_Stammdaten!B$43,Bewertung_Stammdaten!A$43,IF(AF98&lt;Bewertung_Stammdaten!B$44,Bewertung_Stammdaten!A$44,IF(AF98&lt;Bewertung_Stammdaten!B$45,Bewertung_Stammdaten!A$45,IF(AF98&lt;Bewertung_Stammdaten!B$46,Bewertung_Stammdaten!A$46,Bewertung_Stammdaten!A$47)))))))))</f>
        <v>#N/A</v>
      </c>
      <c r="AK98" s="32" t="e">
        <f>IF(AG98&lt;Bewertung_Stammdaten!F$38,Bewertung_Stammdaten!E$38,IF(AG98&lt;Bewertung_Stammdaten!F$39,Bewertung_Stammdaten!E$39,IF(AG98&lt;Bewertung_Stammdaten!F$40,Bewertung_Stammdaten!E$40,IF(AG98&lt;Bewertung_Stammdaten!F$41,Bewertung_Stammdaten!E$41,IF(AG98&lt;Bewertung_Stammdaten!F$42,Bewertung_Stammdaten!E$42,IF(AG98&lt;Bewertung_Stammdaten!F$43,Bewertung_Stammdaten!E$43,IF(AG98&lt;Bewertung_Stammdaten!F$44,Bewertung_Stammdaten!E$44,IF(AG98&lt;Bewertung_Stammdaten!F$45,Bewertung_Stammdaten!E$45,IF(AG98&lt;Bewertung_Stammdaten!F$46,Bewertung_Stammdaten!E$46,Bewertung_Stammdaten!E$47)))))))))</f>
        <v>#N/A</v>
      </c>
      <c r="AL98" s="32" t="e">
        <f>IF(AI98&lt;Bewertung_Stammdaten!J$38,Bewertung_Stammdaten!I$38,IF(AI98&lt;Bewertung_Stammdaten!J$39,Bewertung_Stammdaten!I$39,IF(AI98&lt;Bewertung_Stammdaten!J$40,Bewertung_Stammdaten!I$40,IF(AI98&lt;Bewertung_Stammdaten!J$41,Bewertung_Stammdaten!I$41,IF(AI98&lt;Bewertung_Stammdaten!J$42,Bewertung_Stammdaten!I$42,IF(AI98&lt;Bewertung_Stammdaten!J$43,Bewertung_Stammdaten!I$43,IF(AI98&lt;Bewertung_Stammdaten!J$44,Bewertung_Stammdaten!I$44,IF(AI98&lt;Bewertung_Stammdaten!J$45,Bewertung_Stammdaten!I$45,IF(AI98&lt;Bewertung_Stammdaten!J$46,Bewertung_Stammdaten!I$46,Bewertung_Stammdaten!I$47)))))))))</f>
        <v>#N/A</v>
      </c>
      <c r="AM98" s="43"/>
      <c r="AN98" s="14" t="e">
        <f>VLOOKUP(A98,Dividende_je_Aktie!A$3:AM$103,24,FALSE)</f>
        <v>#N/A</v>
      </c>
      <c r="AO98" s="14" t="e">
        <f>VLOOKUP(A98,Dividende_je_Aktie!A$3:AM$103,20,FALSE)</f>
        <v>#N/A</v>
      </c>
      <c r="AP98" s="12" t="e">
        <f>VLOOKUP(A98,Dividende_je_Aktie!A$3:AM$103,25,FALSE)</f>
        <v>#N/A</v>
      </c>
      <c r="AQ98" s="40" t="e">
        <f>VLOOKUP(A98,Dividende_je_Aktie!A$3:AM$103,39,FALSE)</f>
        <v>#N/A</v>
      </c>
      <c r="AR98" s="16" t="e">
        <f t="shared" si="18"/>
        <v>#N/A</v>
      </c>
      <c r="AS98" s="12" t="e">
        <f t="shared" si="19"/>
        <v>#N/A</v>
      </c>
      <c r="AT98" s="32" t="e">
        <f>IF(AP98&lt;Bewertung_Stammdaten!B$51,Bewertung_Stammdaten!A$51,IF(AP98&lt;Bewertung_Stammdaten!B$52,Bewertung_Stammdaten!A$52,IF(AP98&lt;Bewertung_Stammdaten!B$53,Bewertung_Stammdaten!A$53,IF(AP98&lt;Bewertung_Stammdaten!B$54,Bewertung_Stammdaten!A$54,IF(AP98&lt;Bewertung_Stammdaten!B$55,Bewertung_Stammdaten!A$55,IF(AP98&lt;Bewertung_Stammdaten!B$56,Bewertung_Stammdaten!A$56,IF(AP98&lt;Bewertung_Stammdaten!B$57,Bewertung_Stammdaten!A$57,IF(AP98&lt;Bewertung_Stammdaten!B$58,Bewertung_Stammdaten!A$58,IF(AP98&lt;Bewertung_Stammdaten!B$59,Bewertung_Stammdaten!A$59,Bewertung_Stammdaten!A$60)))))))))</f>
        <v>#N/A</v>
      </c>
      <c r="AU98" s="32" t="e">
        <f>IF(AQ98&lt;Bewertung_Stammdaten!F$51,Bewertung_Stammdaten!E$51,IF(AQ98&lt;Bewertung_Stammdaten!F$52,Bewertung_Stammdaten!E$52,IF(AQ98&lt;Bewertung_Stammdaten!F$53,Bewertung_Stammdaten!E$53,IF(AQ98&lt;Bewertung_Stammdaten!F$54,Bewertung_Stammdaten!E$54,IF(AQ98&lt;Bewertung_Stammdaten!F$55,Bewertung_Stammdaten!E$55,IF(AQ98&lt;Bewertung_Stammdaten!F$56,Bewertung_Stammdaten!E$56,IF(AQ98&lt;Bewertung_Stammdaten!F$57,Bewertung_Stammdaten!E$57,IF(AQ98&lt;Bewertung_Stammdaten!F$58,Bewertung_Stammdaten!E$58,IF(AQ98&lt;Bewertung_Stammdaten!F$59,Bewertung_Stammdaten!E$59,Bewertung_Stammdaten!E$60)))))))))</f>
        <v>#N/A</v>
      </c>
      <c r="AV98" s="32" t="e">
        <f>IF(AS98&lt;Bewertung_Stammdaten!J$51,Bewertung_Stammdaten!I$51,IF(AS98&lt;Bewertung_Stammdaten!J$52,Bewertung_Stammdaten!I$52,IF(AS98&lt;Bewertung_Stammdaten!J$53,Bewertung_Stammdaten!I$53,IF(AS98&lt;Bewertung_Stammdaten!J$54,Bewertung_Stammdaten!I$54,IF(AS98&lt;Bewertung_Stammdaten!J$55,Bewertung_Stammdaten!I$55,IF(AS98&lt;Bewertung_Stammdaten!J$56,Bewertung_Stammdaten!I$56,IF(AS98&lt;Bewertung_Stammdaten!J$57,Bewertung_Stammdaten!I$57,IF(AS98&lt;Bewertung_Stammdaten!J$58,Bewertung_Stammdaten!I$58,IF(AS98&lt;Bewertung_Stammdaten!J$59,Bewertung_Stammdaten!I$59,Bewertung_Stammdaten!I$60)))))))))</f>
        <v>#N/A</v>
      </c>
      <c r="AW98" s="43"/>
      <c r="AX98" s="12" t="e">
        <f>VLOOKUP(A98,Dividendenrendite!A$3:R$103,17,FALSE)</f>
        <v>#N/A</v>
      </c>
      <c r="AY98" s="12" t="e">
        <f>VLOOKUP(A98,Dividendenrendite!A$3:R$103,16,FALSE)</f>
        <v>#N/A</v>
      </c>
      <c r="AZ98" s="12" t="e">
        <f>VLOOKUP(A98,Dividendenrendite!A$3:R$103,18,FALSE)</f>
        <v>#N/A</v>
      </c>
      <c r="BA98" s="32" t="e">
        <f>IF(AX98&lt;Bewertung_Stammdaten!B$64,Bewertung_Stammdaten!A$64,IF(AX98&lt;Bewertung_Stammdaten!B$65,Bewertung_Stammdaten!A$65,IF(AX98&lt;Bewertung_Stammdaten!B$66,Bewertung_Stammdaten!A$66,IF(AX98&lt;Bewertung_Stammdaten!B$67,Bewertung_Stammdaten!A$67,IF(AX98&lt;Bewertung_Stammdaten!B$68,Bewertung_Stammdaten!A$68,IF(AX98&lt;Bewertung_Stammdaten!B$69,Bewertung_Stammdaten!A$69,IF(AX98&lt;Bewertung_Stammdaten!B$70,Bewertung_Stammdaten!A$70,IF(AX98&lt;Bewertung_Stammdaten!B$71,Bewertung_Stammdaten!A$71,IF(AX98&lt;Bewertung_Stammdaten!B$72,Bewertung_Stammdaten!A$72,Bewertung_Stammdaten!A$73)))))))))</f>
        <v>#N/A</v>
      </c>
      <c r="BB98" s="32" t="e">
        <f>IF(AY98&lt;Bewertung_Stammdaten!F$64,Bewertung_Stammdaten!E$64,IF(AY98&lt;Bewertung_Stammdaten!F$65,Bewertung_Stammdaten!E$65,IF(AY98&lt;Bewertung_Stammdaten!F$66,Bewertung_Stammdaten!E$66,IF(AY98&lt;Bewertung_Stammdaten!F$67,Bewertung_Stammdaten!E$67,IF(AY98&lt;Bewertung_Stammdaten!F$68,Bewertung_Stammdaten!E$68,IF(AY98&lt;Bewertung_Stammdaten!F$69,Bewertung_Stammdaten!E$69,IF(AY98&lt;Bewertung_Stammdaten!F$70,Bewertung_Stammdaten!E$70,IF(AY98&lt;Bewertung_Stammdaten!F$71,Bewertung_Stammdaten!E$71,IF(AY98&lt;Bewertung_Stammdaten!F$72,Bewertung_Stammdaten!E$72,Bewertung_Stammdaten!E$73)))))))))</f>
        <v>#N/A</v>
      </c>
      <c r="BC98" s="32" t="e">
        <f>IF(AZ98&lt;Bewertung_Stammdaten!J$64,Bewertung_Stammdaten!I$64,IF(AZ98&lt;Bewertung_Stammdaten!J$65,Bewertung_Stammdaten!I$65,IF(AZ98&lt;Bewertung_Stammdaten!J$66,Bewertung_Stammdaten!I$66,IF(AZ98&lt;Bewertung_Stammdaten!J$67,Bewertung_Stammdaten!I$67,IF(AZ98&lt;Bewertung_Stammdaten!J$68,Bewertung_Stammdaten!I$68,IF(AZ98&lt;Bewertung_Stammdaten!J$69,Bewertung_Stammdaten!I$69,IF(AZ98&lt;Bewertung_Stammdaten!J$70,Bewertung_Stammdaten!I$70,IF(AZ98&lt;Bewertung_Stammdaten!J$71,Bewertung_Stammdaten!I$71,IF(AZ98&lt;Bewertung_Stammdaten!J$72,Bewertung_Stammdaten!I$72,Bewertung_Stammdaten!I$73)))))))))</f>
        <v>#N/A</v>
      </c>
      <c r="BD98" s="43"/>
      <c r="BE98" s="12" t="e">
        <f>VLOOKUP(A98,Aktien_im_Umlauf_splitbereinigt!A$3:Z$103,26,FALSE)</f>
        <v>#N/A</v>
      </c>
      <c r="BF98" s="12" t="e">
        <f>VLOOKUP(A98,Aktien_im_Umlauf_splitbereinigt!A$3:Y$103,24,FALSE)</f>
        <v>#N/A</v>
      </c>
      <c r="BG98" s="12" t="e">
        <f>VLOOKUP(A98,Aktien_im_Umlauf_splitbereinigt!A$3:Y$103,25,FALSE)</f>
        <v>#N/A</v>
      </c>
      <c r="BH98" s="41" t="e">
        <f>IF(BE98&lt;Bewertung_Stammdaten!B$77,Bewertung_Stammdaten!A$77,IF(BE98&lt;Bewertung_Stammdaten!B$78,Bewertung_Stammdaten!A$78,IF(BE98&lt;Bewertung_Stammdaten!B$79,Bewertung_Stammdaten!A$79,IF(BE98&lt;Bewertung_Stammdaten!B$80,Bewertung_Stammdaten!A$80,IF(BE98&lt;Bewertung_Stammdaten!B$81,Bewertung_Stammdaten!A$81,IF(BE98&lt;Bewertung_Stammdaten!B$82,Bewertung_Stammdaten!A$82,IF(BE98&lt;Bewertung_Stammdaten!B$83,Bewertung_Stammdaten!A$83,IF(BE98&lt;Bewertung_Stammdaten!B$84,Bewertung_Stammdaten!A$84,IF(BE98&lt;Bewertung_Stammdaten!B$85,Bewertung_Stammdaten!A$85,Bewertung_Stammdaten!A$86)))))))))</f>
        <v>#N/A</v>
      </c>
      <c r="BI98" s="41" t="e">
        <f>IF(BF98&lt;Bewertung_Stammdaten!F$77,Bewertung_Stammdaten!E$77,IF(BF98&lt;Bewertung_Stammdaten!F$78,Bewertung_Stammdaten!E$78,IF(BF98&lt;Bewertung_Stammdaten!F$79,Bewertung_Stammdaten!E$79,IF(BF98&lt;Bewertung_Stammdaten!F$80,Bewertung_Stammdaten!E$80,IF(BF98&lt;Bewertung_Stammdaten!F$81,Bewertung_Stammdaten!E$81,IF(BF98&lt;Bewertung_Stammdaten!F$82,Bewertung_Stammdaten!E$82,IF(BF98&lt;Bewertung_Stammdaten!F$83,Bewertung_Stammdaten!E$83,IF(BF98&lt;Bewertung_Stammdaten!F$84,Bewertung_Stammdaten!E$84,IF(BF98&lt;Bewertung_Stammdaten!F$85,Bewertung_Stammdaten!E$85,Bewertung_Stammdaten!E$86)))))))))</f>
        <v>#N/A</v>
      </c>
      <c r="BJ98" s="41" t="e">
        <f>IF(BG98&lt;Bewertung_Stammdaten!J$77,Bewertung_Stammdaten!I$77,IF(BG98&lt;Bewertung_Stammdaten!J$78,Bewertung_Stammdaten!I$78,IF(BG98&lt;Bewertung_Stammdaten!J$79,Bewertung_Stammdaten!I$79,IF(BG98&lt;Bewertung_Stammdaten!J$80,Bewertung_Stammdaten!I$80,IF(BG98&lt;Bewertung_Stammdaten!J$81,Bewertung_Stammdaten!I$81,IF(BG98&lt;Bewertung_Stammdaten!J$82,Bewertung_Stammdaten!I$82,IF(BG98&lt;Bewertung_Stammdaten!J$83,Bewertung_Stammdaten!I$83,IF(BG98&lt;Bewertung_Stammdaten!J$84,Bewertung_Stammdaten!I$84,IF(BG98&lt;Bewertung_Stammdaten!J$85,Bewertung_Stammdaten!I$85,Bewertung_Stammdaten!I$86)))))))))</f>
        <v>#N/A</v>
      </c>
      <c r="BK98" s="43"/>
      <c r="BL98" s="12" t="e">
        <f>VLOOKUP(A98,Ausschüttungsquote!A$3:X$103,23,FALSE)</f>
        <v>#N/A</v>
      </c>
      <c r="BM98" s="12" t="e">
        <f>VLOOKUP(A98,Ausschüttungsquote!A$3:X$103,19,FALSE)</f>
        <v>#N/A</v>
      </c>
      <c r="BN98" s="12" t="e">
        <f>VLOOKUP(A98,Ausschüttungsquote!A$3:X$103,24,FALSE)</f>
        <v>#N/A</v>
      </c>
      <c r="BO98" s="32" t="e">
        <f>IF(BL98&lt;Bewertung_Stammdaten!B$90,Bewertung_Stammdaten!A$90,IF(BL98&lt;Bewertung_Stammdaten!B$91,Bewertung_Stammdaten!A$91,IF(BL98&lt;Bewertung_Stammdaten!B$92,Bewertung_Stammdaten!A$92,IF(BL98&lt;Bewertung_Stammdaten!B$93,Bewertung_Stammdaten!A$93,IF(BL98&lt;Bewertung_Stammdaten!B$94,Bewertung_Stammdaten!A$94,IF(BL98&lt;Bewertung_Stammdaten!B$95,Bewertung_Stammdaten!A$95,IF(BL98&lt;Bewertung_Stammdaten!B$96,Bewertung_Stammdaten!A$96,IF(BL98&lt;Bewertung_Stammdaten!B$97,Bewertung_Stammdaten!A$97,IF(BL98&lt;Bewertung_Stammdaten!B$98,Bewertung_Stammdaten!A$98,Bewertung_Stammdaten!A$99)))))))))</f>
        <v>#N/A</v>
      </c>
      <c r="BP98" s="41" t="e">
        <f>IF(BM98&lt;Bewertung_Stammdaten!F$90,Bewertung_Stammdaten!E$90,IF(BM98&lt;Bewertung_Stammdaten!F$91,Bewertung_Stammdaten!E$91,IF(BM98&lt;Bewertung_Stammdaten!F$92,Bewertung_Stammdaten!E$92,IF(BM98&lt;Bewertung_Stammdaten!F$93,Bewertung_Stammdaten!E$93,IF(BM98&lt;Bewertung_Stammdaten!F$94,Bewertung_Stammdaten!E$94,IF(BM98&lt;Bewertung_Stammdaten!F$95,Bewertung_Stammdaten!E$95,IF(BM98&lt;Bewertung_Stammdaten!F$96,Bewertung_Stammdaten!E$96,IF(BM98&lt;Bewertung_Stammdaten!F$97,Bewertung_Stammdaten!E$97,IF(BM98&lt;Bewertung_Stammdaten!F$98,Bewertung_Stammdaten!E$98,Bewertung_Stammdaten!E$99)))))))))</f>
        <v>#N/A</v>
      </c>
      <c r="BQ98" s="32" t="e">
        <f>IF(BN98&lt;Bewertung_Stammdaten!J$90,Bewertung_Stammdaten!I$90,IF(BN98&lt;Bewertung_Stammdaten!J$91,Bewertung_Stammdaten!I$91,IF(BN98&lt;Bewertung_Stammdaten!J$92,Bewertung_Stammdaten!I$92,IF(BN98&lt;Bewertung_Stammdaten!J$93,Bewertung_Stammdaten!I$93,IF(BN98&lt;Bewertung_Stammdaten!J$94,Bewertung_Stammdaten!I$94,IF(BN98&lt;Bewertung_Stammdaten!J$95,Bewertung_Stammdaten!I$95,IF(BN98&lt;Bewertung_Stammdaten!J$96,Bewertung_Stammdaten!I$96,IF(BN98&lt;Bewertung_Stammdaten!J$97,Bewertung_Stammdaten!I$97,IF(BN98&lt;Bewertung_Stammdaten!J$98,Bewertung_Stammdaten!I$98,Bewertung_Stammdaten!I$99)))))))))</f>
        <v>#N/A</v>
      </c>
    </row>
    <row r="99" spans="3:69" x14ac:dyDescent="0.25">
      <c r="C99" s="55" t="s">
        <v>297</v>
      </c>
      <c r="D99" s="32" t="e">
        <f t="shared" si="11"/>
        <v>#N/A</v>
      </c>
      <c r="E99" s="43"/>
      <c r="F99" s="66">
        <v>1</v>
      </c>
      <c r="G99" s="11" t="e">
        <f>VLOOKUP(A99,KGV!A$3:R$103,17,FALSE)</f>
        <v>#N/A</v>
      </c>
      <c r="H99" s="11" t="e">
        <f>VLOOKUP(A99,KGV!A$3:R$103,16,FALSE)</f>
        <v>#N/A</v>
      </c>
      <c r="I99" s="12" t="e">
        <f>VLOOKUP(A99,KGV!A$3:R$103,18,FALSE)</f>
        <v>#N/A</v>
      </c>
      <c r="J99" s="16" t="e">
        <f t="shared" si="12"/>
        <v>#N/A</v>
      </c>
      <c r="K99" s="12" t="e">
        <f t="shared" si="13"/>
        <v>#N/A</v>
      </c>
      <c r="L99" s="11" t="e">
        <f>VLOOKUP(A99,KBV!A$3:R$103,17,FALSE)</f>
        <v>#N/A</v>
      </c>
      <c r="M99" s="11" t="e">
        <f>VLOOKUP(A99,KBV!A$3:R$103,16,FALSE)</f>
        <v>#N/A</v>
      </c>
      <c r="N99" s="12" t="e">
        <f>VLOOKUP(A99,KBV!A$3:R$103,18,FALSE)</f>
        <v>#N/A</v>
      </c>
      <c r="O99" s="16" t="e">
        <f t="shared" si="20"/>
        <v>#N/A</v>
      </c>
      <c r="P99" s="12" t="e">
        <f t="shared" si="21"/>
        <v>#N/A</v>
      </c>
      <c r="Q99" s="32" t="e">
        <f>IF(F99=1,IF(I99&lt;Bewertung_Stammdaten!B$12,Bewertung_Stammdaten!A$12,IF(I99&lt;Bewertung_Stammdaten!B$13,Bewertung_Stammdaten!A$13,IF(I99&lt;Bewertung_Stammdaten!B$14,Bewertung_Stammdaten!A$14,IF(I99&lt;Bewertung_Stammdaten!B$15,Bewertung_Stammdaten!A$15,IF(I99&lt;Bewertung_Stammdaten!B$16,Bewertung_Stammdaten!A$16,IF(I99&lt;Bewertung_Stammdaten!B$17,Bewertung_Stammdaten!A$17,IF(I99&lt;Bewertung_Stammdaten!B$18,Bewertung_Stammdaten!A$18,IF(I99&lt;Bewertung_Stammdaten!B$19,Bewertung_Stammdaten!A$19,IF(I99&lt;Bewertung_Stammdaten!B$20,Bewertung_Stammdaten!A$20,Bewertung_Stammdaten!A$21))))))))),IF(N99&lt;Bewertung_Stammdaten!C$12,Bewertung_Stammdaten!A$12,IF(N99&lt;Bewertung_Stammdaten!C$13,Bewertung_Stammdaten!A$13,IF(N99&lt;Bewertung_Stammdaten!C$14,Bewertung_Stammdaten!A$14,IF(N99&lt;Bewertung_Stammdaten!C$15,Bewertung_Stammdaten!A$15,IF(N99&lt;Bewertung_Stammdaten!C$16,Bewertung_Stammdaten!A$16,IF(N99&lt;Bewertung_Stammdaten!C$17,Bewertung_Stammdaten!A$17,IF(N99&lt;Bewertung_Stammdaten!C$18,Bewertung_Stammdaten!A$18,IF(N99&lt;Bewertung_Stammdaten!C$19,Bewertung_Stammdaten!A$19,IF(N99&lt;Bewertung_Stammdaten!C$20,Bewertung_Stammdaten!A$20,Bewertung_Stammdaten!A$21))))))))))</f>
        <v>#N/A</v>
      </c>
      <c r="R99" s="32" t="e">
        <f>IF(F99=1,IF(K99&lt;Bewertung_Stammdaten!F$12,Bewertung_Stammdaten!E$12,IF(K99&lt;Bewertung_Stammdaten!F$13,Bewertung_Stammdaten!E$13,IF(K99&lt;Bewertung_Stammdaten!F$14,Bewertung_Stammdaten!E$14,IF(K99&lt;Bewertung_Stammdaten!F$15,Bewertung_Stammdaten!E$15,IF(K99&lt;Bewertung_Stammdaten!F$16,Bewertung_Stammdaten!E$16,IF(K99&lt;Bewertung_Stammdaten!F$17,Bewertung_Stammdaten!E$17,IF(K99&lt;Bewertung_Stammdaten!F$18,Bewertung_Stammdaten!E$18,IF(K99&lt;Bewertung_Stammdaten!F$19,Bewertung_Stammdaten!E$19,IF(K99&lt;Bewertung_Stammdaten!F$20,Bewertung_Stammdaten!E$20,Bewertung_Stammdaten!E$21))))))))),IF(P99&lt;Bewertung_Stammdaten!G$12,Bewertung_Stammdaten!E$12,IF(P99&lt;Bewertung_Stammdaten!G$13,Bewertung_Stammdaten!E$13,IF(P99&lt;Bewertung_Stammdaten!G$14,Bewertung_Stammdaten!E$14,IF(P99&lt;Bewertung_Stammdaten!G$15,Bewertung_Stammdaten!E$15,IF(P99&lt;Bewertung_Stammdaten!G$16,Bewertung_Stammdaten!E$16,IF(P99&lt;Bewertung_Stammdaten!G$17,Bewertung_Stammdaten!E$17,IF(P99&lt;Bewertung_Stammdaten!G$18,Bewertung_Stammdaten!E$18,IF(P99&lt;Bewertung_Stammdaten!G$19,Bewertung_Stammdaten!E$19,IF(P99&lt;Bewertung_Stammdaten!G$20,Bewertung_Stammdaten!E$20,Bewertung_Stammdaten!E$21))))))))))</f>
        <v>#N/A</v>
      </c>
      <c r="S99" s="43"/>
      <c r="T99" s="11" t="e">
        <f>VLOOKUP(A99,Buchwert_je_Aktie!A$3:AK$103,23,FALSE)</f>
        <v>#N/A</v>
      </c>
      <c r="U99" s="11" t="e">
        <f>VLOOKUP(A99,Buchwert_je_Aktie!A$3:AK$103,19,FALSE)</f>
        <v>#N/A</v>
      </c>
      <c r="V99" s="12" t="e">
        <f>VLOOKUP(A99,Buchwert_je_Aktie!A$3:AK$103,24,FALSE)</f>
        <v>#N/A</v>
      </c>
      <c r="W99" s="12" t="e">
        <f>VLOOKUP(A99,Buchwert_je_Aktie!A$3:AK$103,37,FALSE)</f>
        <v>#N/A</v>
      </c>
      <c r="X99" s="16" t="e">
        <f t="shared" si="14"/>
        <v>#N/A</v>
      </c>
      <c r="Y99" s="12" t="e">
        <f t="shared" si="15"/>
        <v>#N/A</v>
      </c>
      <c r="Z99" s="51" t="e">
        <f>IF(V99&lt;Bewertung_Stammdaten!B$25,Bewertung_Stammdaten!A$25,IF(V99&lt;Bewertung_Stammdaten!B$26,Bewertung_Stammdaten!A$26,IF(V99&lt;Bewertung_Stammdaten!B$27,Bewertung_Stammdaten!A$27,IF(V99&lt;Bewertung_Stammdaten!B$28,Bewertung_Stammdaten!A$28,IF(V99&lt;Bewertung_Stammdaten!B$29,Bewertung_Stammdaten!A$29,IF(V99&lt;Bewertung_Stammdaten!B$30,Bewertung_Stammdaten!A$30,IF(V99&lt;Bewertung_Stammdaten!B$31,Bewertung_Stammdaten!A$31,IF(V99&lt;Bewertung_Stammdaten!B$32,Bewertung_Stammdaten!A$32,IF(V99&lt;Bewertung_Stammdaten!B$33,Bewertung_Stammdaten!A$33,Bewertung_Stammdaten!A$34)))))))))</f>
        <v>#N/A</v>
      </c>
      <c r="AA99" s="51" t="e">
        <f>IF(W99&lt;Bewertung_Stammdaten!F$25,Bewertung_Stammdaten!E$25,IF(W99&lt;Bewertung_Stammdaten!F$26,Bewertung_Stammdaten!E$26,IF(W99&lt;Bewertung_Stammdaten!F$27,Bewertung_Stammdaten!E$27,IF(W99&lt;Bewertung_Stammdaten!F$28,Bewertung_Stammdaten!E$28,IF(W99&lt;Bewertung_Stammdaten!F$29,Bewertung_Stammdaten!E$29,IF(W99&lt;Bewertung_Stammdaten!F$30,Bewertung_Stammdaten!E$30,IF(W99&lt;Bewertung_Stammdaten!F$31,Bewertung_Stammdaten!E$31,IF(W99&lt;Bewertung_Stammdaten!F$32,Bewertung_Stammdaten!E$32,IF(W99&lt;Bewertung_Stammdaten!F$33,Bewertung_Stammdaten!E$33,Bewertung_Stammdaten!E$34)))))))))</f>
        <v>#N/A</v>
      </c>
      <c r="AB99" s="51" t="e">
        <f>IF(Y99&lt;Bewertung_Stammdaten!J$25,Bewertung_Stammdaten!I$25,IF(Y99&lt;Bewertung_Stammdaten!J$26,Bewertung_Stammdaten!I$26,IF(Y99&lt;Bewertung_Stammdaten!J$27,Bewertung_Stammdaten!I$27,IF(Y99&lt;Bewertung_Stammdaten!J$28,Bewertung_Stammdaten!I$28,IF(Y99&lt;Bewertung_Stammdaten!J$29,Bewertung_Stammdaten!I$29,IF(Y99&lt;Bewertung_Stammdaten!J$30,Bewertung_Stammdaten!I$30,IF(Y99&lt;Bewertung_Stammdaten!J$31,Bewertung_Stammdaten!I$31,IF(Y99&lt;Bewertung_Stammdaten!J$32,Bewertung_Stammdaten!I$32,IF(Y99&lt;Bewertung_Stammdaten!J$33,Bewertung_Stammdaten!I$33,Bewertung_Stammdaten!I$34)))))))))</f>
        <v>#N/A</v>
      </c>
      <c r="AC99" s="43"/>
      <c r="AD99" s="14" t="e">
        <f>VLOOKUP(A99,Ergebnis_je_Aktie_verwässert!A$3:AK$103,23,FALSE)</f>
        <v>#N/A</v>
      </c>
      <c r="AE99" s="14" t="e">
        <f>VLOOKUP(A99,Ergebnis_je_Aktie_verwässert!A$3:AK$103,19,FALSE)</f>
        <v>#N/A</v>
      </c>
      <c r="AF99" s="12" t="e">
        <f>VLOOKUP(A99,Ergebnis_je_Aktie_verwässert!A$3:AK$103,24,FALSE)</f>
        <v>#N/A</v>
      </c>
      <c r="AG99" s="40" t="e">
        <f>VLOOKUP(A99,Ergebnis_je_Aktie_verwässert!A$3:AK$103,37,FALSE)</f>
        <v>#N/A</v>
      </c>
      <c r="AH99" s="16" t="e">
        <f t="shared" si="16"/>
        <v>#N/A</v>
      </c>
      <c r="AI99" s="12" t="e">
        <f t="shared" si="17"/>
        <v>#N/A</v>
      </c>
      <c r="AJ99" s="32" t="e">
        <f>IF(AF99&lt;Bewertung_Stammdaten!B$38,Bewertung_Stammdaten!A$38,IF(AF99&lt;Bewertung_Stammdaten!B$39,Bewertung_Stammdaten!A$39,IF(AF99&lt;Bewertung_Stammdaten!B$40,Bewertung_Stammdaten!A$40,IF(AF99&lt;Bewertung_Stammdaten!B$41,Bewertung_Stammdaten!A$41,IF(AF99&lt;Bewertung_Stammdaten!B$42,Bewertung_Stammdaten!A$42,IF(AF99&lt;Bewertung_Stammdaten!B$43,Bewertung_Stammdaten!A$43,IF(AF99&lt;Bewertung_Stammdaten!B$44,Bewertung_Stammdaten!A$44,IF(AF99&lt;Bewertung_Stammdaten!B$45,Bewertung_Stammdaten!A$45,IF(AF99&lt;Bewertung_Stammdaten!B$46,Bewertung_Stammdaten!A$46,Bewertung_Stammdaten!A$47)))))))))</f>
        <v>#N/A</v>
      </c>
      <c r="AK99" s="32" t="e">
        <f>IF(AG99&lt;Bewertung_Stammdaten!F$38,Bewertung_Stammdaten!E$38,IF(AG99&lt;Bewertung_Stammdaten!F$39,Bewertung_Stammdaten!E$39,IF(AG99&lt;Bewertung_Stammdaten!F$40,Bewertung_Stammdaten!E$40,IF(AG99&lt;Bewertung_Stammdaten!F$41,Bewertung_Stammdaten!E$41,IF(AG99&lt;Bewertung_Stammdaten!F$42,Bewertung_Stammdaten!E$42,IF(AG99&lt;Bewertung_Stammdaten!F$43,Bewertung_Stammdaten!E$43,IF(AG99&lt;Bewertung_Stammdaten!F$44,Bewertung_Stammdaten!E$44,IF(AG99&lt;Bewertung_Stammdaten!F$45,Bewertung_Stammdaten!E$45,IF(AG99&lt;Bewertung_Stammdaten!F$46,Bewertung_Stammdaten!E$46,Bewertung_Stammdaten!E$47)))))))))</f>
        <v>#N/A</v>
      </c>
      <c r="AL99" s="32" t="e">
        <f>IF(AI99&lt;Bewertung_Stammdaten!J$38,Bewertung_Stammdaten!I$38,IF(AI99&lt;Bewertung_Stammdaten!J$39,Bewertung_Stammdaten!I$39,IF(AI99&lt;Bewertung_Stammdaten!J$40,Bewertung_Stammdaten!I$40,IF(AI99&lt;Bewertung_Stammdaten!J$41,Bewertung_Stammdaten!I$41,IF(AI99&lt;Bewertung_Stammdaten!J$42,Bewertung_Stammdaten!I$42,IF(AI99&lt;Bewertung_Stammdaten!J$43,Bewertung_Stammdaten!I$43,IF(AI99&lt;Bewertung_Stammdaten!J$44,Bewertung_Stammdaten!I$44,IF(AI99&lt;Bewertung_Stammdaten!J$45,Bewertung_Stammdaten!I$45,IF(AI99&lt;Bewertung_Stammdaten!J$46,Bewertung_Stammdaten!I$46,Bewertung_Stammdaten!I$47)))))))))</f>
        <v>#N/A</v>
      </c>
      <c r="AM99" s="43"/>
      <c r="AN99" s="14" t="e">
        <f>VLOOKUP(A99,Dividende_je_Aktie!A$3:AM$103,24,FALSE)</f>
        <v>#N/A</v>
      </c>
      <c r="AO99" s="14" t="e">
        <f>VLOOKUP(A99,Dividende_je_Aktie!A$3:AM$103,20,FALSE)</f>
        <v>#N/A</v>
      </c>
      <c r="AP99" s="12" t="e">
        <f>VLOOKUP(A99,Dividende_je_Aktie!A$3:AM$103,25,FALSE)</f>
        <v>#N/A</v>
      </c>
      <c r="AQ99" s="40" t="e">
        <f>VLOOKUP(A99,Dividende_je_Aktie!A$3:AM$103,39,FALSE)</f>
        <v>#N/A</v>
      </c>
      <c r="AR99" s="16" t="e">
        <f t="shared" si="18"/>
        <v>#N/A</v>
      </c>
      <c r="AS99" s="12" t="e">
        <f t="shared" si="19"/>
        <v>#N/A</v>
      </c>
      <c r="AT99" s="32" t="e">
        <f>IF(AP99&lt;Bewertung_Stammdaten!B$51,Bewertung_Stammdaten!A$51,IF(AP99&lt;Bewertung_Stammdaten!B$52,Bewertung_Stammdaten!A$52,IF(AP99&lt;Bewertung_Stammdaten!B$53,Bewertung_Stammdaten!A$53,IF(AP99&lt;Bewertung_Stammdaten!B$54,Bewertung_Stammdaten!A$54,IF(AP99&lt;Bewertung_Stammdaten!B$55,Bewertung_Stammdaten!A$55,IF(AP99&lt;Bewertung_Stammdaten!B$56,Bewertung_Stammdaten!A$56,IF(AP99&lt;Bewertung_Stammdaten!B$57,Bewertung_Stammdaten!A$57,IF(AP99&lt;Bewertung_Stammdaten!B$58,Bewertung_Stammdaten!A$58,IF(AP99&lt;Bewertung_Stammdaten!B$59,Bewertung_Stammdaten!A$59,Bewertung_Stammdaten!A$60)))))))))</f>
        <v>#N/A</v>
      </c>
      <c r="AU99" s="32" t="e">
        <f>IF(AQ99&lt;Bewertung_Stammdaten!F$51,Bewertung_Stammdaten!E$51,IF(AQ99&lt;Bewertung_Stammdaten!F$52,Bewertung_Stammdaten!E$52,IF(AQ99&lt;Bewertung_Stammdaten!F$53,Bewertung_Stammdaten!E$53,IF(AQ99&lt;Bewertung_Stammdaten!F$54,Bewertung_Stammdaten!E$54,IF(AQ99&lt;Bewertung_Stammdaten!F$55,Bewertung_Stammdaten!E$55,IF(AQ99&lt;Bewertung_Stammdaten!F$56,Bewertung_Stammdaten!E$56,IF(AQ99&lt;Bewertung_Stammdaten!F$57,Bewertung_Stammdaten!E$57,IF(AQ99&lt;Bewertung_Stammdaten!F$58,Bewertung_Stammdaten!E$58,IF(AQ99&lt;Bewertung_Stammdaten!F$59,Bewertung_Stammdaten!E$59,Bewertung_Stammdaten!E$60)))))))))</f>
        <v>#N/A</v>
      </c>
      <c r="AV99" s="32" t="e">
        <f>IF(AS99&lt;Bewertung_Stammdaten!J$51,Bewertung_Stammdaten!I$51,IF(AS99&lt;Bewertung_Stammdaten!J$52,Bewertung_Stammdaten!I$52,IF(AS99&lt;Bewertung_Stammdaten!J$53,Bewertung_Stammdaten!I$53,IF(AS99&lt;Bewertung_Stammdaten!J$54,Bewertung_Stammdaten!I$54,IF(AS99&lt;Bewertung_Stammdaten!J$55,Bewertung_Stammdaten!I$55,IF(AS99&lt;Bewertung_Stammdaten!J$56,Bewertung_Stammdaten!I$56,IF(AS99&lt;Bewertung_Stammdaten!J$57,Bewertung_Stammdaten!I$57,IF(AS99&lt;Bewertung_Stammdaten!J$58,Bewertung_Stammdaten!I$58,IF(AS99&lt;Bewertung_Stammdaten!J$59,Bewertung_Stammdaten!I$59,Bewertung_Stammdaten!I$60)))))))))</f>
        <v>#N/A</v>
      </c>
      <c r="AW99" s="43"/>
      <c r="AX99" s="12" t="e">
        <f>VLOOKUP(A99,Dividendenrendite!A$3:R$103,17,FALSE)</f>
        <v>#N/A</v>
      </c>
      <c r="AY99" s="12" t="e">
        <f>VLOOKUP(A99,Dividendenrendite!A$3:R$103,16,FALSE)</f>
        <v>#N/A</v>
      </c>
      <c r="AZ99" s="12" t="e">
        <f>VLOOKUP(A99,Dividendenrendite!A$3:R$103,18,FALSE)</f>
        <v>#N/A</v>
      </c>
      <c r="BA99" s="32" t="e">
        <f>IF(AX99&lt;Bewertung_Stammdaten!B$64,Bewertung_Stammdaten!A$64,IF(AX99&lt;Bewertung_Stammdaten!B$65,Bewertung_Stammdaten!A$65,IF(AX99&lt;Bewertung_Stammdaten!B$66,Bewertung_Stammdaten!A$66,IF(AX99&lt;Bewertung_Stammdaten!B$67,Bewertung_Stammdaten!A$67,IF(AX99&lt;Bewertung_Stammdaten!B$68,Bewertung_Stammdaten!A$68,IF(AX99&lt;Bewertung_Stammdaten!B$69,Bewertung_Stammdaten!A$69,IF(AX99&lt;Bewertung_Stammdaten!B$70,Bewertung_Stammdaten!A$70,IF(AX99&lt;Bewertung_Stammdaten!B$71,Bewertung_Stammdaten!A$71,IF(AX99&lt;Bewertung_Stammdaten!B$72,Bewertung_Stammdaten!A$72,Bewertung_Stammdaten!A$73)))))))))</f>
        <v>#N/A</v>
      </c>
      <c r="BB99" s="32" t="e">
        <f>IF(AY99&lt;Bewertung_Stammdaten!F$64,Bewertung_Stammdaten!E$64,IF(AY99&lt;Bewertung_Stammdaten!F$65,Bewertung_Stammdaten!E$65,IF(AY99&lt;Bewertung_Stammdaten!F$66,Bewertung_Stammdaten!E$66,IF(AY99&lt;Bewertung_Stammdaten!F$67,Bewertung_Stammdaten!E$67,IF(AY99&lt;Bewertung_Stammdaten!F$68,Bewertung_Stammdaten!E$68,IF(AY99&lt;Bewertung_Stammdaten!F$69,Bewertung_Stammdaten!E$69,IF(AY99&lt;Bewertung_Stammdaten!F$70,Bewertung_Stammdaten!E$70,IF(AY99&lt;Bewertung_Stammdaten!F$71,Bewertung_Stammdaten!E$71,IF(AY99&lt;Bewertung_Stammdaten!F$72,Bewertung_Stammdaten!E$72,Bewertung_Stammdaten!E$73)))))))))</f>
        <v>#N/A</v>
      </c>
      <c r="BC99" s="32" t="e">
        <f>IF(AZ99&lt;Bewertung_Stammdaten!J$64,Bewertung_Stammdaten!I$64,IF(AZ99&lt;Bewertung_Stammdaten!J$65,Bewertung_Stammdaten!I$65,IF(AZ99&lt;Bewertung_Stammdaten!J$66,Bewertung_Stammdaten!I$66,IF(AZ99&lt;Bewertung_Stammdaten!J$67,Bewertung_Stammdaten!I$67,IF(AZ99&lt;Bewertung_Stammdaten!J$68,Bewertung_Stammdaten!I$68,IF(AZ99&lt;Bewertung_Stammdaten!J$69,Bewertung_Stammdaten!I$69,IF(AZ99&lt;Bewertung_Stammdaten!J$70,Bewertung_Stammdaten!I$70,IF(AZ99&lt;Bewertung_Stammdaten!J$71,Bewertung_Stammdaten!I$71,IF(AZ99&lt;Bewertung_Stammdaten!J$72,Bewertung_Stammdaten!I$72,Bewertung_Stammdaten!I$73)))))))))</f>
        <v>#N/A</v>
      </c>
      <c r="BD99" s="43"/>
      <c r="BE99" s="12" t="e">
        <f>VLOOKUP(A99,Aktien_im_Umlauf_splitbereinigt!A$3:Z$103,26,FALSE)</f>
        <v>#N/A</v>
      </c>
      <c r="BF99" s="12" t="e">
        <f>VLOOKUP(A99,Aktien_im_Umlauf_splitbereinigt!A$3:Y$103,24,FALSE)</f>
        <v>#N/A</v>
      </c>
      <c r="BG99" s="12" t="e">
        <f>VLOOKUP(A99,Aktien_im_Umlauf_splitbereinigt!A$3:Y$103,25,FALSE)</f>
        <v>#N/A</v>
      </c>
      <c r="BH99" s="41" t="e">
        <f>IF(BE99&lt;Bewertung_Stammdaten!B$77,Bewertung_Stammdaten!A$77,IF(BE99&lt;Bewertung_Stammdaten!B$78,Bewertung_Stammdaten!A$78,IF(BE99&lt;Bewertung_Stammdaten!B$79,Bewertung_Stammdaten!A$79,IF(BE99&lt;Bewertung_Stammdaten!B$80,Bewertung_Stammdaten!A$80,IF(BE99&lt;Bewertung_Stammdaten!B$81,Bewertung_Stammdaten!A$81,IF(BE99&lt;Bewertung_Stammdaten!B$82,Bewertung_Stammdaten!A$82,IF(BE99&lt;Bewertung_Stammdaten!B$83,Bewertung_Stammdaten!A$83,IF(BE99&lt;Bewertung_Stammdaten!B$84,Bewertung_Stammdaten!A$84,IF(BE99&lt;Bewertung_Stammdaten!B$85,Bewertung_Stammdaten!A$85,Bewertung_Stammdaten!A$86)))))))))</f>
        <v>#N/A</v>
      </c>
      <c r="BI99" s="41" t="e">
        <f>IF(BF99&lt;Bewertung_Stammdaten!F$77,Bewertung_Stammdaten!E$77,IF(BF99&lt;Bewertung_Stammdaten!F$78,Bewertung_Stammdaten!E$78,IF(BF99&lt;Bewertung_Stammdaten!F$79,Bewertung_Stammdaten!E$79,IF(BF99&lt;Bewertung_Stammdaten!F$80,Bewertung_Stammdaten!E$80,IF(BF99&lt;Bewertung_Stammdaten!F$81,Bewertung_Stammdaten!E$81,IF(BF99&lt;Bewertung_Stammdaten!F$82,Bewertung_Stammdaten!E$82,IF(BF99&lt;Bewertung_Stammdaten!F$83,Bewertung_Stammdaten!E$83,IF(BF99&lt;Bewertung_Stammdaten!F$84,Bewertung_Stammdaten!E$84,IF(BF99&lt;Bewertung_Stammdaten!F$85,Bewertung_Stammdaten!E$85,Bewertung_Stammdaten!E$86)))))))))</f>
        <v>#N/A</v>
      </c>
      <c r="BJ99" s="41" t="e">
        <f>IF(BG99&lt;Bewertung_Stammdaten!J$77,Bewertung_Stammdaten!I$77,IF(BG99&lt;Bewertung_Stammdaten!J$78,Bewertung_Stammdaten!I$78,IF(BG99&lt;Bewertung_Stammdaten!J$79,Bewertung_Stammdaten!I$79,IF(BG99&lt;Bewertung_Stammdaten!J$80,Bewertung_Stammdaten!I$80,IF(BG99&lt;Bewertung_Stammdaten!J$81,Bewertung_Stammdaten!I$81,IF(BG99&lt;Bewertung_Stammdaten!J$82,Bewertung_Stammdaten!I$82,IF(BG99&lt;Bewertung_Stammdaten!J$83,Bewertung_Stammdaten!I$83,IF(BG99&lt;Bewertung_Stammdaten!J$84,Bewertung_Stammdaten!I$84,IF(BG99&lt;Bewertung_Stammdaten!J$85,Bewertung_Stammdaten!I$85,Bewertung_Stammdaten!I$86)))))))))</f>
        <v>#N/A</v>
      </c>
      <c r="BK99" s="43"/>
      <c r="BL99" s="12" t="e">
        <f>VLOOKUP(A99,Ausschüttungsquote!A$3:X$103,23,FALSE)</f>
        <v>#N/A</v>
      </c>
      <c r="BM99" s="12" t="e">
        <f>VLOOKUP(A99,Ausschüttungsquote!A$3:X$103,19,FALSE)</f>
        <v>#N/A</v>
      </c>
      <c r="BN99" s="12" t="e">
        <f>VLOOKUP(A99,Ausschüttungsquote!A$3:X$103,24,FALSE)</f>
        <v>#N/A</v>
      </c>
      <c r="BO99" s="32" t="e">
        <f>IF(BL99&lt;Bewertung_Stammdaten!B$90,Bewertung_Stammdaten!A$90,IF(BL99&lt;Bewertung_Stammdaten!B$91,Bewertung_Stammdaten!A$91,IF(BL99&lt;Bewertung_Stammdaten!B$92,Bewertung_Stammdaten!A$92,IF(BL99&lt;Bewertung_Stammdaten!B$93,Bewertung_Stammdaten!A$93,IF(BL99&lt;Bewertung_Stammdaten!B$94,Bewertung_Stammdaten!A$94,IF(BL99&lt;Bewertung_Stammdaten!B$95,Bewertung_Stammdaten!A$95,IF(BL99&lt;Bewertung_Stammdaten!B$96,Bewertung_Stammdaten!A$96,IF(BL99&lt;Bewertung_Stammdaten!B$97,Bewertung_Stammdaten!A$97,IF(BL99&lt;Bewertung_Stammdaten!B$98,Bewertung_Stammdaten!A$98,Bewertung_Stammdaten!A$99)))))))))</f>
        <v>#N/A</v>
      </c>
      <c r="BP99" s="41" t="e">
        <f>IF(BM99&lt;Bewertung_Stammdaten!F$90,Bewertung_Stammdaten!E$90,IF(BM99&lt;Bewertung_Stammdaten!F$91,Bewertung_Stammdaten!E$91,IF(BM99&lt;Bewertung_Stammdaten!F$92,Bewertung_Stammdaten!E$92,IF(BM99&lt;Bewertung_Stammdaten!F$93,Bewertung_Stammdaten!E$93,IF(BM99&lt;Bewertung_Stammdaten!F$94,Bewertung_Stammdaten!E$94,IF(BM99&lt;Bewertung_Stammdaten!F$95,Bewertung_Stammdaten!E$95,IF(BM99&lt;Bewertung_Stammdaten!F$96,Bewertung_Stammdaten!E$96,IF(BM99&lt;Bewertung_Stammdaten!F$97,Bewertung_Stammdaten!E$97,IF(BM99&lt;Bewertung_Stammdaten!F$98,Bewertung_Stammdaten!E$98,Bewertung_Stammdaten!E$99)))))))))</f>
        <v>#N/A</v>
      </c>
      <c r="BQ99" s="32" t="e">
        <f>IF(BN99&lt;Bewertung_Stammdaten!J$90,Bewertung_Stammdaten!I$90,IF(BN99&lt;Bewertung_Stammdaten!J$91,Bewertung_Stammdaten!I$91,IF(BN99&lt;Bewertung_Stammdaten!J$92,Bewertung_Stammdaten!I$92,IF(BN99&lt;Bewertung_Stammdaten!J$93,Bewertung_Stammdaten!I$93,IF(BN99&lt;Bewertung_Stammdaten!J$94,Bewertung_Stammdaten!I$94,IF(BN99&lt;Bewertung_Stammdaten!J$95,Bewertung_Stammdaten!I$95,IF(BN99&lt;Bewertung_Stammdaten!J$96,Bewertung_Stammdaten!I$96,IF(BN99&lt;Bewertung_Stammdaten!J$97,Bewertung_Stammdaten!I$97,IF(BN99&lt;Bewertung_Stammdaten!J$98,Bewertung_Stammdaten!I$98,Bewertung_Stammdaten!I$99)))))))))</f>
        <v>#N/A</v>
      </c>
    </row>
    <row r="100" spans="3:69" x14ac:dyDescent="0.25">
      <c r="C100" s="55" t="s">
        <v>297</v>
      </c>
      <c r="D100" s="32" t="e">
        <f t="shared" si="11"/>
        <v>#N/A</v>
      </c>
      <c r="E100" s="43"/>
      <c r="F100" s="66">
        <v>1</v>
      </c>
      <c r="G100" s="11" t="e">
        <f>VLOOKUP(A100,KGV!A$3:R$103,17,FALSE)</f>
        <v>#N/A</v>
      </c>
      <c r="H100" s="11" t="e">
        <f>VLOOKUP(A100,KGV!A$3:R$103,16,FALSE)</f>
        <v>#N/A</v>
      </c>
      <c r="I100" s="12" t="e">
        <f>VLOOKUP(A100,KGV!A$3:R$103,18,FALSE)</f>
        <v>#N/A</v>
      </c>
      <c r="J100" s="16" t="e">
        <f t="shared" si="12"/>
        <v>#N/A</v>
      </c>
      <c r="K100" s="12" t="e">
        <f t="shared" si="13"/>
        <v>#N/A</v>
      </c>
      <c r="L100" s="11" t="e">
        <f>VLOOKUP(A100,KBV!A$3:R$103,17,FALSE)</f>
        <v>#N/A</v>
      </c>
      <c r="M100" s="11" t="e">
        <f>VLOOKUP(A100,KBV!A$3:R$103,16,FALSE)</f>
        <v>#N/A</v>
      </c>
      <c r="N100" s="12" t="e">
        <f>VLOOKUP(A100,KBV!A$3:R$103,18,FALSE)</f>
        <v>#N/A</v>
      </c>
      <c r="O100" s="16" t="e">
        <f t="shared" si="20"/>
        <v>#N/A</v>
      </c>
      <c r="P100" s="12" t="e">
        <f t="shared" si="21"/>
        <v>#N/A</v>
      </c>
      <c r="Q100" s="32" t="e">
        <f>IF(F100=1,IF(I100&lt;Bewertung_Stammdaten!B$12,Bewertung_Stammdaten!A$12,IF(I100&lt;Bewertung_Stammdaten!B$13,Bewertung_Stammdaten!A$13,IF(I100&lt;Bewertung_Stammdaten!B$14,Bewertung_Stammdaten!A$14,IF(I100&lt;Bewertung_Stammdaten!B$15,Bewertung_Stammdaten!A$15,IF(I100&lt;Bewertung_Stammdaten!B$16,Bewertung_Stammdaten!A$16,IF(I100&lt;Bewertung_Stammdaten!B$17,Bewertung_Stammdaten!A$17,IF(I100&lt;Bewertung_Stammdaten!B$18,Bewertung_Stammdaten!A$18,IF(I100&lt;Bewertung_Stammdaten!B$19,Bewertung_Stammdaten!A$19,IF(I100&lt;Bewertung_Stammdaten!B$20,Bewertung_Stammdaten!A$20,Bewertung_Stammdaten!A$21))))))))),IF(N100&lt;Bewertung_Stammdaten!C$12,Bewertung_Stammdaten!A$12,IF(N100&lt;Bewertung_Stammdaten!C$13,Bewertung_Stammdaten!A$13,IF(N100&lt;Bewertung_Stammdaten!C$14,Bewertung_Stammdaten!A$14,IF(N100&lt;Bewertung_Stammdaten!C$15,Bewertung_Stammdaten!A$15,IF(N100&lt;Bewertung_Stammdaten!C$16,Bewertung_Stammdaten!A$16,IF(N100&lt;Bewertung_Stammdaten!C$17,Bewertung_Stammdaten!A$17,IF(N100&lt;Bewertung_Stammdaten!C$18,Bewertung_Stammdaten!A$18,IF(N100&lt;Bewertung_Stammdaten!C$19,Bewertung_Stammdaten!A$19,IF(N100&lt;Bewertung_Stammdaten!C$20,Bewertung_Stammdaten!A$20,Bewertung_Stammdaten!A$21))))))))))</f>
        <v>#N/A</v>
      </c>
      <c r="R100" s="32" t="e">
        <f>IF(F100=1,IF(K100&lt;Bewertung_Stammdaten!F$12,Bewertung_Stammdaten!E$12,IF(K100&lt;Bewertung_Stammdaten!F$13,Bewertung_Stammdaten!E$13,IF(K100&lt;Bewertung_Stammdaten!F$14,Bewertung_Stammdaten!E$14,IF(K100&lt;Bewertung_Stammdaten!F$15,Bewertung_Stammdaten!E$15,IF(K100&lt;Bewertung_Stammdaten!F$16,Bewertung_Stammdaten!E$16,IF(K100&lt;Bewertung_Stammdaten!F$17,Bewertung_Stammdaten!E$17,IF(K100&lt;Bewertung_Stammdaten!F$18,Bewertung_Stammdaten!E$18,IF(K100&lt;Bewertung_Stammdaten!F$19,Bewertung_Stammdaten!E$19,IF(K100&lt;Bewertung_Stammdaten!F$20,Bewertung_Stammdaten!E$20,Bewertung_Stammdaten!E$21))))))))),IF(P100&lt;Bewertung_Stammdaten!G$12,Bewertung_Stammdaten!E$12,IF(P100&lt;Bewertung_Stammdaten!G$13,Bewertung_Stammdaten!E$13,IF(P100&lt;Bewertung_Stammdaten!G$14,Bewertung_Stammdaten!E$14,IF(P100&lt;Bewertung_Stammdaten!G$15,Bewertung_Stammdaten!E$15,IF(P100&lt;Bewertung_Stammdaten!G$16,Bewertung_Stammdaten!E$16,IF(P100&lt;Bewertung_Stammdaten!G$17,Bewertung_Stammdaten!E$17,IF(P100&lt;Bewertung_Stammdaten!G$18,Bewertung_Stammdaten!E$18,IF(P100&lt;Bewertung_Stammdaten!G$19,Bewertung_Stammdaten!E$19,IF(P100&lt;Bewertung_Stammdaten!G$20,Bewertung_Stammdaten!E$20,Bewertung_Stammdaten!E$21))))))))))</f>
        <v>#N/A</v>
      </c>
      <c r="S100" s="43"/>
      <c r="T100" s="11" t="e">
        <f>VLOOKUP(A100,Buchwert_je_Aktie!A$3:AK$103,23,FALSE)</f>
        <v>#N/A</v>
      </c>
      <c r="U100" s="11" t="e">
        <f>VLOOKUP(A100,Buchwert_je_Aktie!A$3:AK$103,19,FALSE)</f>
        <v>#N/A</v>
      </c>
      <c r="V100" s="12" t="e">
        <f>VLOOKUP(A100,Buchwert_je_Aktie!A$3:AK$103,24,FALSE)</f>
        <v>#N/A</v>
      </c>
      <c r="W100" s="12" t="e">
        <f>VLOOKUP(A100,Buchwert_je_Aktie!A$3:AK$103,37,FALSE)</f>
        <v>#N/A</v>
      </c>
      <c r="X100" s="16" t="e">
        <f t="shared" si="14"/>
        <v>#N/A</v>
      </c>
      <c r="Y100" s="12" t="e">
        <f t="shared" si="15"/>
        <v>#N/A</v>
      </c>
      <c r="Z100" s="51" t="e">
        <f>IF(V100&lt;Bewertung_Stammdaten!B$25,Bewertung_Stammdaten!A$25,IF(V100&lt;Bewertung_Stammdaten!B$26,Bewertung_Stammdaten!A$26,IF(V100&lt;Bewertung_Stammdaten!B$27,Bewertung_Stammdaten!A$27,IF(V100&lt;Bewertung_Stammdaten!B$28,Bewertung_Stammdaten!A$28,IF(V100&lt;Bewertung_Stammdaten!B$29,Bewertung_Stammdaten!A$29,IF(V100&lt;Bewertung_Stammdaten!B$30,Bewertung_Stammdaten!A$30,IF(V100&lt;Bewertung_Stammdaten!B$31,Bewertung_Stammdaten!A$31,IF(V100&lt;Bewertung_Stammdaten!B$32,Bewertung_Stammdaten!A$32,IF(V100&lt;Bewertung_Stammdaten!B$33,Bewertung_Stammdaten!A$33,Bewertung_Stammdaten!A$34)))))))))</f>
        <v>#N/A</v>
      </c>
      <c r="AA100" s="51" t="e">
        <f>IF(W100&lt;Bewertung_Stammdaten!F$25,Bewertung_Stammdaten!E$25,IF(W100&lt;Bewertung_Stammdaten!F$26,Bewertung_Stammdaten!E$26,IF(W100&lt;Bewertung_Stammdaten!F$27,Bewertung_Stammdaten!E$27,IF(W100&lt;Bewertung_Stammdaten!F$28,Bewertung_Stammdaten!E$28,IF(W100&lt;Bewertung_Stammdaten!F$29,Bewertung_Stammdaten!E$29,IF(W100&lt;Bewertung_Stammdaten!F$30,Bewertung_Stammdaten!E$30,IF(W100&lt;Bewertung_Stammdaten!F$31,Bewertung_Stammdaten!E$31,IF(W100&lt;Bewertung_Stammdaten!F$32,Bewertung_Stammdaten!E$32,IF(W100&lt;Bewertung_Stammdaten!F$33,Bewertung_Stammdaten!E$33,Bewertung_Stammdaten!E$34)))))))))</f>
        <v>#N/A</v>
      </c>
      <c r="AB100" s="51" t="e">
        <f>IF(Y100&lt;Bewertung_Stammdaten!J$25,Bewertung_Stammdaten!I$25,IF(Y100&lt;Bewertung_Stammdaten!J$26,Bewertung_Stammdaten!I$26,IF(Y100&lt;Bewertung_Stammdaten!J$27,Bewertung_Stammdaten!I$27,IF(Y100&lt;Bewertung_Stammdaten!J$28,Bewertung_Stammdaten!I$28,IF(Y100&lt;Bewertung_Stammdaten!J$29,Bewertung_Stammdaten!I$29,IF(Y100&lt;Bewertung_Stammdaten!J$30,Bewertung_Stammdaten!I$30,IF(Y100&lt;Bewertung_Stammdaten!J$31,Bewertung_Stammdaten!I$31,IF(Y100&lt;Bewertung_Stammdaten!J$32,Bewertung_Stammdaten!I$32,IF(Y100&lt;Bewertung_Stammdaten!J$33,Bewertung_Stammdaten!I$33,Bewertung_Stammdaten!I$34)))))))))</f>
        <v>#N/A</v>
      </c>
      <c r="AC100" s="43"/>
      <c r="AD100" s="14" t="e">
        <f>VLOOKUP(A100,Ergebnis_je_Aktie_verwässert!A$3:AK$103,23,FALSE)</f>
        <v>#N/A</v>
      </c>
      <c r="AE100" s="14" t="e">
        <f>VLOOKUP(A100,Ergebnis_je_Aktie_verwässert!A$3:AK$103,19,FALSE)</f>
        <v>#N/A</v>
      </c>
      <c r="AF100" s="12" t="e">
        <f>VLOOKUP(A100,Ergebnis_je_Aktie_verwässert!A$3:AK$103,24,FALSE)</f>
        <v>#N/A</v>
      </c>
      <c r="AG100" s="40" t="e">
        <f>VLOOKUP(A100,Ergebnis_je_Aktie_verwässert!A$3:AK$103,37,FALSE)</f>
        <v>#N/A</v>
      </c>
      <c r="AH100" s="16" t="e">
        <f t="shared" si="16"/>
        <v>#N/A</v>
      </c>
      <c r="AI100" s="12" t="e">
        <f t="shared" si="17"/>
        <v>#N/A</v>
      </c>
      <c r="AJ100" s="32" t="e">
        <f>IF(AF100&lt;Bewertung_Stammdaten!B$38,Bewertung_Stammdaten!A$38,IF(AF100&lt;Bewertung_Stammdaten!B$39,Bewertung_Stammdaten!A$39,IF(AF100&lt;Bewertung_Stammdaten!B$40,Bewertung_Stammdaten!A$40,IF(AF100&lt;Bewertung_Stammdaten!B$41,Bewertung_Stammdaten!A$41,IF(AF100&lt;Bewertung_Stammdaten!B$42,Bewertung_Stammdaten!A$42,IF(AF100&lt;Bewertung_Stammdaten!B$43,Bewertung_Stammdaten!A$43,IF(AF100&lt;Bewertung_Stammdaten!B$44,Bewertung_Stammdaten!A$44,IF(AF100&lt;Bewertung_Stammdaten!B$45,Bewertung_Stammdaten!A$45,IF(AF100&lt;Bewertung_Stammdaten!B$46,Bewertung_Stammdaten!A$46,Bewertung_Stammdaten!A$47)))))))))</f>
        <v>#N/A</v>
      </c>
      <c r="AK100" s="32" t="e">
        <f>IF(AG100&lt;Bewertung_Stammdaten!F$38,Bewertung_Stammdaten!E$38,IF(AG100&lt;Bewertung_Stammdaten!F$39,Bewertung_Stammdaten!E$39,IF(AG100&lt;Bewertung_Stammdaten!F$40,Bewertung_Stammdaten!E$40,IF(AG100&lt;Bewertung_Stammdaten!F$41,Bewertung_Stammdaten!E$41,IF(AG100&lt;Bewertung_Stammdaten!F$42,Bewertung_Stammdaten!E$42,IF(AG100&lt;Bewertung_Stammdaten!F$43,Bewertung_Stammdaten!E$43,IF(AG100&lt;Bewertung_Stammdaten!F$44,Bewertung_Stammdaten!E$44,IF(AG100&lt;Bewertung_Stammdaten!F$45,Bewertung_Stammdaten!E$45,IF(AG100&lt;Bewertung_Stammdaten!F$46,Bewertung_Stammdaten!E$46,Bewertung_Stammdaten!E$47)))))))))</f>
        <v>#N/A</v>
      </c>
      <c r="AL100" s="32" t="e">
        <f>IF(AI100&lt;Bewertung_Stammdaten!J$38,Bewertung_Stammdaten!I$38,IF(AI100&lt;Bewertung_Stammdaten!J$39,Bewertung_Stammdaten!I$39,IF(AI100&lt;Bewertung_Stammdaten!J$40,Bewertung_Stammdaten!I$40,IF(AI100&lt;Bewertung_Stammdaten!J$41,Bewertung_Stammdaten!I$41,IF(AI100&lt;Bewertung_Stammdaten!J$42,Bewertung_Stammdaten!I$42,IF(AI100&lt;Bewertung_Stammdaten!J$43,Bewertung_Stammdaten!I$43,IF(AI100&lt;Bewertung_Stammdaten!J$44,Bewertung_Stammdaten!I$44,IF(AI100&lt;Bewertung_Stammdaten!J$45,Bewertung_Stammdaten!I$45,IF(AI100&lt;Bewertung_Stammdaten!J$46,Bewertung_Stammdaten!I$46,Bewertung_Stammdaten!I$47)))))))))</f>
        <v>#N/A</v>
      </c>
      <c r="AM100" s="43"/>
      <c r="AN100" s="14" t="e">
        <f>VLOOKUP(A100,Dividende_je_Aktie!A$3:AM$103,24,FALSE)</f>
        <v>#N/A</v>
      </c>
      <c r="AO100" s="14" t="e">
        <f>VLOOKUP(A100,Dividende_je_Aktie!A$3:AM$103,20,FALSE)</f>
        <v>#N/A</v>
      </c>
      <c r="AP100" s="12" t="e">
        <f>VLOOKUP(A100,Dividende_je_Aktie!A$3:AM$103,25,FALSE)</f>
        <v>#N/A</v>
      </c>
      <c r="AQ100" s="40" t="e">
        <f>VLOOKUP(A100,Dividende_je_Aktie!A$3:AM$103,39,FALSE)</f>
        <v>#N/A</v>
      </c>
      <c r="AR100" s="16" t="e">
        <f t="shared" si="18"/>
        <v>#N/A</v>
      </c>
      <c r="AS100" s="12" t="e">
        <f t="shared" si="19"/>
        <v>#N/A</v>
      </c>
      <c r="AT100" s="32" t="e">
        <f>IF(AP100&lt;Bewertung_Stammdaten!B$51,Bewertung_Stammdaten!A$51,IF(AP100&lt;Bewertung_Stammdaten!B$52,Bewertung_Stammdaten!A$52,IF(AP100&lt;Bewertung_Stammdaten!B$53,Bewertung_Stammdaten!A$53,IF(AP100&lt;Bewertung_Stammdaten!B$54,Bewertung_Stammdaten!A$54,IF(AP100&lt;Bewertung_Stammdaten!B$55,Bewertung_Stammdaten!A$55,IF(AP100&lt;Bewertung_Stammdaten!B$56,Bewertung_Stammdaten!A$56,IF(AP100&lt;Bewertung_Stammdaten!B$57,Bewertung_Stammdaten!A$57,IF(AP100&lt;Bewertung_Stammdaten!B$58,Bewertung_Stammdaten!A$58,IF(AP100&lt;Bewertung_Stammdaten!B$59,Bewertung_Stammdaten!A$59,Bewertung_Stammdaten!A$60)))))))))</f>
        <v>#N/A</v>
      </c>
      <c r="AU100" s="32" t="e">
        <f>IF(AQ100&lt;Bewertung_Stammdaten!F$51,Bewertung_Stammdaten!E$51,IF(AQ100&lt;Bewertung_Stammdaten!F$52,Bewertung_Stammdaten!E$52,IF(AQ100&lt;Bewertung_Stammdaten!F$53,Bewertung_Stammdaten!E$53,IF(AQ100&lt;Bewertung_Stammdaten!F$54,Bewertung_Stammdaten!E$54,IF(AQ100&lt;Bewertung_Stammdaten!F$55,Bewertung_Stammdaten!E$55,IF(AQ100&lt;Bewertung_Stammdaten!F$56,Bewertung_Stammdaten!E$56,IF(AQ100&lt;Bewertung_Stammdaten!F$57,Bewertung_Stammdaten!E$57,IF(AQ100&lt;Bewertung_Stammdaten!F$58,Bewertung_Stammdaten!E$58,IF(AQ100&lt;Bewertung_Stammdaten!F$59,Bewertung_Stammdaten!E$59,Bewertung_Stammdaten!E$60)))))))))</f>
        <v>#N/A</v>
      </c>
      <c r="AV100" s="32" t="e">
        <f>IF(AS100&lt;Bewertung_Stammdaten!J$51,Bewertung_Stammdaten!I$51,IF(AS100&lt;Bewertung_Stammdaten!J$52,Bewertung_Stammdaten!I$52,IF(AS100&lt;Bewertung_Stammdaten!J$53,Bewertung_Stammdaten!I$53,IF(AS100&lt;Bewertung_Stammdaten!J$54,Bewertung_Stammdaten!I$54,IF(AS100&lt;Bewertung_Stammdaten!J$55,Bewertung_Stammdaten!I$55,IF(AS100&lt;Bewertung_Stammdaten!J$56,Bewertung_Stammdaten!I$56,IF(AS100&lt;Bewertung_Stammdaten!J$57,Bewertung_Stammdaten!I$57,IF(AS100&lt;Bewertung_Stammdaten!J$58,Bewertung_Stammdaten!I$58,IF(AS100&lt;Bewertung_Stammdaten!J$59,Bewertung_Stammdaten!I$59,Bewertung_Stammdaten!I$60)))))))))</f>
        <v>#N/A</v>
      </c>
      <c r="AW100" s="43"/>
      <c r="AX100" s="12" t="e">
        <f>VLOOKUP(A100,Dividendenrendite!A$3:R$103,17,FALSE)</f>
        <v>#N/A</v>
      </c>
      <c r="AY100" s="12" t="e">
        <f>VLOOKUP(A100,Dividendenrendite!A$3:R$103,16,FALSE)</f>
        <v>#N/A</v>
      </c>
      <c r="AZ100" s="12" t="e">
        <f>VLOOKUP(A100,Dividendenrendite!A$3:R$103,18,FALSE)</f>
        <v>#N/A</v>
      </c>
      <c r="BA100" s="32" t="e">
        <f>IF(AX100&lt;Bewertung_Stammdaten!B$64,Bewertung_Stammdaten!A$64,IF(AX100&lt;Bewertung_Stammdaten!B$65,Bewertung_Stammdaten!A$65,IF(AX100&lt;Bewertung_Stammdaten!B$66,Bewertung_Stammdaten!A$66,IF(AX100&lt;Bewertung_Stammdaten!B$67,Bewertung_Stammdaten!A$67,IF(AX100&lt;Bewertung_Stammdaten!B$68,Bewertung_Stammdaten!A$68,IF(AX100&lt;Bewertung_Stammdaten!B$69,Bewertung_Stammdaten!A$69,IF(AX100&lt;Bewertung_Stammdaten!B$70,Bewertung_Stammdaten!A$70,IF(AX100&lt;Bewertung_Stammdaten!B$71,Bewertung_Stammdaten!A$71,IF(AX100&lt;Bewertung_Stammdaten!B$72,Bewertung_Stammdaten!A$72,Bewertung_Stammdaten!A$73)))))))))</f>
        <v>#N/A</v>
      </c>
      <c r="BB100" s="32" t="e">
        <f>IF(AY100&lt;Bewertung_Stammdaten!F$64,Bewertung_Stammdaten!E$64,IF(AY100&lt;Bewertung_Stammdaten!F$65,Bewertung_Stammdaten!E$65,IF(AY100&lt;Bewertung_Stammdaten!F$66,Bewertung_Stammdaten!E$66,IF(AY100&lt;Bewertung_Stammdaten!F$67,Bewertung_Stammdaten!E$67,IF(AY100&lt;Bewertung_Stammdaten!F$68,Bewertung_Stammdaten!E$68,IF(AY100&lt;Bewertung_Stammdaten!F$69,Bewertung_Stammdaten!E$69,IF(AY100&lt;Bewertung_Stammdaten!F$70,Bewertung_Stammdaten!E$70,IF(AY100&lt;Bewertung_Stammdaten!F$71,Bewertung_Stammdaten!E$71,IF(AY100&lt;Bewertung_Stammdaten!F$72,Bewertung_Stammdaten!E$72,Bewertung_Stammdaten!E$73)))))))))</f>
        <v>#N/A</v>
      </c>
      <c r="BC100" s="32" t="e">
        <f>IF(AZ100&lt;Bewertung_Stammdaten!J$64,Bewertung_Stammdaten!I$64,IF(AZ100&lt;Bewertung_Stammdaten!J$65,Bewertung_Stammdaten!I$65,IF(AZ100&lt;Bewertung_Stammdaten!J$66,Bewertung_Stammdaten!I$66,IF(AZ100&lt;Bewertung_Stammdaten!J$67,Bewertung_Stammdaten!I$67,IF(AZ100&lt;Bewertung_Stammdaten!J$68,Bewertung_Stammdaten!I$68,IF(AZ100&lt;Bewertung_Stammdaten!J$69,Bewertung_Stammdaten!I$69,IF(AZ100&lt;Bewertung_Stammdaten!J$70,Bewertung_Stammdaten!I$70,IF(AZ100&lt;Bewertung_Stammdaten!J$71,Bewertung_Stammdaten!I$71,IF(AZ100&lt;Bewertung_Stammdaten!J$72,Bewertung_Stammdaten!I$72,Bewertung_Stammdaten!I$73)))))))))</f>
        <v>#N/A</v>
      </c>
      <c r="BD100" s="43"/>
      <c r="BE100" s="12" t="e">
        <f>VLOOKUP(A100,Aktien_im_Umlauf_splitbereinigt!A$3:Z$103,26,FALSE)</f>
        <v>#N/A</v>
      </c>
      <c r="BF100" s="12" t="e">
        <f>VLOOKUP(A100,Aktien_im_Umlauf_splitbereinigt!A$3:Y$103,24,FALSE)</f>
        <v>#N/A</v>
      </c>
      <c r="BG100" s="12" t="e">
        <f>VLOOKUP(A100,Aktien_im_Umlauf_splitbereinigt!A$3:Y$103,25,FALSE)</f>
        <v>#N/A</v>
      </c>
      <c r="BH100" s="41" t="e">
        <f>IF(BE100&lt;Bewertung_Stammdaten!B$77,Bewertung_Stammdaten!A$77,IF(BE100&lt;Bewertung_Stammdaten!B$78,Bewertung_Stammdaten!A$78,IF(BE100&lt;Bewertung_Stammdaten!B$79,Bewertung_Stammdaten!A$79,IF(BE100&lt;Bewertung_Stammdaten!B$80,Bewertung_Stammdaten!A$80,IF(BE100&lt;Bewertung_Stammdaten!B$81,Bewertung_Stammdaten!A$81,IF(BE100&lt;Bewertung_Stammdaten!B$82,Bewertung_Stammdaten!A$82,IF(BE100&lt;Bewertung_Stammdaten!B$83,Bewertung_Stammdaten!A$83,IF(BE100&lt;Bewertung_Stammdaten!B$84,Bewertung_Stammdaten!A$84,IF(BE100&lt;Bewertung_Stammdaten!B$85,Bewertung_Stammdaten!A$85,Bewertung_Stammdaten!A$86)))))))))</f>
        <v>#N/A</v>
      </c>
      <c r="BI100" s="41" t="e">
        <f>IF(BF100&lt;Bewertung_Stammdaten!F$77,Bewertung_Stammdaten!E$77,IF(BF100&lt;Bewertung_Stammdaten!F$78,Bewertung_Stammdaten!E$78,IF(BF100&lt;Bewertung_Stammdaten!F$79,Bewertung_Stammdaten!E$79,IF(BF100&lt;Bewertung_Stammdaten!F$80,Bewertung_Stammdaten!E$80,IF(BF100&lt;Bewertung_Stammdaten!F$81,Bewertung_Stammdaten!E$81,IF(BF100&lt;Bewertung_Stammdaten!F$82,Bewertung_Stammdaten!E$82,IF(BF100&lt;Bewertung_Stammdaten!F$83,Bewertung_Stammdaten!E$83,IF(BF100&lt;Bewertung_Stammdaten!F$84,Bewertung_Stammdaten!E$84,IF(BF100&lt;Bewertung_Stammdaten!F$85,Bewertung_Stammdaten!E$85,Bewertung_Stammdaten!E$86)))))))))</f>
        <v>#N/A</v>
      </c>
      <c r="BJ100" s="41" t="e">
        <f>IF(BG100&lt;Bewertung_Stammdaten!J$77,Bewertung_Stammdaten!I$77,IF(BG100&lt;Bewertung_Stammdaten!J$78,Bewertung_Stammdaten!I$78,IF(BG100&lt;Bewertung_Stammdaten!J$79,Bewertung_Stammdaten!I$79,IF(BG100&lt;Bewertung_Stammdaten!J$80,Bewertung_Stammdaten!I$80,IF(BG100&lt;Bewertung_Stammdaten!J$81,Bewertung_Stammdaten!I$81,IF(BG100&lt;Bewertung_Stammdaten!J$82,Bewertung_Stammdaten!I$82,IF(BG100&lt;Bewertung_Stammdaten!J$83,Bewertung_Stammdaten!I$83,IF(BG100&lt;Bewertung_Stammdaten!J$84,Bewertung_Stammdaten!I$84,IF(BG100&lt;Bewertung_Stammdaten!J$85,Bewertung_Stammdaten!I$85,Bewertung_Stammdaten!I$86)))))))))</f>
        <v>#N/A</v>
      </c>
      <c r="BK100" s="43"/>
      <c r="BL100" s="12" t="e">
        <f>VLOOKUP(A100,Ausschüttungsquote!A$3:X$103,23,FALSE)</f>
        <v>#N/A</v>
      </c>
      <c r="BM100" s="12" t="e">
        <f>VLOOKUP(A100,Ausschüttungsquote!A$3:X$103,19,FALSE)</f>
        <v>#N/A</v>
      </c>
      <c r="BN100" s="12" t="e">
        <f>VLOOKUP(A100,Ausschüttungsquote!A$3:X$103,24,FALSE)</f>
        <v>#N/A</v>
      </c>
      <c r="BO100" s="32" t="e">
        <f>IF(BL100&lt;Bewertung_Stammdaten!B$90,Bewertung_Stammdaten!A$90,IF(BL100&lt;Bewertung_Stammdaten!B$91,Bewertung_Stammdaten!A$91,IF(BL100&lt;Bewertung_Stammdaten!B$92,Bewertung_Stammdaten!A$92,IF(BL100&lt;Bewertung_Stammdaten!B$93,Bewertung_Stammdaten!A$93,IF(BL100&lt;Bewertung_Stammdaten!B$94,Bewertung_Stammdaten!A$94,IF(BL100&lt;Bewertung_Stammdaten!B$95,Bewertung_Stammdaten!A$95,IF(BL100&lt;Bewertung_Stammdaten!B$96,Bewertung_Stammdaten!A$96,IF(BL100&lt;Bewertung_Stammdaten!B$97,Bewertung_Stammdaten!A$97,IF(BL100&lt;Bewertung_Stammdaten!B$98,Bewertung_Stammdaten!A$98,Bewertung_Stammdaten!A$99)))))))))</f>
        <v>#N/A</v>
      </c>
      <c r="BP100" s="41" t="e">
        <f>IF(BM100&lt;Bewertung_Stammdaten!F$90,Bewertung_Stammdaten!E$90,IF(BM100&lt;Bewertung_Stammdaten!F$91,Bewertung_Stammdaten!E$91,IF(BM100&lt;Bewertung_Stammdaten!F$92,Bewertung_Stammdaten!E$92,IF(BM100&lt;Bewertung_Stammdaten!F$93,Bewertung_Stammdaten!E$93,IF(BM100&lt;Bewertung_Stammdaten!F$94,Bewertung_Stammdaten!E$94,IF(BM100&lt;Bewertung_Stammdaten!F$95,Bewertung_Stammdaten!E$95,IF(BM100&lt;Bewertung_Stammdaten!F$96,Bewertung_Stammdaten!E$96,IF(BM100&lt;Bewertung_Stammdaten!F$97,Bewertung_Stammdaten!E$97,IF(BM100&lt;Bewertung_Stammdaten!F$98,Bewertung_Stammdaten!E$98,Bewertung_Stammdaten!E$99)))))))))</f>
        <v>#N/A</v>
      </c>
      <c r="BQ100" s="32" t="e">
        <f>IF(BN100&lt;Bewertung_Stammdaten!J$90,Bewertung_Stammdaten!I$90,IF(BN100&lt;Bewertung_Stammdaten!J$91,Bewertung_Stammdaten!I$91,IF(BN100&lt;Bewertung_Stammdaten!J$92,Bewertung_Stammdaten!I$92,IF(BN100&lt;Bewertung_Stammdaten!J$93,Bewertung_Stammdaten!I$93,IF(BN100&lt;Bewertung_Stammdaten!J$94,Bewertung_Stammdaten!I$94,IF(BN100&lt;Bewertung_Stammdaten!J$95,Bewertung_Stammdaten!I$95,IF(BN100&lt;Bewertung_Stammdaten!J$96,Bewertung_Stammdaten!I$96,IF(BN100&lt;Bewertung_Stammdaten!J$97,Bewertung_Stammdaten!I$97,IF(BN100&lt;Bewertung_Stammdaten!J$98,Bewertung_Stammdaten!I$98,Bewertung_Stammdaten!I$99)))))))))</f>
        <v>#N/A</v>
      </c>
    </row>
    <row r="101" spans="3:69" x14ac:dyDescent="0.25">
      <c r="C101" s="55" t="s">
        <v>297</v>
      </c>
      <c r="D101" s="32" t="e">
        <f t="shared" si="11"/>
        <v>#N/A</v>
      </c>
      <c r="E101" s="43"/>
      <c r="F101" s="66">
        <v>1</v>
      </c>
      <c r="G101" s="11" t="e">
        <f>VLOOKUP(A101,KGV!A$3:R$103,17,FALSE)</f>
        <v>#N/A</v>
      </c>
      <c r="H101" s="11" t="e">
        <f>VLOOKUP(A101,KGV!A$3:R$103,16,FALSE)</f>
        <v>#N/A</v>
      </c>
      <c r="I101" s="12" t="e">
        <f>VLOOKUP(A101,KGV!A$3:R$103,18,FALSE)</f>
        <v>#N/A</v>
      </c>
      <c r="J101" s="16" t="e">
        <f t="shared" si="12"/>
        <v>#N/A</v>
      </c>
      <c r="K101" s="12" t="e">
        <f t="shared" si="13"/>
        <v>#N/A</v>
      </c>
      <c r="L101" s="11" t="e">
        <f>VLOOKUP(A101,KBV!A$3:R$103,17,FALSE)</f>
        <v>#N/A</v>
      </c>
      <c r="M101" s="11" t="e">
        <f>VLOOKUP(A101,KBV!A$3:R$103,16,FALSE)</f>
        <v>#N/A</v>
      </c>
      <c r="N101" s="12" t="e">
        <f>VLOOKUP(A101,KBV!A$3:R$103,18,FALSE)</f>
        <v>#N/A</v>
      </c>
      <c r="O101" s="16" t="e">
        <f t="shared" si="20"/>
        <v>#N/A</v>
      </c>
      <c r="P101" s="12" t="e">
        <f t="shared" si="21"/>
        <v>#N/A</v>
      </c>
      <c r="Q101" s="32" t="e">
        <f>IF(F101=1,IF(I101&lt;Bewertung_Stammdaten!B$12,Bewertung_Stammdaten!A$12,IF(I101&lt;Bewertung_Stammdaten!B$13,Bewertung_Stammdaten!A$13,IF(I101&lt;Bewertung_Stammdaten!B$14,Bewertung_Stammdaten!A$14,IF(I101&lt;Bewertung_Stammdaten!B$15,Bewertung_Stammdaten!A$15,IF(I101&lt;Bewertung_Stammdaten!B$16,Bewertung_Stammdaten!A$16,IF(I101&lt;Bewertung_Stammdaten!B$17,Bewertung_Stammdaten!A$17,IF(I101&lt;Bewertung_Stammdaten!B$18,Bewertung_Stammdaten!A$18,IF(I101&lt;Bewertung_Stammdaten!B$19,Bewertung_Stammdaten!A$19,IF(I101&lt;Bewertung_Stammdaten!B$20,Bewertung_Stammdaten!A$20,Bewertung_Stammdaten!A$21))))))))),IF(N101&lt;Bewertung_Stammdaten!C$12,Bewertung_Stammdaten!A$12,IF(N101&lt;Bewertung_Stammdaten!C$13,Bewertung_Stammdaten!A$13,IF(N101&lt;Bewertung_Stammdaten!C$14,Bewertung_Stammdaten!A$14,IF(N101&lt;Bewertung_Stammdaten!C$15,Bewertung_Stammdaten!A$15,IF(N101&lt;Bewertung_Stammdaten!C$16,Bewertung_Stammdaten!A$16,IF(N101&lt;Bewertung_Stammdaten!C$17,Bewertung_Stammdaten!A$17,IF(N101&lt;Bewertung_Stammdaten!C$18,Bewertung_Stammdaten!A$18,IF(N101&lt;Bewertung_Stammdaten!C$19,Bewertung_Stammdaten!A$19,IF(N101&lt;Bewertung_Stammdaten!C$20,Bewertung_Stammdaten!A$20,Bewertung_Stammdaten!A$21))))))))))</f>
        <v>#N/A</v>
      </c>
      <c r="R101" s="32" t="e">
        <f>IF(F101=1,IF(K101&lt;Bewertung_Stammdaten!F$12,Bewertung_Stammdaten!E$12,IF(K101&lt;Bewertung_Stammdaten!F$13,Bewertung_Stammdaten!E$13,IF(K101&lt;Bewertung_Stammdaten!F$14,Bewertung_Stammdaten!E$14,IF(K101&lt;Bewertung_Stammdaten!F$15,Bewertung_Stammdaten!E$15,IF(K101&lt;Bewertung_Stammdaten!F$16,Bewertung_Stammdaten!E$16,IF(K101&lt;Bewertung_Stammdaten!F$17,Bewertung_Stammdaten!E$17,IF(K101&lt;Bewertung_Stammdaten!F$18,Bewertung_Stammdaten!E$18,IF(K101&lt;Bewertung_Stammdaten!F$19,Bewertung_Stammdaten!E$19,IF(K101&lt;Bewertung_Stammdaten!F$20,Bewertung_Stammdaten!E$20,Bewertung_Stammdaten!E$21))))))))),IF(P101&lt;Bewertung_Stammdaten!G$12,Bewertung_Stammdaten!E$12,IF(P101&lt;Bewertung_Stammdaten!G$13,Bewertung_Stammdaten!E$13,IF(P101&lt;Bewertung_Stammdaten!G$14,Bewertung_Stammdaten!E$14,IF(P101&lt;Bewertung_Stammdaten!G$15,Bewertung_Stammdaten!E$15,IF(P101&lt;Bewertung_Stammdaten!G$16,Bewertung_Stammdaten!E$16,IF(P101&lt;Bewertung_Stammdaten!G$17,Bewertung_Stammdaten!E$17,IF(P101&lt;Bewertung_Stammdaten!G$18,Bewertung_Stammdaten!E$18,IF(P101&lt;Bewertung_Stammdaten!G$19,Bewertung_Stammdaten!E$19,IF(P101&lt;Bewertung_Stammdaten!G$20,Bewertung_Stammdaten!E$20,Bewertung_Stammdaten!E$21))))))))))</f>
        <v>#N/A</v>
      </c>
      <c r="S101" s="43"/>
      <c r="T101" s="11" t="e">
        <f>VLOOKUP(A101,Buchwert_je_Aktie!A$3:AK$103,23,FALSE)</f>
        <v>#N/A</v>
      </c>
      <c r="U101" s="11" t="e">
        <f>VLOOKUP(A101,Buchwert_je_Aktie!A$3:AK$103,19,FALSE)</f>
        <v>#N/A</v>
      </c>
      <c r="V101" s="12" t="e">
        <f>VLOOKUP(A101,Buchwert_je_Aktie!A$3:AK$103,24,FALSE)</f>
        <v>#N/A</v>
      </c>
      <c r="W101" s="12" t="e">
        <f>VLOOKUP(A101,Buchwert_je_Aktie!A$3:AK$103,37,FALSE)</f>
        <v>#N/A</v>
      </c>
      <c r="X101" s="16" t="e">
        <f t="shared" si="14"/>
        <v>#N/A</v>
      </c>
      <c r="Y101" s="12" t="e">
        <f t="shared" si="15"/>
        <v>#N/A</v>
      </c>
      <c r="Z101" s="51" t="e">
        <f>IF(V101&lt;Bewertung_Stammdaten!B$25,Bewertung_Stammdaten!A$25,IF(V101&lt;Bewertung_Stammdaten!B$26,Bewertung_Stammdaten!A$26,IF(V101&lt;Bewertung_Stammdaten!B$27,Bewertung_Stammdaten!A$27,IF(V101&lt;Bewertung_Stammdaten!B$28,Bewertung_Stammdaten!A$28,IF(V101&lt;Bewertung_Stammdaten!B$29,Bewertung_Stammdaten!A$29,IF(V101&lt;Bewertung_Stammdaten!B$30,Bewertung_Stammdaten!A$30,IF(V101&lt;Bewertung_Stammdaten!B$31,Bewertung_Stammdaten!A$31,IF(V101&lt;Bewertung_Stammdaten!B$32,Bewertung_Stammdaten!A$32,IF(V101&lt;Bewertung_Stammdaten!B$33,Bewertung_Stammdaten!A$33,Bewertung_Stammdaten!A$34)))))))))</f>
        <v>#N/A</v>
      </c>
      <c r="AA101" s="51" t="e">
        <f>IF(W101&lt;Bewertung_Stammdaten!F$25,Bewertung_Stammdaten!E$25,IF(W101&lt;Bewertung_Stammdaten!F$26,Bewertung_Stammdaten!E$26,IF(W101&lt;Bewertung_Stammdaten!F$27,Bewertung_Stammdaten!E$27,IF(W101&lt;Bewertung_Stammdaten!F$28,Bewertung_Stammdaten!E$28,IF(W101&lt;Bewertung_Stammdaten!F$29,Bewertung_Stammdaten!E$29,IF(W101&lt;Bewertung_Stammdaten!F$30,Bewertung_Stammdaten!E$30,IF(W101&lt;Bewertung_Stammdaten!F$31,Bewertung_Stammdaten!E$31,IF(W101&lt;Bewertung_Stammdaten!F$32,Bewertung_Stammdaten!E$32,IF(W101&lt;Bewertung_Stammdaten!F$33,Bewertung_Stammdaten!E$33,Bewertung_Stammdaten!E$34)))))))))</f>
        <v>#N/A</v>
      </c>
      <c r="AB101" s="51" t="e">
        <f>IF(Y101&lt;Bewertung_Stammdaten!J$25,Bewertung_Stammdaten!I$25,IF(Y101&lt;Bewertung_Stammdaten!J$26,Bewertung_Stammdaten!I$26,IF(Y101&lt;Bewertung_Stammdaten!J$27,Bewertung_Stammdaten!I$27,IF(Y101&lt;Bewertung_Stammdaten!J$28,Bewertung_Stammdaten!I$28,IF(Y101&lt;Bewertung_Stammdaten!J$29,Bewertung_Stammdaten!I$29,IF(Y101&lt;Bewertung_Stammdaten!J$30,Bewertung_Stammdaten!I$30,IF(Y101&lt;Bewertung_Stammdaten!J$31,Bewertung_Stammdaten!I$31,IF(Y101&lt;Bewertung_Stammdaten!J$32,Bewertung_Stammdaten!I$32,IF(Y101&lt;Bewertung_Stammdaten!J$33,Bewertung_Stammdaten!I$33,Bewertung_Stammdaten!I$34)))))))))</f>
        <v>#N/A</v>
      </c>
      <c r="AC101" s="43"/>
      <c r="AD101" s="14" t="e">
        <f>VLOOKUP(A101,Ergebnis_je_Aktie_verwässert!A$3:AK$103,23,FALSE)</f>
        <v>#N/A</v>
      </c>
      <c r="AE101" s="14" t="e">
        <f>VLOOKUP(A101,Ergebnis_je_Aktie_verwässert!A$3:AK$103,19,FALSE)</f>
        <v>#N/A</v>
      </c>
      <c r="AF101" s="12" t="e">
        <f>VLOOKUP(A101,Ergebnis_je_Aktie_verwässert!A$3:AK$103,24,FALSE)</f>
        <v>#N/A</v>
      </c>
      <c r="AG101" s="40" t="e">
        <f>VLOOKUP(A101,Ergebnis_je_Aktie_verwässert!A$3:AK$103,37,FALSE)</f>
        <v>#N/A</v>
      </c>
      <c r="AH101" s="16" t="e">
        <f t="shared" si="16"/>
        <v>#N/A</v>
      </c>
      <c r="AI101" s="12" t="e">
        <f t="shared" si="17"/>
        <v>#N/A</v>
      </c>
      <c r="AJ101" s="32" t="e">
        <f>IF(AF101&lt;Bewertung_Stammdaten!B$38,Bewertung_Stammdaten!A$38,IF(AF101&lt;Bewertung_Stammdaten!B$39,Bewertung_Stammdaten!A$39,IF(AF101&lt;Bewertung_Stammdaten!B$40,Bewertung_Stammdaten!A$40,IF(AF101&lt;Bewertung_Stammdaten!B$41,Bewertung_Stammdaten!A$41,IF(AF101&lt;Bewertung_Stammdaten!B$42,Bewertung_Stammdaten!A$42,IF(AF101&lt;Bewertung_Stammdaten!B$43,Bewertung_Stammdaten!A$43,IF(AF101&lt;Bewertung_Stammdaten!B$44,Bewertung_Stammdaten!A$44,IF(AF101&lt;Bewertung_Stammdaten!B$45,Bewertung_Stammdaten!A$45,IF(AF101&lt;Bewertung_Stammdaten!B$46,Bewertung_Stammdaten!A$46,Bewertung_Stammdaten!A$47)))))))))</f>
        <v>#N/A</v>
      </c>
      <c r="AK101" s="32" t="e">
        <f>IF(AG101&lt;Bewertung_Stammdaten!F$38,Bewertung_Stammdaten!E$38,IF(AG101&lt;Bewertung_Stammdaten!F$39,Bewertung_Stammdaten!E$39,IF(AG101&lt;Bewertung_Stammdaten!F$40,Bewertung_Stammdaten!E$40,IF(AG101&lt;Bewertung_Stammdaten!F$41,Bewertung_Stammdaten!E$41,IF(AG101&lt;Bewertung_Stammdaten!F$42,Bewertung_Stammdaten!E$42,IF(AG101&lt;Bewertung_Stammdaten!F$43,Bewertung_Stammdaten!E$43,IF(AG101&lt;Bewertung_Stammdaten!F$44,Bewertung_Stammdaten!E$44,IF(AG101&lt;Bewertung_Stammdaten!F$45,Bewertung_Stammdaten!E$45,IF(AG101&lt;Bewertung_Stammdaten!F$46,Bewertung_Stammdaten!E$46,Bewertung_Stammdaten!E$47)))))))))</f>
        <v>#N/A</v>
      </c>
      <c r="AL101" s="32" t="e">
        <f>IF(AI101&lt;Bewertung_Stammdaten!J$38,Bewertung_Stammdaten!I$38,IF(AI101&lt;Bewertung_Stammdaten!J$39,Bewertung_Stammdaten!I$39,IF(AI101&lt;Bewertung_Stammdaten!J$40,Bewertung_Stammdaten!I$40,IF(AI101&lt;Bewertung_Stammdaten!J$41,Bewertung_Stammdaten!I$41,IF(AI101&lt;Bewertung_Stammdaten!J$42,Bewertung_Stammdaten!I$42,IF(AI101&lt;Bewertung_Stammdaten!J$43,Bewertung_Stammdaten!I$43,IF(AI101&lt;Bewertung_Stammdaten!J$44,Bewertung_Stammdaten!I$44,IF(AI101&lt;Bewertung_Stammdaten!J$45,Bewertung_Stammdaten!I$45,IF(AI101&lt;Bewertung_Stammdaten!J$46,Bewertung_Stammdaten!I$46,Bewertung_Stammdaten!I$47)))))))))</f>
        <v>#N/A</v>
      </c>
      <c r="AM101" s="43"/>
      <c r="AN101" s="14" t="e">
        <f>VLOOKUP(A101,Dividende_je_Aktie!A$3:AM$103,24,FALSE)</f>
        <v>#N/A</v>
      </c>
      <c r="AO101" s="14" t="e">
        <f>VLOOKUP(A101,Dividende_je_Aktie!A$3:AM$103,20,FALSE)</f>
        <v>#N/A</v>
      </c>
      <c r="AP101" s="12" t="e">
        <f>VLOOKUP(A101,Dividende_je_Aktie!A$3:AM$103,25,FALSE)</f>
        <v>#N/A</v>
      </c>
      <c r="AQ101" s="40" t="e">
        <f>VLOOKUP(A101,Dividende_je_Aktie!A$3:AM$103,39,FALSE)</f>
        <v>#N/A</v>
      </c>
      <c r="AR101" s="16" t="e">
        <f t="shared" si="18"/>
        <v>#N/A</v>
      </c>
      <c r="AS101" s="12" t="e">
        <f t="shared" si="19"/>
        <v>#N/A</v>
      </c>
      <c r="AT101" s="32" t="e">
        <f>IF(AP101&lt;Bewertung_Stammdaten!B$51,Bewertung_Stammdaten!A$51,IF(AP101&lt;Bewertung_Stammdaten!B$52,Bewertung_Stammdaten!A$52,IF(AP101&lt;Bewertung_Stammdaten!B$53,Bewertung_Stammdaten!A$53,IF(AP101&lt;Bewertung_Stammdaten!B$54,Bewertung_Stammdaten!A$54,IF(AP101&lt;Bewertung_Stammdaten!B$55,Bewertung_Stammdaten!A$55,IF(AP101&lt;Bewertung_Stammdaten!B$56,Bewertung_Stammdaten!A$56,IF(AP101&lt;Bewertung_Stammdaten!B$57,Bewertung_Stammdaten!A$57,IF(AP101&lt;Bewertung_Stammdaten!B$58,Bewertung_Stammdaten!A$58,IF(AP101&lt;Bewertung_Stammdaten!B$59,Bewertung_Stammdaten!A$59,Bewertung_Stammdaten!A$60)))))))))</f>
        <v>#N/A</v>
      </c>
      <c r="AU101" s="32" t="e">
        <f>IF(AQ101&lt;Bewertung_Stammdaten!F$51,Bewertung_Stammdaten!E$51,IF(AQ101&lt;Bewertung_Stammdaten!F$52,Bewertung_Stammdaten!E$52,IF(AQ101&lt;Bewertung_Stammdaten!F$53,Bewertung_Stammdaten!E$53,IF(AQ101&lt;Bewertung_Stammdaten!F$54,Bewertung_Stammdaten!E$54,IF(AQ101&lt;Bewertung_Stammdaten!F$55,Bewertung_Stammdaten!E$55,IF(AQ101&lt;Bewertung_Stammdaten!F$56,Bewertung_Stammdaten!E$56,IF(AQ101&lt;Bewertung_Stammdaten!F$57,Bewertung_Stammdaten!E$57,IF(AQ101&lt;Bewertung_Stammdaten!F$58,Bewertung_Stammdaten!E$58,IF(AQ101&lt;Bewertung_Stammdaten!F$59,Bewertung_Stammdaten!E$59,Bewertung_Stammdaten!E$60)))))))))</f>
        <v>#N/A</v>
      </c>
      <c r="AV101" s="32" t="e">
        <f>IF(AS101&lt;Bewertung_Stammdaten!J$51,Bewertung_Stammdaten!I$51,IF(AS101&lt;Bewertung_Stammdaten!J$52,Bewertung_Stammdaten!I$52,IF(AS101&lt;Bewertung_Stammdaten!J$53,Bewertung_Stammdaten!I$53,IF(AS101&lt;Bewertung_Stammdaten!J$54,Bewertung_Stammdaten!I$54,IF(AS101&lt;Bewertung_Stammdaten!J$55,Bewertung_Stammdaten!I$55,IF(AS101&lt;Bewertung_Stammdaten!J$56,Bewertung_Stammdaten!I$56,IF(AS101&lt;Bewertung_Stammdaten!J$57,Bewertung_Stammdaten!I$57,IF(AS101&lt;Bewertung_Stammdaten!J$58,Bewertung_Stammdaten!I$58,IF(AS101&lt;Bewertung_Stammdaten!J$59,Bewertung_Stammdaten!I$59,Bewertung_Stammdaten!I$60)))))))))</f>
        <v>#N/A</v>
      </c>
      <c r="AW101" s="43"/>
      <c r="AX101" s="12" t="e">
        <f>VLOOKUP(A101,Dividendenrendite!A$3:R$103,17,FALSE)</f>
        <v>#N/A</v>
      </c>
      <c r="AY101" s="12" t="e">
        <f>VLOOKUP(A101,Dividendenrendite!A$3:R$103,16,FALSE)</f>
        <v>#N/A</v>
      </c>
      <c r="AZ101" s="12" t="e">
        <f>VLOOKUP(A101,Dividendenrendite!A$3:R$103,18,FALSE)</f>
        <v>#N/A</v>
      </c>
      <c r="BA101" s="32" t="e">
        <f>IF(AX101&lt;Bewertung_Stammdaten!B$64,Bewertung_Stammdaten!A$64,IF(AX101&lt;Bewertung_Stammdaten!B$65,Bewertung_Stammdaten!A$65,IF(AX101&lt;Bewertung_Stammdaten!B$66,Bewertung_Stammdaten!A$66,IF(AX101&lt;Bewertung_Stammdaten!B$67,Bewertung_Stammdaten!A$67,IF(AX101&lt;Bewertung_Stammdaten!B$68,Bewertung_Stammdaten!A$68,IF(AX101&lt;Bewertung_Stammdaten!B$69,Bewertung_Stammdaten!A$69,IF(AX101&lt;Bewertung_Stammdaten!B$70,Bewertung_Stammdaten!A$70,IF(AX101&lt;Bewertung_Stammdaten!B$71,Bewertung_Stammdaten!A$71,IF(AX101&lt;Bewertung_Stammdaten!B$72,Bewertung_Stammdaten!A$72,Bewertung_Stammdaten!A$73)))))))))</f>
        <v>#N/A</v>
      </c>
      <c r="BB101" s="32" t="e">
        <f>IF(AY101&lt;Bewertung_Stammdaten!F$64,Bewertung_Stammdaten!E$64,IF(AY101&lt;Bewertung_Stammdaten!F$65,Bewertung_Stammdaten!E$65,IF(AY101&lt;Bewertung_Stammdaten!F$66,Bewertung_Stammdaten!E$66,IF(AY101&lt;Bewertung_Stammdaten!F$67,Bewertung_Stammdaten!E$67,IF(AY101&lt;Bewertung_Stammdaten!F$68,Bewertung_Stammdaten!E$68,IF(AY101&lt;Bewertung_Stammdaten!F$69,Bewertung_Stammdaten!E$69,IF(AY101&lt;Bewertung_Stammdaten!F$70,Bewertung_Stammdaten!E$70,IF(AY101&lt;Bewertung_Stammdaten!F$71,Bewertung_Stammdaten!E$71,IF(AY101&lt;Bewertung_Stammdaten!F$72,Bewertung_Stammdaten!E$72,Bewertung_Stammdaten!E$73)))))))))</f>
        <v>#N/A</v>
      </c>
      <c r="BC101" s="32" t="e">
        <f>IF(AZ101&lt;Bewertung_Stammdaten!J$64,Bewertung_Stammdaten!I$64,IF(AZ101&lt;Bewertung_Stammdaten!J$65,Bewertung_Stammdaten!I$65,IF(AZ101&lt;Bewertung_Stammdaten!J$66,Bewertung_Stammdaten!I$66,IF(AZ101&lt;Bewertung_Stammdaten!J$67,Bewertung_Stammdaten!I$67,IF(AZ101&lt;Bewertung_Stammdaten!J$68,Bewertung_Stammdaten!I$68,IF(AZ101&lt;Bewertung_Stammdaten!J$69,Bewertung_Stammdaten!I$69,IF(AZ101&lt;Bewertung_Stammdaten!J$70,Bewertung_Stammdaten!I$70,IF(AZ101&lt;Bewertung_Stammdaten!J$71,Bewertung_Stammdaten!I$71,IF(AZ101&lt;Bewertung_Stammdaten!J$72,Bewertung_Stammdaten!I$72,Bewertung_Stammdaten!I$73)))))))))</f>
        <v>#N/A</v>
      </c>
      <c r="BD101" s="43"/>
      <c r="BE101" s="12" t="e">
        <f>VLOOKUP(A101,Aktien_im_Umlauf_splitbereinigt!A$3:Z$103,26,FALSE)</f>
        <v>#N/A</v>
      </c>
      <c r="BF101" s="12" t="e">
        <f>VLOOKUP(A101,Aktien_im_Umlauf_splitbereinigt!A$3:Y$103,24,FALSE)</f>
        <v>#N/A</v>
      </c>
      <c r="BG101" s="12" t="e">
        <f>VLOOKUP(A101,Aktien_im_Umlauf_splitbereinigt!A$3:Y$103,25,FALSE)</f>
        <v>#N/A</v>
      </c>
      <c r="BH101" s="41" t="e">
        <f>IF(BE101&lt;Bewertung_Stammdaten!B$77,Bewertung_Stammdaten!A$77,IF(BE101&lt;Bewertung_Stammdaten!B$78,Bewertung_Stammdaten!A$78,IF(BE101&lt;Bewertung_Stammdaten!B$79,Bewertung_Stammdaten!A$79,IF(BE101&lt;Bewertung_Stammdaten!B$80,Bewertung_Stammdaten!A$80,IF(BE101&lt;Bewertung_Stammdaten!B$81,Bewertung_Stammdaten!A$81,IF(BE101&lt;Bewertung_Stammdaten!B$82,Bewertung_Stammdaten!A$82,IF(BE101&lt;Bewertung_Stammdaten!B$83,Bewertung_Stammdaten!A$83,IF(BE101&lt;Bewertung_Stammdaten!B$84,Bewertung_Stammdaten!A$84,IF(BE101&lt;Bewertung_Stammdaten!B$85,Bewertung_Stammdaten!A$85,Bewertung_Stammdaten!A$86)))))))))</f>
        <v>#N/A</v>
      </c>
      <c r="BI101" s="41" t="e">
        <f>IF(BF101&lt;Bewertung_Stammdaten!F$77,Bewertung_Stammdaten!E$77,IF(BF101&lt;Bewertung_Stammdaten!F$78,Bewertung_Stammdaten!E$78,IF(BF101&lt;Bewertung_Stammdaten!F$79,Bewertung_Stammdaten!E$79,IF(BF101&lt;Bewertung_Stammdaten!F$80,Bewertung_Stammdaten!E$80,IF(BF101&lt;Bewertung_Stammdaten!F$81,Bewertung_Stammdaten!E$81,IF(BF101&lt;Bewertung_Stammdaten!F$82,Bewertung_Stammdaten!E$82,IF(BF101&lt;Bewertung_Stammdaten!F$83,Bewertung_Stammdaten!E$83,IF(BF101&lt;Bewertung_Stammdaten!F$84,Bewertung_Stammdaten!E$84,IF(BF101&lt;Bewertung_Stammdaten!F$85,Bewertung_Stammdaten!E$85,Bewertung_Stammdaten!E$86)))))))))</f>
        <v>#N/A</v>
      </c>
      <c r="BJ101" s="41" t="e">
        <f>IF(BG101&lt;Bewertung_Stammdaten!J$77,Bewertung_Stammdaten!I$77,IF(BG101&lt;Bewertung_Stammdaten!J$78,Bewertung_Stammdaten!I$78,IF(BG101&lt;Bewertung_Stammdaten!J$79,Bewertung_Stammdaten!I$79,IF(BG101&lt;Bewertung_Stammdaten!J$80,Bewertung_Stammdaten!I$80,IF(BG101&lt;Bewertung_Stammdaten!J$81,Bewertung_Stammdaten!I$81,IF(BG101&lt;Bewertung_Stammdaten!J$82,Bewertung_Stammdaten!I$82,IF(BG101&lt;Bewertung_Stammdaten!J$83,Bewertung_Stammdaten!I$83,IF(BG101&lt;Bewertung_Stammdaten!J$84,Bewertung_Stammdaten!I$84,IF(BG101&lt;Bewertung_Stammdaten!J$85,Bewertung_Stammdaten!I$85,Bewertung_Stammdaten!I$86)))))))))</f>
        <v>#N/A</v>
      </c>
      <c r="BK101" s="43"/>
      <c r="BL101" s="12" t="e">
        <f>VLOOKUP(A101,Ausschüttungsquote!A$3:X$103,23,FALSE)</f>
        <v>#N/A</v>
      </c>
      <c r="BM101" s="12" t="e">
        <f>VLOOKUP(A101,Ausschüttungsquote!A$3:X$103,19,FALSE)</f>
        <v>#N/A</v>
      </c>
      <c r="BN101" s="12" t="e">
        <f>VLOOKUP(A101,Ausschüttungsquote!A$3:X$103,24,FALSE)</f>
        <v>#N/A</v>
      </c>
      <c r="BO101" s="32" t="e">
        <f>IF(BL101&lt;Bewertung_Stammdaten!B$90,Bewertung_Stammdaten!A$90,IF(BL101&lt;Bewertung_Stammdaten!B$91,Bewertung_Stammdaten!A$91,IF(BL101&lt;Bewertung_Stammdaten!B$92,Bewertung_Stammdaten!A$92,IF(BL101&lt;Bewertung_Stammdaten!B$93,Bewertung_Stammdaten!A$93,IF(BL101&lt;Bewertung_Stammdaten!B$94,Bewertung_Stammdaten!A$94,IF(BL101&lt;Bewertung_Stammdaten!B$95,Bewertung_Stammdaten!A$95,IF(BL101&lt;Bewertung_Stammdaten!B$96,Bewertung_Stammdaten!A$96,IF(BL101&lt;Bewertung_Stammdaten!B$97,Bewertung_Stammdaten!A$97,IF(BL101&lt;Bewertung_Stammdaten!B$98,Bewertung_Stammdaten!A$98,Bewertung_Stammdaten!A$99)))))))))</f>
        <v>#N/A</v>
      </c>
      <c r="BP101" s="41" t="e">
        <f>IF(BM101&lt;Bewertung_Stammdaten!F$90,Bewertung_Stammdaten!E$90,IF(BM101&lt;Bewertung_Stammdaten!F$91,Bewertung_Stammdaten!E$91,IF(BM101&lt;Bewertung_Stammdaten!F$92,Bewertung_Stammdaten!E$92,IF(BM101&lt;Bewertung_Stammdaten!F$93,Bewertung_Stammdaten!E$93,IF(BM101&lt;Bewertung_Stammdaten!F$94,Bewertung_Stammdaten!E$94,IF(BM101&lt;Bewertung_Stammdaten!F$95,Bewertung_Stammdaten!E$95,IF(BM101&lt;Bewertung_Stammdaten!F$96,Bewertung_Stammdaten!E$96,IF(BM101&lt;Bewertung_Stammdaten!F$97,Bewertung_Stammdaten!E$97,IF(BM101&lt;Bewertung_Stammdaten!F$98,Bewertung_Stammdaten!E$98,Bewertung_Stammdaten!E$99)))))))))</f>
        <v>#N/A</v>
      </c>
      <c r="BQ101" s="32" t="e">
        <f>IF(BN101&lt;Bewertung_Stammdaten!J$90,Bewertung_Stammdaten!I$90,IF(BN101&lt;Bewertung_Stammdaten!J$91,Bewertung_Stammdaten!I$91,IF(BN101&lt;Bewertung_Stammdaten!J$92,Bewertung_Stammdaten!I$92,IF(BN101&lt;Bewertung_Stammdaten!J$93,Bewertung_Stammdaten!I$93,IF(BN101&lt;Bewertung_Stammdaten!J$94,Bewertung_Stammdaten!I$94,IF(BN101&lt;Bewertung_Stammdaten!J$95,Bewertung_Stammdaten!I$95,IF(BN101&lt;Bewertung_Stammdaten!J$96,Bewertung_Stammdaten!I$96,IF(BN101&lt;Bewertung_Stammdaten!J$97,Bewertung_Stammdaten!I$97,IF(BN101&lt;Bewertung_Stammdaten!J$98,Bewertung_Stammdaten!I$98,Bewertung_Stammdaten!I$99)))))))))</f>
        <v>#N/A</v>
      </c>
    </row>
    <row r="102" spans="3:69" x14ac:dyDescent="0.25">
      <c r="C102" s="55" t="s">
        <v>297</v>
      </c>
      <c r="D102" s="32" t="e">
        <f t="shared" si="11"/>
        <v>#N/A</v>
      </c>
      <c r="E102" s="43"/>
      <c r="F102" s="66">
        <v>1</v>
      </c>
      <c r="G102" s="11" t="e">
        <f>VLOOKUP(A102,KGV!A$3:R$103,17,FALSE)</f>
        <v>#N/A</v>
      </c>
      <c r="H102" s="11" t="e">
        <f>VLOOKUP(A102,KGV!A$3:R$103,16,FALSE)</f>
        <v>#N/A</v>
      </c>
      <c r="I102" s="12" t="e">
        <f>VLOOKUP(A102,KGV!A$3:R$103,18,FALSE)</f>
        <v>#N/A</v>
      </c>
      <c r="J102" s="16" t="e">
        <f t="shared" si="12"/>
        <v>#N/A</v>
      </c>
      <c r="K102" s="12" t="e">
        <f t="shared" ref="K102" si="22">(J102/H102)-1</f>
        <v>#N/A</v>
      </c>
      <c r="L102" s="11" t="e">
        <f>VLOOKUP(A102,KBV!A$3:R$103,17,FALSE)</f>
        <v>#N/A</v>
      </c>
      <c r="M102" s="11" t="e">
        <f>VLOOKUP(A102,KBV!A$3:R$103,16,FALSE)</f>
        <v>#N/A</v>
      </c>
      <c r="N102" s="12" t="e">
        <f>VLOOKUP(A102,KBV!A$3:R$103,18,FALSE)</f>
        <v>#N/A</v>
      </c>
      <c r="O102" s="16" t="e">
        <f t="shared" si="20"/>
        <v>#N/A</v>
      </c>
      <c r="P102" s="12" t="e">
        <f t="shared" si="21"/>
        <v>#N/A</v>
      </c>
      <c r="Q102" s="32" t="e">
        <f>IF(F102=1,IF(I102&lt;Bewertung_Stammdaten!B$12,Bewertung_Stammdaten!A$12,IF(I102&lt;Bewertung_Stammdaten!B$13,Bewertung_Stammdaten!A$13,IF(I102&lt;Bewertung_Stammdaten!B$14,Bewertung_Stammdaten!A$14,IF(I102&lt;Bewertung_Stammdaten!B$15,Bewertung_Stammdaten!A$15,IF(I102&lt;Bewertung_Stammdaten!B$16,Bewertung_Stammdaten!A$16,IF(I102&lt;Bewertung_Stammdaten!B$17,Bewertung_Stammdaten!A$17,IF(I102&lt;Bewertung_Stammdaten!B$18,Bewertung_Stammdaten!A$18,IF(I102&lt;Bewertung_Stammdaten!B$19,Bewertung_Stammdaten!A$19,IF(I102&lt;Bewertung_Stammdaten!B$20,Bewertung_Stammdaten!A$20,Bewertung_Stammdaten!A$21))))))))),IF(N102&lt;Bewertung_Stammdaten!C$12,Bewertung_Stammdaten!A$12,IF(N102&lt;Bewertung_Stammdaten!C$13,Bewertung_Stammdaten!A$13,IF(N102&lt;Bewertung_Stammdaten!C$14,Bewertung_Stammdaten!A$14,IF(N102&lt;Bewertung_Stammdaten!C$15,Bewertung_Stammdaten!A$15,IF(N102&lt;Bewertung_Stammdaten!C$16,Bewertung_Stammdaten!A$16,IF(N102&lt;Bewertung_Stammdaten!C$17,Bewertung_Stammdaten!A$17,IF(N102&lt;Bewertung_Stammdaten!C$18,Bewertung_Stammdaten!A$18,IF(N102&lt;Bewertung_Stammdaten!C$19,Bewertung_Stammdaten!A$19,IF(N102&lt;Bewertung_Stammdaten!C$20,Bewertung_Stammdaten!A$20,Bewertung_Stammdaten!A$21))))))))))</f>
        <v>#N/A</v>
      </c>
      <c r="R102" s="32" t="e">
        <f>IF(F102=1,IF(K102&lt;Bewertung_Stammdaten!F$12,Bewertung_Stammdaten!E$12,IF(K102&lt;Bewertung_Stammdaten!F$13,Bewertung_Stammdaten!E$13,IF(K102&lt;Bewertung_Stammdaten!F$14,Bewertung_Stammdaten!E$14,IF(K102&lt;Bewertung_Stammdaten!F$15,Bewertung_Stammdaten!E$15,IF(K102&lt;Bewertung_Stammdaten!F$16,Bewertung_Stammdaten!E$16,IF(K102&lt;Bewertung_Stammdaten!F$17,Bewertung_Stammdaten!E$17,IF(K102&lt;Bewertung_Stammdaten!F$18,Bewertung_Stammdaten!E$18,IF(K102&lt;Bewertung_Stammdaten!F$19,Bewertung_Stammdaten!E$19,IF(K102&lt;Bewertung_Stammdaten!F$20,Bewertung_Stammdaten!E$20,Bewertung_Stammdaten!E$21))))))))),IF(P102&lt;Bewertung_Stammdaten!G$12,Bewertung_Stammdaten!E$12,IF(P102&lt;Bewertung_Stammdaten!G$13,Bewertung_Stammdaten!E$13,IF(P102&lt;Bewertung_Stammdaten!G$14,Bewertung_Stammdaten!E$14,IF(P102&lt;Bewertung_Stammdaten!G$15,Bewertung_Stammdaten!E$15,IF(P102&lt;Bewertung_Stammdaten!G$16,Bewertung_Stammdaten!E$16,IF(P102&lt;Bewertung_Stammdaten!G$17,Bewertung_Stammdaten!E$17,IF(P102&lt;Bewertung_Stammdaten!G$18,Bewertung_Stammdaten!E$18,IF(P102&lt;Bewertung_Stammdaten!G$19,Bewertung_Stammdaten!E$19,IF(P102&lt;Bewertung_Stammdaten!G$20,Bewertung_Stammdaten!E$20,Bewertung_Stammdaten!E$21))))))))))</f>
        <v>#N/A</v>
      </c>
      <c r="S102" s="43"/>
      <c r="T102" s="11" t="e">
        <f>VLOOKUP(A102,Buchwert_je_Aktie!A$3:AK$103,23,FALSE)</f>
        <v>#N/A</v>
      </c>
      <c r="U102" s="11" t="e">
        <f>VLOOKUP(A102,Buchwert_je_Aktie!A$3:AK$103,19,FALSE)</f>
        <v>#N/A</v>
      </c>
      <c r="V102" s="12" t="e">
        <f>VLOOKUP(A102,Buchwert_je_Aktie!A$3:AK$103,24,FALSE)</f>
        <v>#N/A</v>
      </c>
      <c r="W102" s="12" t="e">
        <f>VLOOKUP(A102,Buchwert_je_Aktie!A$3:AK$103,37,FALSE)</f>
        <v>#N/A</v>
      </c>
      <c r="X102" s="16" t="e">
        <f t="shared" ref="X102" si="23">IF(W102&gt;0,T102,IF(T102&lt;0,ABS(T102)*(1+W102),T102*(1+W102)))</f>
        <v>#N/A</v>
      </c>
      <c r="Y102" s="12" t="e">
        <f t="shared" ref="Y102" si="24">IF(U102&gt;0,(X102/U102)-1,-99.99999)</f>
        <v>#N/A</v>
      </c>
      <c r="Z102" s="51" t="e">
        <f>IF(V102&lt;Bewertung_Stammdaten!B$25,Bewertung_Stammdaten!A$25,IF(V102&lt;Bewertung_Stammdaten!B$26,Bewertung_Stammdaten!A$26,IF(V102&lt;Bewertung_Stammdaten!B$27,Bewertung_Stammdaten!A$27,IF(V102&lt;Bewertung_Stammdaten!B$28,Bewertung_Stammdaten!A$28,IF(V102&lt;Bewertung_Stammdaten!B$29,Bewertung_Stammdaten!A$29,IF(V102&lt;Bewertung_Stammdaten!B$30,Bewertung_Stammdaten!A$30,IF(V102&lt;Bewertung_Stammdaten!B$31,Bewertung_Stammdaten!A$31,IF(V102&lt;Bewertung_Stammdaten!B$32,Bewertung_Stammdaten!A$32,IF(V102&lt;Bewertung_Stammdaten!B$33,Bewertung_Stammdaten!A$33,Bewertung_Stammdaten!A$34)))))))))</f>
        <v>#N/A</v>
      </c>
      <c r="AA102" s="51" t="e">
        <f>IF(W102&lt;Bewertung_Stammdaten!F$25,Bewertung_Stammdaten!E$25,IF(W102&lt;Bewertung_Stammdaten!F$26,Bewertung_Stammdaten!E$26,IF(W102&lt;Bewertung_Stammdaten!F$27,Bewertung_Stammdaten!E$27,IF(W102&lt;Bewertung_Stammdaten!F$28,Bewertung_Stammdaten!E$28,IF(W102&lt;Bewertung_Stammdaten!F$29,Bewertung_Stammdaten!E$29,IF(W102&lt;Bewertung_Stammdaten!F$30,Bewertung_Stammdaten!E$30,IF(W102&lt;Bewertung_Stammdaten!F$31,Bewertung_Stammdaten!E$31,IF(W102&lt;Bewertung_Stammdaten!F$32,Bewertung_Stammdaten!E$32,IF(W102&lt;Bewertung_Stammdaten!F$33,Bewertung_Stammdaten!E$33,Bewertung_Stammdaten!E$34)))))))))</f>
        <v>#N/A</v>
      </c>
      <c r="AB102" s="51" t="e">
        <f>IF(Y102&lt;Bewertung_Stammdaten!J$25,Bewertung_Stammdaten!I$25,IF(Y102&lt;Bewertung_Stammdaten!J$26,Bewertung_Stammdaten!I$26,IF(Y102&lt;Bewertung_Stammdaten!J$27,Bewertung_Stammdaten!I$27,IF(Y102&lt;Bewertung_Stammdaten!J$28,Bewertung_Stammdaten!I$28,IF(Y102&lt;Bewertung_Stammdaten!J$29,Bewertung_Stammdaten!I$29,IF(Y102&lt;Bewertung_Stammdaten!J$30,Bewertung_Stammdaten!I$30,IF(Y102&lt;Bewertung_Stammdaten!J$31,Bewertung_Stammdaten!I$31,IF(Y102&lt;Bewertung_Stammdaten!J$32,Bewertung_Stammdaten!I$32,IF(Y102&lt;Bewertung_Stammdaten!J$33,Bewertung_Stammdaten!I$33,Bewertung_Stammdaten!I$34)))))))))</f>
        <v>#N/A</v>
      </c>
      <c r="AC102" s="43"/>
      <c r="AD102" s="14" t="e">
        <f>VLOOKUP(A102,Ergebnis_je_Aktie_verwässert!A$3:AK$103,23,FALSE)</f>
        <v>#N/A</v>
      </c>
      <c r="AE102" s="14" t="e">
        <f>VLOOKUP(A102,Ergebnis_je_Aktie_verwässert!A$3:AK$103,19,FALSE)</f>
        <v>#N/A</v>
      </c>
      <c r="AF102" s="12" t="e">
        <f>VLOOKUP(A102,Ergebnis_je_Aktie_verwässert!A$3:AK$103,24,FALSE)</f>
        <v>#N/A</v>
      </c>
      <c r="AG102" s="40" t="e">
        <f>VLOOKUP(A102,Ergebnis_je_Aktie_verwässert!A$3:AK$103,37,FALSE)</f>
        <v>#N/A</v>
      </c>
      <c r="AH102" s="16" t="e">
        <f t="shared" ref="AH102" si="25">IF(AG102&gt;0,AD102,AD102*(1+AG102))</f>
        <v>#N/A</v>
      </c>
      <c r="AI102" s="12" t="e">
        <f t="shared" ref="AI102" si="26">IF(AE102&gt;0,(AH102/AE102)-1,-99.99999)</f>
        <v>#N/A</v>
      </c>
      <c r="AJ102" s="32" t="e">
        <f>IF(AF102&lt;Bewertung_Stammdaten!B$38,Bewertung_Stammdaten!A$38,IF(AF102&lt;Bewertung_Stammdaten!B$39,Bewertung_Stammdaten!A$39,IF(AF102&lt;Bewertung_Stammdaten!B$40,Bewertung_Stammdaten!A$40,IF(AF102&lt;Bewertung_Stammdaten!B$41,Bewertung_Stammdaten!A$41,IF(AF102&lt;Bewertung_Stammdaten!B$42,Bewertung_Stammdaten!A$42,IF(AF102&lt;Bewertung_Stammdaten!B$43,Bewertung_Stammdaten!A$43,IF(AF102&lt;Bewertung_Stammdaten!B$44,Bewertung_Stammdaten!A$44,IF(AF102&lt;Bewertung_Stammdaten!B$45,Bewertung_Stammdaten!A$45,IF(AF102&lt;Bewertung_Stammdaten!B$46,Bewertung_Stammdaten!A$46,Bewertung_Stammdaten!A$47)))))))))</f>
        <v>#N/A</v>
      </c>
      <c r="AK102" s="32" t="e">
        <f>IF(AG102&lt;Bewertung_Stammdaten!F$38,Bewertung_Stammdaten!E$38,IF(AG102&lt;Bewertung_Stammdaten!F$39,Bewertung_Stammdaten!E$39,IF(AG102&lt;Bewertung_Stammdaten!F$40,Bewertung_Stammdaten!E$40,IF(AG102&lt;Bewertung_Stammdaten!F$41,Bewertung_Stammdaten!E$41,IF(AG102&lt;Bewertung_Stammdaten!F$42,Bewertung_Stammdaten!E$42,IF(AG102&lt;Bewertung_Stammdaten!F$43,Bewertung_Stammdaten!E$43,IF(AG102&lt;Bewertung_Stammdaten!F$44,Bewertung_Stammdaten!E$44,IF(AG102&lt;Bewertung_Stammdaten!F$45,Bewertung_Stammdaten!E$45,IF(AG102&lt;Bewertung_Stammdaten!F$46,Bewertung_Stammdaten!E$46,Bewertung_Stammdaten!E$47)))))))))</f>
        <v>#N/A</v>
      </c>
      <c r="AL102" s="32" t="e">
        <f>IF(AI102&lt;Bewertung_Stammdaten!J$38,Bewertung_Stammdaten!I$38,IF(AI102&lt;Bewertung_Stammdaten!J$39,Bewertung_Stammdaten!I$39,IF(AI102&lt;Bewertung_Stammdaten!J$40,Bewertung_Stammdaten!I$40,IF(AI102&lt;Bewertung_Stammdaten!J$41,Bewertung_Stammdaten!I$41,IF(AI102&lt;Bewertung_Stammdaten!J$42,Bewertung_Stammdaten!I$42,IF(AI102&lt;Bewertung_Stammdaten!J$43,Bewertung_Stammdaten!I$43,IF(AI102&lt;Bewertung_Stammdaten!J$44,Bewertung_Stammdaten!I$44,IF(AI102&lt;Bewertung_Stammdaten!J$45,Bewertung_Stammdaten!I$45,IF(AI102&lt;Bewertung_Stammdaten!J$46,Bewertung_Stammdaten!I$46,Bewertung_Stammdaten!I$47)))))))))</f>
        <v>#N/A</v>
      </c>
      <c r="AM102" s="43"/>
      <c r="AN102" s="14" t="e">
        <f>VLOOKUP(A102,Dividende_je_Aktie!A$3:AM$103,24,FALSE)</f>
        <v>#N/A</v>
      </c>
      <c r="AO102" s="14" t="e">
        <f>VLOOKUP(A102,Dividende_je_Aktie!A$3:AM$103,20,FALSE)</f>
        <v>#N/A</v>
      </c>
      <c r="AP102" s="12" t="e">
        <f>VLOOKUP(A102,Dividende_je_Aktie!A$3:AM$103,25,FALSE)</f>
        <v>#N/A</v>
      </c>
      <c r="AQ102" s="40" t="e">
        <f>VLOOKUP(A102,Dividende_je_Aktie!A$3:AM$103,39,FALSE)</f>
        <v>#N/A</v>
      </c>
      <c r="AR102" s="16" t="e">
        <f t="shared" ref="AR102" si="27">IF(AQ102&gt;0,AN102,AN102*(1+AQ102))</f>
        <v>#N/A</v>
      </c>
      <c r="AS102" s="12" t="e">
        <f t="shared" ref="AS102" si="28">IF(AO102&gt;0,(AR102/AO102)-1,-99.99999)</f>
        <v>#N/A</v>
      </c>
      <c r="AT102" s="32" t="e">
        <f>IF(AP102&lt;Bewertung_Stammdaten!B$51,Bewertung_Stammdaten!A$51,IF(AP102&lt;Bewertung_Stammdaten!B$52,Bewertung_Stammdaten!A$52,IF(AP102&lt;Bewertung_Stammdaten!B$53,Bewertung_Stammdaten!A$53,IF(AP102&lt;Bewertung_Stammdaten!B$54,Bewertung_Stammdaten!A$54,IF(AP102&lt;Bewertung_Stammdaten!B$55,Bewertung_Stammdaten!A$55,IF(AP102&lt;Bewertung_Stammdaten!B$56,Bewertung_Stammdaten!A$56,IF(AP102&lt;Bewertung_Stammdaten!B$57,Bewertung_Stammdaten!A$57,IF(AP102&lt;Bewertung_Stammdaten!B$58,Bewertung_Stammdaten!A$58,IF(AP102&lt;Bewertung_Stammdaten!B$59,Bewertung_Stammdaten!A$59,Bewertung_Stammdaten!A$60)))))))))</f>
        <v>#N/A</v>
      </c>
      <c r="AU102" s="32" t="e">
        <f>IF(AQ102&lt;Bewertung_Stammdaten!F$51,Bewertung_Stammdaten!E$51,IF(AQ102&lt;Bewertung_Stammdaten!F$52,Bewertung_Stammdaten!E$52,IF(AQ102&lt;Bewertung_Stammdaten!F$53,Bewertung_Stammdaten!E$53,IF(AQ102&lt;Bewertung_Stammdaten!F$54,Bewertung_Stammdaten!E$54,IF(AQ102&lt;Bewertung_Stammdaten!F$55,Bewertung_Stammdaten!E$55,IF(AQ102&lt;Bewertung_Stammdaten!F$56,Bewertung_Stammdaten!E$56,IF(AQ102&lt;Bewertung_Stammdaten!F$57,Bewertung_Stammdaten!E$57,IF(AQ102&lt;Bewertung_Stammdaten!F$58,Bewertung_Stammdaten!E$58,IF(AQ102&lt;Bewertung_Stammdaten!F$59,Bewertung_Stammdaten!E$59,Bewertung_Stammdaten!E$60)))))))))</f>
        <v>#N/A</v>
      </c>
      <c r="AV102" s="32" t="e">
        <f>IF(AS102&lt;Bewertung_Stammdaten!J$51,Bewertung_Stammdaten!I$51,IF(AS102&lt;Bewertung_Stammdaten!J$52,Bewertung_Stammdaten!I$52,IF(AS102&lt;Bewertung_Stammdaten!J$53,Bewertung_Stammdaten!I$53,IF(AS102&lt;Bewertung_Stammdaten!J$54,Bewertung_Stammdaten!I$54,IF(AS102&lt;Bewertung_Stammdaten!J$55,Bewertung_Stammdaten!I$55,IF(AS102&lt;Bewertung_Stammdaten!J$56,Bewertung_Stammdaten!I$56,IF(AS102&lt;Bewertung_Stammdaten!J$57,Bewertung_Stammdaten!I$57,IF(AS102&lt;Bewertung_Stammdaten!J$58,Bewertung_Stammdaten!I$58,IF(AS102&lt;Bewertung_Stammdaten!J$59,Bewertung_Stammdaten!I$59,Bewertung_Stammdaten!I$60)))))))))</f>
        <v>#N/A</v>
      </c>
      <c r="AW102" s="43"/>
      <c r="AX102" s="12" t="e">
        <f>VLOOKUP(A102,Dividendenrendite!A$3:R$103,17,FALSE)</f>
        <v>#N/A</v>
      </c>
      <c r="AY102" s="12" t="e">
        <f>VLOOKUP(A102,Dividendenrendite!A$3:R$103,16,FALSE)</f>
        <v>#N/A</v>
      </c>
      <c r="AZ102" s="12" t="e">
        <f>VLOOKUP(A102,Dividendenrendite!A$3:R$103,18,FALSE)</f>
        <v>#N/A</v>
      </c>
      <c r="BA102" s="32" t="e">
        <f>IF(AX102&lt;Bewertung_Stammdaten!B$64,Bewertung_Stammdaten!A$64,IF(AX102&lt;Bewertung_Stammdaten!B$65,Bewertung_Stammdaten!A$65,IF(AX102&lt;Bewertung_Stammdaten!B$66,Bewertung_Stammdaten!A$66,IF(AX102&lt;Bewertung_Stammdaten!B$67,Bewertung_Stammdaten!A$67,IF(AX102&lt;Bewertung_Stammdaten!B$68,Bewertung_Stammdaten!A$68,IF(AX102&lt;Bewertung_Stammdaten!B$69,Bewertung_Stammdaten!A$69,IF(AX102&lt;Bewertung_Stammdaten!B$70,Bewertung_Stammdaten!A$70,IF(AX102&lt;Bewertung_Stammdaten!B$71,Bewertung_Stammdaten!A$71,IF(AX102&lt;Bewertung_Stammdaten!B$72,Bewertung_Stammdaten!A$72,Bewertung_Stammdaten!A$73)))))))))</f>
        <v>#N/A</v>
      </c>
      <c r="BB102" s="32" t="e">
        <f>IF(AY102&lt;Bewertung_Stammdaten!F$64,Bewertung_Stammdaten!E$64,IF(AY102&lt;Bewertung_Stammdaten!F$65,Bewertung_Stammdaten!E$65,IF(AY102&lt;Bewertung_Stammdaten!F$66,Bewertung_Stammdaten!E$66,IF(AY102&lt;Bewertung_Stammdaten!F$67,Bewertung_Stammdaten!E$67,IF(AY102&lt;Bewertung_Stammdaten!F$68,Bewertung_Stammdaten!E$68,IF(AY102&lt;Bewertung_Stammdaten!F$69,Bewertung_Stammdaten!E$69,IF(AY102&lt;Bewertung_Stammdaten!F$70,Bewertung_Stammdaten!E$70,IF(AY102&lt;Bewertung_Stammdaten!F$71,Bewertung_Stammdaten!E$71,IF(AY102&lt;Bewertung_Stammdaten!F$72,Bewertung_Stammdaten!E$72,Bewertung_Stammdaten!E$73)))))))))</f>
        <v>#N/A</v>
      </c>
      <c r="BC102" s="32" t="e">
        <f>IF(AZ102&lt;Bewertung_Stammdaten!J$64,Bewertung_Stammdaten!I$64,IF(AZ102&lt;Bewertung_Stammdaten!J$65,Bewertung_Stammdaten!I$65,IF(AZ102&lt;Bewertung_Stammdaten!J$66,Bewertung_Stammdaten!I$66,IF(AZ102&lt;Bewertung_Stammdaten!J$67,Bewertung_Stammdaten!I$67,IF(AZ102&lt;Bewertung_Stammdaten!J$68,Bewertung_Stammdaten!I$68,IF(AZ102&lt;Bewertung_Stammdaten!J$69,Bewertung_Stammdaten!I$69,IF(AZ102&lt;Bewertung_Stammdaten!J$70,Bewertung_Stammdaten!I$70,IF(AZ102&lt;Bewertung_Stammdaten!J$71,Bewertung_Stammdaten!I$71,IF(AZ102&lt;Bewertung_Stammdaten!J$72,Bewertung_Stammdaten!I$72,Bewertung_Stammdaten!I$73)))))))))</f>
        <v>#N/A</v>
      </c>
      <c r="BD102" s="43"/>
      <c r="BE102" s="12" t="e">
        <f>VLOOKUP(A102,Aktien_im_Umlauf_splitbereinigt!A$3:Z$103,26,FALSE)</f>
        <v>#N/A</v>
      </c>
      <c r="BF102" s="12" t="e">
        <f>VLOOKUP(A102,Aktien_im_Umlauf_splitbereinigt!A$3:Y$103,24,FALSE)</f>
        <v>#N/A</v>
      </c>
      <c r="BG102" s="12" t="e">
        <f>VLOOKUP(A102,Aktien_im_Umlauf_splitbereinigt!A$3:Y$103,25,FALSE)</f>
        <v>#N/A</v>
      </c>
      <c r="BH102" s="41" t="e">
        <f>IF(BE102&lt;Bewertung_Stammdaten!B$77,Bewertung_Stammdaten!A$77,IF(BE102&lt;Bewertung_Stammdaten!B$78,Bewertung_Stammdaten!A$78,IF(BE102&lt;Bewertung_Stammdaten!B$79,Bewertung_Stammdaten!A$79,IF(BE102&lt;Bewertung_Stammdaten!B$80,Bewertung_Stammdaten!A$80,IF(BE102&lt;Bewertung_Stammdaten!B$81,Bewertung_Stammdaten!A$81,IF(BE102&lt;Bewertung_Stammdaten!B$82,Bewertung_Stammdaten!A$82,IF(BE102&lt;Bewertung_Stammdaten!B$83,Bewertung_Stammdaten!A$83,IF(BE102&lt;Bewertung_Stammdaten!B$84,Bewertung_Stammdaten!A$84,IF(BE102&lt;Bewertung_Stammdaten!B$85,Bewertung_Stammdaten!A$85,Bewertung_Stammdaten!A$86)))))))))</f>
        <v>#N/A</v>
      </c>
      <c r="BI102" s="41" t="e">
        <f>IF(BF102&lt;Bewertung_Stammdaten!F$77,Bewertung_Stammdaten!E$77,IF(BF102&lt;Bewertung_Stammdaten!F$78,Bewertung_Stammdaten!E$78,IF(BF102&lt;Bewertung_Stammdaten!F$79,Bewertung_Stammdaten!E$79,IF(BF102&lt;Bewertung_Stammdaten!F$80,Bewertung_Stammdaten!E$80,IF(BF102&lt;Bewertung_Stammdaten!F$81,Bewertung_Stammdaten!E$81,IF(BF102&lt;Bewertung_Stammdaten!F$82,Bewertung_Stammdaten!E$82,IF(BF102&lt;Bewertung_Stammdaten!F$83,Bewertung_Stammdaten!E$83,IF(BF102&lt;Bewertung_Stammdaten!F$84,Bewertung_Stammdaten!E$84,IF(BF102&lt;Bewertung_Stammdaten!F$85,Bewertung_Stammdaten!E$85,Bewertung_Stammdaten!E$86)))))))))</f>
        <v>#N/A</v>
      </c>
      <c r="BJ102" s="41" t="e">
        <f>IF(BG102&lt;Bewertung_Stammdaten!J$77,Bewertung_Stammdaten!I$77,IF(BG102&lt;Bewertung_Stammdaten!J$78,Bewertung_Stammdaten!I$78,IF(BG102&lt;Bewertung_Stammdaten!J$79,Bewertung_Stammdaten!I$79,IF(BG102&lt;Bewertung_Stammdaten!J$80,Bewertung_Stammdaten!I$80,IF(BG102&lt;Bewertung_Stammdaten!J$81,Bewertung_Stammdaten!I$81,IF(BG102&lt;Bewertung_Stammdaten!J$82,Bewertung_Stammdaten!I$82,IF(BG102&lt;Bewertung_Stammdaten!J$83,Bewertung_Stammdaten!I$83,IF(BG102&lt;Bewertung_Stammdaten!J$84,Bewertung_Stammdaten!I$84,IF(BG102&lt;Bewertung_Stammdaten!J$85,Bewertung_Stammdaten!I$85,Bewertung_Stammdaten!I$86)))))))))</f>
        <v>#N/A</v>
      </c>
      <c r="BK102" s="43"/>
      <c r="BL102" s="12" t="e">
        <f>VLOOKUP(A102,Ausschüttungsquote!A$3:X$103,23,FALSE)</f>
        <v>#N/A</v>
      </c>
      <c r="BM102" s="12" t="e">
        <f>VLOOKUP(A102,Ausschüttungsquote!A$3:X$103,19,FALSE)</f>
        <v>#N/A</v>
      </c>
      <c r="BN102" s="12" t="e">
        <f>VLOOKUP(A102,Ausschüttungsquote!A$3:X$103,24,FALSE)</f>
        <v>#N/A</v>
      </c>
      <c r="BO102" s="32" t="e">
        <f>IF(BL102&lt;Bewertung_Stammdaten!B$90,Bewertung_Stammdaten!A$90,IF(BL102&lt;Bewertung_Stammdaten!B$91,Bewertung_Stammdaten!A$91,IF(BL102&lt;Bewertung_Stammdaten!B$92,Bewertung_Stammdaten!A$92,IF(BL102&lt;Bewertung_Stammdaten!B$93,Bewertung_Stammdaten!A$93,IF(BL102&lt;Bewertung_Stammdaten!B$94,Bewertung_Stammdaten!A$94,IF(BL102&lt;Bewertung_Stammdaten!B$95,Bewertung_Stammdaten!A$95,IF(BL102&lt;Bewertung_Stammdaten!B$96,Bewertung_Stammdaten!A$96,IF(BL102&lt;Bewertung_Stammdaten!B$97,Bewertung_Stammdaten!A$97,IF(BL102&lt;Bewertung_Stammdaten!B$98,Bewertung_Stammdaten!A$98,Bewertung_Stammdaten!A$99)))))))))</f>
        <v>#N/A</v>
      </c>
      <c r="BP102" s="41" t="e">
        <f>IF(BM102&lt;Bewertung_Stammdaten!F$90,Bewertung_Stammdaten!E$90,IF(BM102&lt;Bewertung_Stammdaten!F$91,Bewertung_Stammdaten!E$91,IF(BM102&lt;Bewertung_Stammdaten!F$92,Bewertung_Stammdaten!E$92,IF(BM102&lt;Bewertung_Stammdaten!F$93,Bewertung_Stammdaten!E$93,IF(BM102&lt;Bewertung_Stammdaten!F$94,Bewertung_Stammdaten!E$94,IF(BM102&lt;Bewertung_Stammdaten!F$95,Bewertung_Stammdaten!E$95,IF(BM102&lt;Bewertung_Stammdaten!F$96,Bewertung_Stammdaten!E$96,IF(BM102&lt;Bewertung_Stammdaten!F$97,Bewertung_Stammdaten!E$97,IF(BM102&lt;Bewertung_Stammdaten!F$98,Bewertung_Stammdaten!E$98,Bewertung_Stammdaten!E$99)))))))))</f>
        <v>#N/A</v>
      </c>
      <c r="BQ102" s="32" t="e">
        <f>IF(BN102&lt;Bewertung_Stammdaten!J$90,Bewertung_Stammdaten!I$90,IF(BN102&lt;Bewertung_Stammdaten!J$91,Bewertung_Stammdaten!I$91,IF(BN102&lt;Bewertung_Stammdaten!J$92,Bewertung_Stammdaten!I$92,IF(BN102&lt;Bewertung_Stammdaten!J$93,Bewertung_Stammdaten!I$93,IF(BN102&lt;Bewertung_Stammdaten!J$94,Bewertung_Stammdaten!I$94,IF(BN102&lt;Bewertung_Stammdaten!J$95,Bewertung_Stammdaten!I$95,IF(BN102&lt;Bewertung_Stammdaten!J$96,Bewertung_Stammdaten!I$96,IF(BN102&lt;Bewertung_Stammdaten!J$97,Bewertung_Stammdaten!I$97,IF(BN102&lt;Bewertung_Stammdaten!J$98,Bewertung_Stammdaten!I$98,Bewertung_Stammdaten!I$99)))))))))</f>
        <v>#N/A</v>
      </c>
    </row>
  </sheetData>
  <autoFilter ref="A2:BQ2">
    <sortState ref="A3:BJ67">
      <sortCondition ref="B2"/>
    </sortState>
  </autoFilter>
  <mergeCells count="7">
    <mergeCell ref="BO1:BQ1"/>
    <mergeCell ref="Q1:R1"/>
    <mergeCell ref="Z1:AB1"/>
    <mergeCell ref="AJ1:AL1"/>
    <mergeCell ref="BA1:BC1"/>
    <mergeCell ref="BH1:BJ1"/>
    <mergeCell ref="AT1:AV1"/>
  </mergeCells>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01" operator="between" id="{63C8166B-FC08-4CD5-B8A8-1C89B662890E}">
            <xm:f>Bewertung_Stammdaten!$A$7</xm:f>
            <xm:f>"6Bewertung_Stammdaten!$B$7 "</xm:f>
            <x14:dxf>
              <fill>
                <patternFill>
                  <bgColor rgb="FF00B050"/>
                </patternFill>
              </fill>
            </x14:dxf>
          </x14:cfRule>
          <x14:cfRule type="cellIs" priority="102" operator="between" id="{38F93A9E-F28E-496C-B499-CF4007FB1E34}">
            <xm:f>Bewertung_Stammdaten!$A$6</xm:f>
            <xm:f>"67 Bewertung_Stammdaten!$B$6"</xm:f>
            <x14:dxf>
              <fill>
                <patternFill>
                  <bgColor rgb="FF92D050"/>
                </patternFill>
              </fill>
            </x14:dxf>
          </x14:cfRule>
          <x14:cfRule type="cellIs" priority="103" operator="between" id="{0411EFE1-5851-481E-A5D4-7DD10713CBBF}">
            <xm:f>Bewertung_Stammdaten!$A$5</xm:f>
            <xm:f>"67 Bewertung_Stammdaten!$B$5"</xm:f>
            <x14:dxf>
              <fill>
                <patternFill>
                  <bgColor rgb="FFFFFF00"/>
                </patternFill>
              </fill>
            </x14:dxf>
          </x14:cfRule>
          <x14:cfRule type="cellIs" priority="104" operator="between" id="{2E20D4C0-1146-4971-978E-090611A1550F}">
            <xm:f>Bewertung_Stammdaten!$A$4</xm:f>
            <xm:f>"67 Bewertung_Stammdaten!$B$4"</xm:f>
            <x14:dxf>
              <fill>
                <patternFill>
                  <bgColor rgb="FFFFC000"/>
                </patternFill>
              </fill>
            </x14:dxf>
          </x14:cfRule>
          <x14:cfRule type="cellIs" priority="105" operator="between" id="{FF55B86A-F987-491E-9E01-784A52416E54}">
            <xm:f>Bewertung_Stammdaten!$A$3</xm:f>
            <xm:f>Bewertung_Stammdaten!$B$3</xm:f>
            <x14:dxf>
              <fill>
                <patternFill>
                  <bgColor rgb="FFFF0000"/>
                </patternFill>
              </fill>
            </x14:dxf>
          </x14:cfRule>
          <xm:sqref>D3:D102</xm:sqref>
        </x14:conditionalFormatting>
        <x14:conditionalFormatting xmlns:xm="http://schemas.microsoft.com/office/excel/2006/main">
          <x14:cfRule type="cellIs" priority="106" operator="between" id="{6249F996-33D3-4149-8D87-D5130F4D4AEC}">
            <xm:f>Bewertung_Stammdaten!$A$21</xm:f>
            <xm:f>Bewertung_Stammdaten!$A$20</xm:f>
            <x14:dxf>
              <fill>
                <patternFill>
                  <bgColor rgb="FFFF0000"/>
                </patternFill>
              </fill>
            </x14:dxf>
          </x14:cfRule>
          <x14:cfRule type="cellIs" priority="107" operator="between" id="{811E650F-7585-49A0-BEDE-AB313DAE7451}">
            <xm:f>Bewertung_Stammdaten!$A$19</xm:f>
            <xm:f>Bewertung_Stammdaten!$A$18</xm:f>
            <x14:dxf>
              <fill>
                <patternFill>
                  <bgColor rgb="FFFFC000"/>
                </patternFill>
              </fill>
            </x14:dxf>
          </x14:cfRule>
          <x14:cfRule type="cellIs" priority="108" operator="between" id="{4E9DB2B1-A882-4813-93F3-5F6ACEB79A5C}">
            <xm:f>Bewertung_Stammdaten!$A$17</xm:f>
            <xm:f>Bewertung_Stammdaten!$A$16</xm:f>
            <x14:dxf>
              <fill>
                <patternFill>
                  <bgColor rgb="FFFFFF00"/>
                </patternFill>
              </fill>
            </x14:dxf>
          </x14:cfRule>
          <x14:cfRule type="cellIs" priority="109" operator="between" id="{39464DE9-00F1-45EC-BCD8-9FA1E98A89F9}">
            <xm:f>Bewertung_Stammdaten!$A$15</xm:f>
            <xm:f>Bewertung_Stammdaten!$A$14</xm:f>
            <x14:dxf>
              <fill>
                <patternFill>
                  <bgColor rgb="FF92D050"/>
                </patternFill>
              </fill>
            </x14:dxf>
          </x14:cfRule>
          <x14:cfRule type="cellIs" priority="110" operator="between" id="{6274F28E-8965-448D-9EBA-0148C79CA3E6}">
            <xm:f>Bewertung_Stammdaten!$A$13</xm:f>
            <xm:f>Bewertung_Stammdaten!$A$12</xm:f>
            <x14:dxf>
              <fill>
                <patternFill>
                  <bgColor rgb="FF00B050"/>
                </patternFill>
              </fill>
            </x14:dxf>
          </x14:cfRule>
          <xm:sqref>Q3:Q102</xm:sqref>
        </x14:conditionalFormatting>
        <x14:conditionalFormatting xmlns:xm="http://schemas.microsoft.com/office/excel/2006/main">
          <x14:cfRule type="cellIs" priority="111" operator="between" id="{10002E2C-394C-42E1-850E-2E078FB9B1D5}">
            <xm:f>Bewertung_Stammdaten!$E$21</xm:f>
            <xm:f>Bewertung_Stammdaten!$E$20</xm:f>
            <x14:dxf>
              <fill>
                <patternFill>
                  <bgColor rgb="FFFF0000"/>
                </patternFill>
              </fill>
            </x14:dxf>
          </x14:cfRule>
          <x14:cfRule type="cellIs" priority="112" operator="between" id="{9319E1C4-C1D9-4B38-B2E9-DE276FFB1C32}">
            <xm:f>Bewertung_Stammdaten!$E$19</xm:f>
            <xm:f>Bewertung_Stammdaten!$E$18</xm:f>
            <x14:dxf>
              <fill>
                <patternFill>
                  <bgColor rgb="FFFFC000"/>
                </patternFill>
              </fill>
            </x14:dxf>
          </x14:cfRule>
          <x14:cfRule type="cellIs" priority="113" operator="between" id="{3207B45D-C773-4BC9-9503-35A7CA198346}">
            <xm:f>Bewertung_Stammdaten!$E$17</xm:f>
            <xm:f>Bewertung_Stammdaten!$E$16</xm:f>
            <x14:dxf>
              <fill>
                <patternFill>
                  <bgColor rgb="FFFFFF00"/>
                </patternFill>
              </fill>
            </x14:dxf>
          </x14:cfRule>
          <x14:cfRule type="cellIs" priority="114" operator="between" id="{3290EE89-EAC2-433A-95A0-59D2E6730CF4}">
            <xm:f>Bewertung_Stammdaten!$E$15</xm:f>
            <xm:f>Bewertung_Stammdaten!$E$14</xm:f>
            <x14:dxf>
              <fill>
                <patternFill>
                  <bgColor rgb="FF92D050"/>
                </patternFill>
              </fill>
            </x14:dxf>
          </x14:cfRule>
          <x14:cfRule type="cellIs" priority="115" operator="between" id="{C3DAE2D6-7D97-4E3B-95CA-65F7DC0197EA}">
            <xm:f>Bewertung_Stammdaten!$E$13</xm:f>
            <xm:f>Bewertung_Stammdaten!$E$12</xm:f>
            <x14:dxf>
              <fill>
                <patternFill>
                  <bgColor rgb="FF00B050"/>
                </patternFill>
              </fill>
            </x14:dxf>
          </x14:cfRule>
          <xm:sqref>R3:R102</xm:sqref>
        </x14:conditionalFormatting>
        <x14:conditionalFormatting xmlns:xm="http://schemas.microsoft.com/office/excel/2006/main">
          <x14:cfRule type="cellIs" priority="116" operator="between" id="{3F98EAF3-FDD8-46D2-A390-96B1C78F66E3}">
            <xm:f>Bewertung_Stammdaten!$A$33</xm:f>
            <xm:f>Bewertung_Stammdaten!$A$34</xm:f>
            <x14:dxf>
              <fill>
                <patternFill>
                  <bgColor rgb="FF00B050"/>
                </patternFill>
              </fill>
            </x14:dxf>
          </x14:cfRule>
          <x14:cfRule type="cellIs" priority="117" operator="between" id="{0D639024-1C66-4E16-8733-A27E894490BE}">
            <xm:f>Bewertung_Stammdaten!$A$31</xm:f>
            <xm:f>Bewertung_Stammdaten!$A$32</xm:f>
            <x14:dxf>
              <fill>
                <patternFill>
                  <bgColor rgb="FF92D050"/>
                </patternFill>
              </fill>
            </x14:dxf>
          </x14:cfRule>
          <x14:cfRule type="cellIs" priority="118" operator="between" id="{6B11322E-32AD-4C2F-9A41-CA83B9B8B1CC}">
            <xm:f>Bewertung_Stammdaten!$A$29</xm:f>
            <xm:f>Bewertung_Stammdaten!$A$30</xm:f>
            <x14:dxf>
              <fill>
                <patternFill>
                  <bgColor rgb="FFFFFF00"/>
                </patternFill>
              </fill>
            </x14:dxf>
          </x14:cfRule>
          <x14:cfRule type="cellIs" priority="119" operator="between" id="{DDFA5510-7986-4D6E-84AA-C824C1C94832}">
            <xm:f>Bewertung_Stammdaten!$A$27</xm:f>
            <xm:f>Bewertung_Stammdaten!$A$28</xm:f>
            <x14:dxf>
              <fill>
                <patternFill>
                  <bgColor rgb="FFFFC000"/>
                </patternFill>
              </fill>
            </x14:dxf>
          </x14:cfRule>
          <x14:cfRule type="cellIs" priority="120" operator="between" id="{870DE190-6EB5-4E5B-BA5C-6120049962A8}">
            <xm:f>Bewertung_Stammdaten!$A$25</xm:f>
            <xm:f>Bewertung_Stammdaten!$A$26</xm:f>
            <x14:dxf>
              <fill>
                <patternFill>
                  <bgColor rgb="FFFF0000"/>
                </patternFill>
              </fill>
            </x14:dxf>
          </x14:cfRule>
          <xm:sqref>Z3:Z102</xm:sqref>
        </x14:conditionalFormatting>
        <x14:conditionalFormatting xmlns:xm="http://schemas.microsoft.com/office/excel/2006/main">
          <x14:cfRule type="cellIs" priority="121" operator="between" id="{1A7BCB38-44A3-475E-BA50-9305C98BC1D5}">
            <xm:f>Bewertung_Stammdaten!$E$33</xm:f>
            <xm:f>Bewertung_Stammdaten!$E$34</xm:f>
            <x14:dxf>
              <fill>
                <patternFill>
                  <bgColor rgb="FF00B050"/>
                </patternFill>
              </fill>
            </x14:dxf>
          </x14:cfRule>
          <x14:cfRule type="cellIs" priority="122" operator="between" id="{AB15FA17-7315-4B78-A77C-52FE0F358DC4}">
            <xm:f>Bewertung_Stammdaten!$E$31</xm:f>
            <xm:f>Bewertung_Stammdaten!$E$32</xm:f>
            <x14:dxf>
              <fill>
                <patternFill>
                  <bgColor rgb="FF92D050"/>
                </patternFill>
              </fill>
            </x14:dxf>
          </x14:cfRule>
          <x14:cfRule type="cellIs" priority="123" operator="between" id="{92D1AA71-4E29-4CA6-A760-E31F051F21A8}">
            <xm:f>Bewertung_Stammdaten!$E$29</xm:f>
            <xm:f>Bewertung_Stammdaten!$E$30</xm:f>
            <x14:dxf>
              <fill>
                <patternFill>
                  <bgColor rgb="FFFFFF00"/>
                </patternFill>
              </fill>
            </x14:dxf>
          </x14:cfRule>
          <x14:cfRule type="cellIs" priority="124" operator="between" id="{E07C66A7-E7AC-41F9-9A3A-28D5E316CB15}">
            <xm:f>Bewertung_Stammdaten!$E$27</xm:f>
            <xm:f>Bewertung_Stammdaten!$E$28</xm:f>
            <x14:dxf>
              <fill>
                <patternFill>
                  <bgColor rgb="FFFFC000"/>
                </patternFill>
              </fill>
            </x14:dxf>
          </x14:cfRule>
          <x14:cfRule type="cellIs" priority="125" operator="between" id="{5AD0F363-A209-406F-A23A-19C766214704}">
            <xm:f>Bewertung_Stammdaten!$E$25</xm:f>
            <xm:f>Bewertung_Stammdaten!$E$26</xm:f>
            <x14:dxf>
              <fill>
                <patternFill>
                  <bgColor rgb="FFFF0000"/>
                </patternFill>
              </fill>
            </x14:dxf>
          </x14:cfRule>
          <xm:sqref>AA3:AA102</xm:sqref>
        </x14:conditionalFormatting>
        <x14:conditionalFormatting xmlns:xm="http://schemas.microsoft.com/office/excel/2006/main">
          <x14:cfRule type="cellIs" priority="131" operator="between" id="{9CEEA2A0-6B41-47E3-84BA-8D4B87B67EB1}">
            <xm:f>Bewertung_Stammdaten!$I$33</xm:f>
            <xm:f>Bewertung_Stammdaten!$I$34</xm:f>
            <x14:dxf>
              <fill>
                <patternFill>
                  <bgColor rgb="FF00B050"/>
                </patternFill>
              </fill>
            </x14:dxf>
          </x14:cfRule>
          <x14:cfRule type="cellIs" priority="132" operator="between" id="{08BED081-97FF-4765-ABD4-C5DECFA774C5}">
            <xm:f>Bewertung_Stammdaten!$I$31</xm:f>
            <xm:f>Bewertung_Stammdaten!$I$32</xm:f>
            <x14:dxf>
              <fill>
                <patternFill>
                  <bgColor rgb="FF92D050"/>
                </patternFill>
              </fill>
            </x14:dxf>
          </x14:cfRule>
          <x14:cfRule type="cellIs" priority="133" operator="between" id="{A4B2789F-FC41-4A09-A40D-9C96B1BB6C1B}">
            <xm:f>Bewertung_Stammdaten!$I$29</xm:f>
            <xm:f>Bewertung_Stammdaten!$I$30</xm:f>
            <x14:dxf>
              <fill>
                <patternFill>
                  <bgColor rgb="FFFFFF00"/>
                </patternFill>
              </fill>
            </x14:dxf>
          </x14:cfRule>
          <x14:cfRule type="cellIs" priority="134" operator="between" id="{85EF9746-1259-4709-96DE-7D3900B1AB12}">
            <xm:f>Bewertung_Stammdaten!$I$27</xm:f>
            <xm:f>Bewertung_Stammdaten!$I$28</xm:f>
            <x14:dxf>
              <fill>
                <patternFill>
                  <bgColor rgb="FFFFC000"/>
                </patternFill>
              </fill>
            </x14:dxf>
          </x14:cfRule>
          <x14:cfRule type="cellIs" priority="135" operator="between" id="{DE8B56EE-1936-47D0-A689-FBA5A5EB1920}">
            <xm:f>Bewertung_Stammdaten!$I$25</xm:f>
            <xm:f>Bewertung_Stammdaten!$I$26</xm:f>
            <x14:dxf>
              <fill>
                <patternFill>
                  <bgColor rgb="FFFF0000"/>
                </patternFill>
              </fill>
            </x14:dxf>
          </x14:cfRule>
          <xm:sqref>AB3:AB102</xm:sqref>
        </x14:conditionalFormatting>
        <x14:conditionalFormatting xmlns:xm="http://schemas.microsoft.com/office/excel/2006/main">
          <x14:cfRule type="cellIs" priority="136" operator="between" id="{83343DFF-6FC7-42A8-8B0A-8F20D9EBD9B1}">
            <xm:f>Bewertung_Stammdaten!$A$46</xm:f>
            <xm:f>Bewertung_Stammdaten!$A$47</xm:f>
            <x14:dxf>
              <fill>
                <patternFill>
                  <bgColor rgb="FF00B050"/>
                </patternFill>
              </fill>
            </x14:dxf>
          </x14:cfRule>
          <x14:cfRule type="cellIs" priority="137" operator="between" id="{474FB891-9AF7-486F-8AE0-6CE6EB33929C}">
            <xm:f>Bewertung_Stammdaten!$A$44</xm:f>
            <xm:f>Bewertung_Stammdaten!$A$45</xm:f>
            <x14:dxf>
              <fill>
                <patternFill>
                  <bgColor rgb="FF92D050"/>
                </patternFill>
              </fill>
            </x14:dxf>
          </x14:cfRule>
          <x14:cfRule type="cellIs" priority="138" operator="between" id="{4C6B6BAA-3624-4511-A9D7-F7BDA4E9F1A3}">
            <xm:f>Bewertung_Stammdaten!$A$42</xm:f>
            <xm:f>Bewertung_Stammdaten!$A$43</xm:f>
            <x14:dxf>
              <fill>
                <patternFill>
                  <bgColor rgb="FFFFFF00"/>
                </patternFill>
              </fill>
            </x14:dxf>
          </x14:cfRule>
          <x14:cfRule type="cellIs" priority="139" operator="between" id="{9F6EEC9D-D707-45FD-95AE-49ED2C0E1523}">
            <xm:f>Bewertung_Stammdaten!$A$40</xm:f>
            <xm:f>Bewertung_Stammdaten!$A$41</xm:f>
            <x14:dxf>
              <fill>
                <patternFill>
                  <bgColor rgb="FFFFC000"/>
                </patternFill>
              </fill>
            </x14:dxf>
          </x14:cfRule>
          <x14:cfRule type="cellIs" priority="140" operator="between" id="{6B06BA73-AEEA-488B-A114-E7A6E446476C}">
            <xm:f>Bewertung_Stammdaten!$A$38</xm:f>
            <xm:f>Bewertung_Stammdaten!$A$39</xm:f>
            <x14:dxf>
              <fill>
                <patternFill>
                  <bgColor rgb="FFFF0000"/>
                </patternFill>
              </fill>
            </x14:dxf>
          </x14:cfRule>
          <xm:sqref>AJ3:AJ102</xm:sqref>
        </x14:conditionalFormatting>
        <x14:conditionalFormatting xmlns:xm="http://schemas.microsoft.com/office/excel/2006/main">
          <x14:cfRule type="cellIs" priority="141" operator="between" id="{2141D490-A578-4F00-B776-B176904B0AAA}">
            <xm:f>Bewertung_Stammdaten!$E$46</xm:f>
            <xm:f>Bewertung_Stammdaten!$E$47</xm:f>
            <x14:dxf>
              <fill>
                <patternFill>
                  <bgColor rgb="FF00B050"/>
                </patternFill>
              </fill>
            </x14:dxf>
          </x14:cfRule>
          <x14:cfRule type="cellIs" priority="142" operator="between" id="{2A51EBF7-F3A9-4851-90E4-FFFF34A4F66F}">
            <xm:f>Bewertung_Stammdaten!$E$44</xm:f>
            <xm:f>Bewertung_Stammdaten!$E$45</xm:f>
            <x14:dxf>
              <fill>
                <patternFill>
                  <bgColor rgb="FF92D050"/>
                </patternFill>
              </fill>
            </x14:dxf>
          </x14:cfRule>
          <x14:cfRule type="cellIs" priority="143" operator="between" id="{82F3751B-BA70-4503-AD1D-A341C1BB61AF}">
            <xm:f>Bewertung_Stammdaten!$E$42</xm:f>
            <xm:f>Bewertung_Stammdaten!$E$43</xm:f>
            <x14:dxf>
              <fill>
                <patternFill>
                  <bgColor rgb="FFFFFF00"/>
                </patternFill>
              </fill>
            </x14:dxf>
          </x14:cfRule>
          <x14:cfRule type="cellIs" priority="144" operator="between" id="{50487AAE-7F5B-4F6E-A6B2-859F0E316BB8}">
            <xm:f>Bewertung_Stammdaten!$E$40</xm:f>
            <xm:f>Bewertung_Stammdaten!$E$41</xm:f>
            <x14:dxf>
              <fill>
                <patternFill>
                  <bgColor rgb="FFFFC000"/>
                </patternFill>
              </fill>
            </x14:dxf>
          </x14:cfRule>
          <x14:cfRule type="cellIs" priority="145" operator="between" id="{7A478B27-05F2-40F5-8404-DDA0FC36B3FF}">
            <xm:f>Bewertung_Stammdaten!$E$38</xm:f>
            <xm:f>Bewertung_Stammdaten!$E$39</xm:f>
            <x14:dxf>
              <fill>
                <patternFill>
                  <bgColor rgb="FFFF0000"/>
                </patternFill>
              </fill>
            </x14:dxf>
          </x14:cfRule>
          <xm:sqref>AK3:AK102</xm:sqref>
        </x14:conditionalFormatting>
        <x14:conditionalFormatting xmlns:xm="http://schemas.microsoft.com/office/excel/2006/main">
          <x14:cfRule type="cellIs" priority="146" operator="between" id="{A6469B85-B972-4661-912C-EBCFD704B86E}">
            <xm:f>Bewertung_Stammdaten!$I$46</xm:f>
            <xm:f>Bewertung_Stammdaten!$I$47</xm:f>
            <x14:dxf>
              <fill>
                <patternFill>
                  <bgColor rgb="FF00B050"/>
                </patternFill>
              </fill>
            </x14:dxf>
          </x14:cfRule>
          <x14:cfRule type="cellIs" priority="147" operator="between" id="{F3EFB700-E1D8-4381-85FE-8F1264ABFA91}">
            <xm:f>Bewertung_Stammdaten!$I$44</xm:f>
            <xm:f>Bewertung_Stammdaten!$I$45</xm:f>
            <x14:dxf>
              <fill>
                <patternFill>
                  <bgColor rgb="FF92D050"/>
                </patternFill>
              </fill>
            </x14:dxf>
          </x14:cfRule>
          <x14:cfRule type="cellIs" priority="148" operator="between" id="{A20AFAB3-D9B2-4DD7-8005-45DE816BE0F3}">
            <xm:f>Bewertung_Stammdaten!$I$42</xm:f>
            <xm:f>Bewertung_Stammdaten!$I$43</xm:f>
            <x14:dxf>
              <fill>
                <patternFill>
                  <bgColor rgb="FFFFFF00"/>
                </patternFill>
              </fill>
            </x14:dxf>
          </x14:cfRule>
          <x14:cfRule type="cellIs" priority="149" operator="between" id="{56748A48-4C48-4786-9F33-1E056EFBE264}">
            <xm:f>Bewertung_Stammdaten!$I$40</xm:f>
            <xm:f>Bewertung_Stammdaten!$I$41</xm:f>
            <x14:dxf>
              <fill>
                <patternFill>
                  <bgColor rgb="FFFFC000"/>
                </patternFill>
              </fill>
            </x14:dxf>
          </x14:cfRule>
          <x14:cfRule type="cellIs" priority="150" operator="between" id="{1C4786A2-CD5F-4E88-9320-C57228BB3192}">
            <xm:f>Bewertung_Stammdaten!$I$38</xm:f>
            <xm:f>Bewertung_Stammdaten!$I$39</xm:f>
            <x14:dxf>
              <fill>
                <patternFill>
                  <bgColor rgb="FFFF0000"/>
                </patternFill>
              </fill>
            </x14:dxf>
          </x14:cfRule>
          <xm:sqref>AL3:AL102</xm:sqref>
        </x14:conditionalFormatting>
        <x14:conditionalFormatting xmlns:xm="http://schemas.microsoft.com/office/excel/2006/main">
          <x14:cfRule type="cellIs" priority="151" operator="between" id="{7EB8D8BF-A86C-4688-8C93-9791DA733EF2}">
            <xm:f>Bewertung_Stammdaten!$A$59</xm:f>
            <xm:f>Bewertung_Stammdaten!$A$60</xm:f>
            <x14:dxf>
              <fill>
                <patternFill>
                  <bgColor rgb="FF00B050"/>
                </patternFill>
              </fill>
            </x14:dxf>
          </x14:cfRule>
          <x14:cfRule type="cellIs" priority="152" operator="between" id="{A9786820-5000-42AF-B1FA-8A696A1D13BC}">
            <xm:f>Bewertung_Stammdaten!$A$57</xm:f>
            <xm:f>Bewertung_Stammdaten!$A$58</xm:f>
            <x14:dxf>
              <fill>
                <patternFill>
                  <bgColor rgb="FF92D050"/>
                </patternFill>
              </fill>
            </x14:dxf>
          </x14:cfRule>
          <x14:cfRule type="cellIs" priority="153" operator="between" id="{80FCD9ED-97B1-4C52-BF16-3161FE64F34D}">
            <xm:f>Bewertung_Stammdaten!$A$55</xm:f>
            <xm:f>Bewertung_Stammdaten!$A$56</xm:f>
            <x14:dxf>
              <fill>
                <patternFill>
                  <bgColor rgb="FFFFFF00"/>
                </patternFill>
              </fill>
            </x14:dxf>
          </x14:cfRule>
          <x14:cfRule type="cellIs" priority="154" operator="between" id="{F0E3AD58-55D9-4C9B-B654-D9A0F4FF7298}">
            <xm:f>Bewertung_Stammdaten!$A$53</xm:f>
            <xm:f>Bewertung_Stammdaten!$A$54</xm:f>
            <x14:dxf>
              <fill>
                <patternFill>
                  <bgColor rgb="FFFFC000"/>
                </patternFill>
              </fill>
            </x14:dxf>
          </x14:cfRule>
          <x14:cfRule type="cellIs" priority="155" operator="between" id="{C8F0A4D9-C0E0-40D0-BAF4-216EBB26933B}">
            <xm:f>Bewertung_Stammdaten!$A$51</xm:f>
            <xm:f>Bewertung_Stammdaten!$A$52</xm:f>
            <x14:dxf>
              <fill>
                <patternFill>
                  <bgColor rgb="FFFF0000"/>
                </patternFill>
              </fill>
            </x14:dxf>
          </x14:cfRule>
          <xm:sqref>AT3:AT102</xm:sqref>
        </x14:conditionalFormatting>
        <x14:conditionalFormatting xmlns:xm="http://schemas.microsoft.com/office/excel/2006/main">
          <x14:cfRule type="cellIs" priority="156" operator="between" id="{83668E61-3B59-48CB-8C23-AC3A08C3E671}">
            <xm:f>Bewertung_Stammdaten!$E$59</xm:f>
            <xm:f>Bewertung_Stammdaten!$E$60</xm:f>
            <x14:dxf>
              <fill>
                <patternFill>
                  <bgColor rgb="FF00B050"/>
                </patternFill>
              </fill>
            </x14:dxf>
          </x14:cfRule>
          <x14:cfRule type="cellIs" priority="157" operator="between" id="{960080D8-14C2-49F9-8749-1C68A2DE3149}">
            <xm:f>Bewertung_Stammdaten!$E$57</xm:f>
            <xm:f>Bewertung_Stammdaten!$E$58</xm:f>
            <x14:dxf>
              <fill>
                <patternFill>
                  <bgColor rgb="FF92D050"/>
                </patternFill>
              </fill>
            </x14:dxf>
          </x14:cfRule>
          <x14:cfRule type="cellIs" priority="158" operator="between" id="{638F3F71-6599-4195-9EAD-63EA24DE9180}">
            <xm:f>Bewertung_Stammdaten!$E$55</xm:f>
            <xm:f>Bewertung_Stammdaten!$E$56</xm:f>
            <x14:dxf>
              <fill>
                <patternFill>
                  <bgColor rgb="FFFFFF00"/>
                </patternFill>
              </fill>
            </x14:dxf>
          </x14:cfRule>
          <x14:cfRule type="cellIs" priority="159" operator="between" id="{EE890125-7E93-46CD-8A50-2563B9540CFE}">
            <xm:f>Bewertung_Stammdaten!$E$53</xm:f>
            <xm:f>Bewertung_Stammdaten!$E$54</xm:f>
            <x14:dxf>
              <fill>
                <patternFill>
                  <bgColor rgb="FFFFC000"/>
                </patternFill>
              </fill>
            </x14:dxf>
          </x14:cfRule>
          <x14:cfRule type="cellIs" priority="160" operator="between" id="{8AEF939B-72DC-46C7-94BA-4C89976C30A4}">
            <xm:f>Bewertung_Stammdaten!$E$51</xm:f>
            <xm:f>Bewertung_Stammdaten!$E$52</xm:f>
            <x14:dxf>
              <fill>
                <patternFill>
                  <bgColor rgb="FFFF0000"/>
                </patternFill>
              </fill>
            </x14:dxf>
          </x14:cfRule>
          <xm:sqref>AU3:AU102</xm:sqref>
        </x14:conditionalFormatting>
        <x14:conditionalFormatting xmlns:xm="http://schemas.microsoft.com/office/excel/2006/main">
          <x14:cfRule type="cellIs" priority="161" operator="between" id="{0F447F61-BF20-4766-8A7C-2C05C04E04B7}">
            <xm:f>Bewertung_Stammdaten!$I$59</xm:f>
            <xm:f>Bewertung_Stammdaten!$I$60</xm:f>
            <x14:dxf>
              <fill>
                <patternFill>
                  <bgColor rgb="FF00B050"/>
                </patternFill>
              </fill>
            </x14:dxf>
          </x14:cfRule>
          <x14:cfRule type="cellIs" priority="162" operator="between" id="{C0B960CF-589D-4AA3-B8FD-251D31B72C40}">
            <xm:f>Bewertung_Stammdaten!$I$57</xm:f>
            <xm:f>Bewertung_Stammdaten!$I$58</xm:f>
            <x14:dxf>
              <fill>
                <patternFill>
                  <bgColor rgb="FF92D050"/>
                </patternFill>
              </fill>
            </x14:dxf>
          </x14:cfRule>
          <x14:cfRule type="cellIs" priority="163" operator="between" id="{343284C3-7CB4-4213-ABD0-C5C548D2035A}">
            <xm:f>Bewertung_Stammdaten!$I$55</xm:f>
            <xm:f>Bewertung_Stammdaten!$I$56</xm:f>
            <x14:dxf>
              <fill>
                <patternFill>
                  <bgColor rgb="FFFFFF00"/>
                </patternFill>
              </fill>
            </x14:dxf>
          </x14:cfRule>
          <x14:cfRule type="cellIs" priority="164" operator="between" id="{6B2CEA03-C54A-47B8-90DB-100AF49D0B0A}">
            <xm:f>Bewertung_Stammdaten!$I$53</xm:f>
            <xm:f>Bewertung_Stammdaten!$I$54</xm:f>
            <x14:dxf>
              <fill>
                <patternFill>
                  <bgColor rgb="FFFFC000"/>
                </patternFill>
              </fill>
            </x14:dxf>
          </x14:cfRule>
          <x14:cfRule type="cellIs" priority="165" operator="between" id="{C54FE898-2FDE-4661-B15C-0D12BCFA3AB6}">
            <xm:f>Bewertung_Stammdaten!$I$51</xm:f>
            <xm:f>Bewertung_Stammdaten!$I$52</xm:f>
            <x14:dxf>
              <fill>
                <patternFill>
                  <bgColor rgb="FFFF0000"/>
                </patternFill>
              </fill>
            </x14:dxf>
          </x14:cfRule>
          <xm:sqref>AV3:AV102</xm:sqref>
        </x14:conditionalFormatting>
        <x14:conditionalFormatting xmlns:xm="http://schemas.microsoft.com/office/excel/2006/main">
          <x14:cfRule type="cellIs" priority="166" operator="between" id="{AE31C88E-B54C-4C46-9FA9-B56D0F1DACAA}">
            <xm:f>Bewertung_Stammdaten!$A$72</xm:f>
            <xm:f>Bewertung_Stammdaten!$A$73</xm:f>
            <x14:dxf>
              <fill>
                <patternFill>
                  <bgColor rgb="FF00B050"/>
                </patternFill>
              </fill>
            </x14:dxf>
          </x14:cfRule>
          <x14:cfRule type="cellIs" priority="167" operator="between" id="{FE3327C2-887E-47CB-9C60-0C1E1F776789}">
            <xm:f>Bewertung_Stammdaten!$A$70</xm:f>
            <xm:f>Bewertung_Stammdaten!$A$71</xm:f>
            <x14:dxf>
              <fill>
                <patternFill>
                  <bgColor rgb="FF92D050"/>
                </patternFill>
              </fill>
            </x14:dxf>
          </x14:cfRule>
          <x14:cfRule type="cellIs" priority="168" operator="between" id="{51F91D54-9001-499F-942C-01BD750D2BC8}">
            <xm:f>Bewertung_Stammdaten!$A$68</xm:f>
            <xm:f>Bewertung_Stammdaten!$A$69</xm:f>
            <x14:dxf>
              <fill>
                <patternFill>
                  <bgColor rgb="FFFFFF00"/>
                </patternFill>
              </fill>
            </x14:dxf>
          </x14:cfRule>
          <x14:cfRule type="cellIs" priority="169" operator="between" id="{C29345AC-D6E1-4EFA-9445-28D70C7A3E85}">
            <xm:f>Bewertung_Stammdaten!$A$66</xm:f>
            <xm:f>Bewertung_Stammdaten!$A$67</xm:f>
            <x14:dxf>
              <fill>
                <patternFill>
                  <bgColor rgb="FFFFC000"/>
                </patternFill>
              </fill>
            </x14:dxf>
          </x14:cfRule>
          <x14:cfRule type="cellIs" priority="170" operator="between" id="{E14CAA51-6369-4A10-B43B-72233B4FB6C2}">
            <xm:f>Bewertung_Stammdaten!$A$64</xm:f>
            <xm:f>Bewertung_Stammdaten!$A$65</xm:f>
            <x14:dxf>
              <fill>
                <patternFill>
                  <bgColor rgb="FFFF0000"/>
                </patternFill>
              </fill>
            </x14:dxf>
          </x14:cfRule>
          <xm:sqref>BA3:BA102</xm:sqref>
        </x14:conditionalFormatting>
        <x14:conditionalFormatting xmlns:xm="http://schemas.microsoft.com/office/excel/2006/main">
          <x14:cfRule type="cellIs" priority="171" operator="between" id="{3967F90A-B7D2-4E4B-A545-2FFD5959F1A0}">
            <xm:f>Bewertung_Stammdaten!$E$72</xm:f>
            <xm:f>Bewertung_Stammdaten!$E$73</xm:f>
            <x14:dxf>
              <fill>
                <patternFill>
                  <bgColor rgb="FF00B050"/>
                </patternFill>
              </fill>
            </x14:dxf>
          </x14:cfRule>
          <x14:cfRule type="cellIs" priority="172" operator="between" id="{B7BD374B-55A1-420A-9B46-488EB457FEC8}">
            <xm:f>Bewertung_Stammdaten!$E$70</xm:f>
            <xm:f>Bewertung_Stammdaten!$E$71</xm:f>
            <x14:dxf>
              <fill>
                <patternFill>
                  <bgColor rgb="FF92D050"/>
                </patternFill>
              </fill>
            </x14:dxf>
          </x14:cfRule>
          <x14:cfRule type="cellIs" priority="173" operator="between" id="{8E7EE116-4468-41E3-A1DD-E27695E060E9}">
            <xm:f>Bewertung_Stammdaten!$E$68</xm:f>
            <xm:f>Bewertung_Stammdaten!$E$69</xm:f>
            <x14:dxf>
              <fill>
                <patternFill>
                  <bgColor rgb="FFFFFF00"/>
                </patternFill>
              </fill>
            </x14:dxf>
          </x14:cfRule>
          <x14:cfRule type="cellIs" priority="174" operator="between" id="{3FE04EE0-2482-43D6-AD20-BC37427446CB}">
            <xm:f>Bewertung_Stammdaten!$E$66</xm:f>
            <xm:f>Bewertung_Stammdaten!$E$67</xm:f>
            <x14:dxf>
              <fill>
                <patternFill>
                  <bgColor rgb="FFFFC000"/>
                </patternFill>
              </fill>
            </x14:dxf>
          </x14:cfRule>
          <x14:cfRule type="cellIs" priority="175" operator="between" id="{14937FD4-5346-428B-BF0B-A732FE09DDF3}">
            <xm:f>Bewertung_Stammdaten!$E$64</xm:f>
            <xm:f>Bewertung_Stammdaten!$E$65</xm:f>
            <x14:dxf>
              <fill>
                <patternFill>
                  <bgColor rgb="FFFF0000"/>
                </patternFill>
              </fill>
            </x14:dxf>
          </x14:cfRule>
          <xm:sqref>BB3:BB102</xm:sqref>
        </x14:conditionalFormatting>
        <x14:conditionalFormatting xmlns:xm="http://schemas.microsoft.com/office/excel/2006/main">
          <x14:cfRule type="cellIs" priority="176" operator="between" id="{B7344835-C219-4818-9038-598B72EEB1AD}">
            <xm:f>Bewertung_Stammdaten!$I$72</xm:f>
            <xm:f>Bewertung_Stammdaten!$I$73</xm:f>
            <x14:dxf>
              <fill>
                <patternFill>
                  <bgColor rgb="FF00B050"/>
                </patternFill>
              </fill>
            </x14:dxf>
          </x14:cfRule>
          <x14:cfRule type="cellIs" priority="177" operator="between" id="{2A03A360-E0BE-4A85-8CE6-2C288A5FD500}">
            <xm:f>Bewertung_Stammdaten!$I$70</xm:f>
            <xm:f>Bewertung_Stammdaten!$I$71</xm:f>
            <x14:dxf>
              <fill>
                <patternFill>
                  <bgColor rgb="FF92D050"/>
                </patternFill>
              </fill>
            </x14:dxf>
          </x14:cfRule>
          <x14:cfRule type="cellIs" priority="178" operator="between" id="{3AFA8F76-BCF5-4415-870D-5F3207375419}">
            <xm:f>Bewertung_Stammdaten!$I$68</xm:f>
            <xm:f>Bewertung_Stammdaten!$I$69</xm:f>
            <x14:dxf>
              <fill>
                <patternFill>
                  <bgColor rgb="FFFFFF00"/>
                </patternFill>
              </fill>
            </x14:dxf>
          </x14:cfRule>
          <x14:cfRule type="cellIs" priority="179" operator="between" id="{9E615651-38F6-4321-9408-F67B37987A45}">
            <xm:f>Bewertung_Stammdaten!$I$66</xm:f>
            <xm:f>Bewertung_Stammdaten!$I$67</xm:f>
            <x14:dxf>
              <fill>
                <patternFill>
                  <bgColor rgb="FFFFC000"/>
                </patternFill>
              </fill>
            </x14:dxf>
          </x14:cfRule>
          <x14:cfRule type="cellIs" priority="180" operator="between" id="{E2729D43-96D7-4B61-A317-43291FA5676A}">
            <xm:f>Bewertung_Stammdaten!$I$64</xm:f>
            <xm:f>Bewertung_Stammdaten!$I$65</xm:f>
            <x14:dxf>
              <fill>
                <patternFill>
                  <bgColor rgb="FFFF0000"/>
                </patternFill>
              </fill>
            </x14:dxf>
          </x14:cfRule>
          <xm:sqref>BC3:BC102</xm:sqref>
        </x14:conditionalFormatting>
        <x14:conditionalFormatting xmlns:xm="http://schemas.microsoft.com/office/excel/2006/main">
          <x14:cfRule type="cellIs" priority="181" operator="between" id="{FEC46B71-8682-4C20-AC61-67A9994C73BA}">
            <xm:f>Bewertung_Stammdaten!$A$86</xm:f>
            <xm:f>Bewertung_Stammdaten!$A$85</xm:f>
            <x14:dxf>
              <fill>
                <patternFill>
                  <bgColor rgb="FFFF0000"/>
                </patternFill>
              </fill>
            </x14:dxf>
          </x14:cfRule>
          <x14:cfRule type="cellIs" priority="182" operator="between" id="{E279EBD3-B9A9-4C5B-9EE1-365BB589F7F4}">
            <xm:f>Bewertung_Stammdaten!$A$84</xm:f>
            <xm:f>Bewertung_Stammdaten!$A$83</xm:f>
            <x14:dxf>
              <fill>
                <patternFill>
                  <bgColor rgb="FFFFC000"/>
                </patternFill>
              </fill>
            </x14:dxf>
          </x14:cfRule>
          <x14:cfRule type="cellIs" priority="183" operator="between" id="{7A3E30B2-AE13-468B-B46F-1B0F06C78F37}">
            <xm:f>Bewertung_Stammdaten!$A$82</xm:f>
            <xm:f>Bewertung_Stammdaten!$A$81</xm:f>
            <x14:dxf>
              <fill>
                <patternFill>
                  <bgColor rgb="FFFFFF00"/>
                </patternFill>
              </fill>
            </x14:dxf>
          </x14:cfRule>
          <x14:cfRule type="cellIs" priority="184" operator="between" id="{FE7326CE-44FE-46FE-A6BD-265E04A3684C}">
            <xm:f>Bewertung_Stammdaten!$A$80</xm:f>
            <xm:f>Bewertung_Stammdaten!$A$79</xm:f>
            <x14:dxf>
              <fill>
                <patternFill>
                  <bgColor rgb="FF92D050"/>
                </patternFill>
              </fill>
            </x14:dxf>
          </x14:cfRule>
          <x14:cfRule type="cellIs" priority="185" operator="between" id="{0A769247-FF20-4D62-B743-3797E6617714}">
            <xm:f>Bewertung_Stammdaten!$A$78</xm:f>
            <xm:f>Bewertung_Stammdaten!$A$77</xm:f>
            <x14:dxf>
              <fill>
                <patternFill>
                  <bgColor rgb="FF00B050"/>
                </patternFill>
              </fill>
            </x14:dxf>
          </x14:cfRule>
          <xm:sqref>BH3:BH102</xm:sqref>
        </x14:conditionalFormatting>
        <x14:conditionalFormatting xmlns:xm="http://schemas.microsoft.com/office/excel/2006/main">
          <x14:cfRule type="cellIs" priority="186" operator="between" id="{A27645EB-6727-4B3B-8DA4-74BEF119BA4E}">
            <xm:f>Bewertung_Stammdaten!$E$86</xm:f>
            <xm:f>Bewertung_Stammdaten!$E$85</xm:f>
            <x14:dxf>
              <fill>
                <patternFill>
                  <bgColor rgb="FFFF0000"/>
                </patternFill>
              </fill>
            </x14:dxf>
          </x14:cfRule>
          <x14:cfRule type="cellIs" priority="187" operator="between" id="{8C3BE8AC-D426-4A79-B71A-059EE5271D53}">
            <xm:f>Bewertung_Stammdaten!$E$84</xm:f>
            <xm:f>Bewertung_Stammdaten!$E$83</xm:f>
            <x14:dxf>
              <fill>
                <patternFill>
                  <bgColor rgb="FFFFC000"/>
                </patternFill>
              </fill>
            </x14:dxf>
          </x14:cfRule>
          <x14:cfRule type="cellIs" priority="188" operator="between" id="{9F6AFFE6-40F9-4FD8-8439-A367C80DCD4A}">
            <xm:f>Bewertung_Stammdaten!$E$82</xm:f>
            <xm:f>Bewertung_Stammdaten!$E$81</xm:f>
            <x14:dxf>
              <fill>
                <patternFill>
                  <bgColor rgb="FFFFFF00"/>
                </patternFill>
              </fill>
            </x14:dxf>
          </x14:cfRule>
          <x14:cfRule type="cellIs" priority="189" operator="between" id="{68EF9315-0C66-4D4C-B5EA-1DAC8061449A}">
            <xm:f>Bewertung_Stammdaten!$E$80</xm:f>
            <xm:f>Bewertung_Stammdaten!$E$79</xm:f>
            <x14:dxf>
              <fill>
                <patternFill>
                  <bgColor rgb="FF92D050"/>
                </patternFill>
              </fill>
            </x14:dxf>
          </x14:cfRule>
          <x14:cfRule type="cellIs" priority="190" operator="between" id="{37CC2720-5E18-41C5-BEB5-31C061ECCB6B}">
            <xm:f>Bewertung_Stammdaten!$E$78</xm:f>
            <xm:f>Bewertung_Stammdaten!$E$77</xm:f>
            <x14:dxf>
              <fill>
                <patternFill>
                  <bgColor rgb="FF00B050"/>
                </patternFill>
              </fill>
            </x14:dxf>
          </x14:cfRule>
          <xm:sqref>BI3:BI102</xm:sqref>
        </x14:conditionalFormatting>
        <x14:conditionalFormatting xmlns:xm="http://schemas.microsoft.com/office/excel/2006/main">
          <x14:cfRule type="cellIs" priority="191" operator="between" id="{8B444E0E-3779-42B4-9CE5-46AF6A24CFA8}">
            <xm:f>Bewertung_Stammdaten!$I$85</xm:f>
            <xm:f>Bewertung_Stammdaten!$I$86</xm:f>
            <x14:dxf>
              <fill>
                <patternFill>
                  <bgColor rgb="FF00B050"/>
                </patternFill>
              </fill>
            </x14:dxf>
          </x14:cfRule>
          <x14:cfRule type="cellIs" priority="192" operator="between" id="{DBAEBFE4-5551-4089-81E2-D520756948ED}">
            <xm:f>Bewertung_Stammdaten!$I$83</xm:f>
            <xm:f>Bewertung_Stammdaten!$I$84</xm:f>
            <x14:dxf>
              <fill>
                <patternFill>
                  <bgColor rgb="FF92D050"/>
                </patternFill>
              </fill>
            </x14:dxf>
          </x14:cfRule>
          <x14:cfRule type="cellIs" priority="193" operator="between" id="{97F43D8B-2A4D-4197-8347-9424FD33878F}">
            <xm:f>Bewertung_Stammdaten!$I$81</xm:f>
            <xm:f>Bewertung_Stammdaten!$I$82</xm:f>
            <x14:dxf>
              <fill>
                <patternFill>
                  <bgColor rgb="FFFFFF00"/>
                </patternFill>
              </fill>
            </x14:dxf>
          </x14:cfRule>
          <x14:cfRule type="cellIs" priority="194" operator="between" id="{68933F9F-29B7-4838-B9A4-3FC95E773E38}">
            <xm:f>Bewertung_Stammdaten!$I$79</xm:f>
            <xm:f>Bewertung_Stammdaten!$I$80</xm:f>
            <x14:dxf>
              <fill>
                <patternFill>
                  <bgColor rgb="FFFFC000"/>
                </patternFill>
              </fill>
            </x14:dxf>
          </x14:cfRule>
          <x14:cfRule type="cellIs" priority="195" operator="between" id="{CB50099C-477D-428A-9D0B-29EBFA52F168}">
            <xm:f>Bewertung_Stammdaten!$I$77</xm:f>
            <xm:f>Bewertung_Stammdaten!$I$78</xm:f>
            <x14:dxf>
              <fill>
                <patternFill>
                  <bgColor rgb="FFFF0000"/>
                </patternFill>
              </fill>
            </x14:dxf>
          </x14:cfRule>
          <xm:sqref>BJ3:BJ102</xm:sqref>
        </x14:conditionalFormatting>
        <x14:conditionalFormatting xmlns:xm="http://schemas.microsoft.com/office/excel/2006/main">
          <x14:cfRule type="cellIs" priority="196" operator="between" id="{F104E4C2-445E-44E8-9984-BAFAFBA6216D}">
            <xm:f>Bewertung_Stammdaten!$A$99</xm:f>
            <xm:f>Bewertung_Stammdaten!$A$98</xm:f>
            <x14:dxf>
              <fill>
                <patternFill>
                  <bgColor rgb="FFFF0000"/>
                </patternFill>
              </fill>
            </x14:dxf>
          </x14:cfRule>
          <x14:cfRule type="cellIs" priority="197" operator="between" id="{30E7C4EE-420A-46CC-AD5E-344FC7A57536}">
            <xm:f>Bewertung_Stammdaten!$A$97</xm:f>
            <xm:f>Bewertung_Stammdaten!$A$96</xm:f>
            <x14:dxf>
              <fill>
                <patternFill>
                  <bgColor rgb="FFFFC000"/>
                </patternFill>
              </fill>
            </x14:dxf>
          </x14:cfRule>
          <x14:cfRule type="cellIs" priority="198" operator="between" id="{86F1F82F-ADCD-401F-B955-055AF040A463}">
            <xm:f>Bewertung_Stammdaten!$A$95</xm:f>
            <xm:f>Bewertung_Stammdaten!$A$94</xm:f>
            <x14:dxf>
              <fill>
                <patternFill>
                  <bgColor rgb="FFFFFF00"/>
                </patternFill>
              </fill>
            </x14:dxf>
          </x14:cfRule>
          <x14:cfRule type="cellIs" priority="199" operator="between" id="{4071E6DD-DF56-4577-8A73-CB5B48542EED}">
            <xm:f>Bewertung_Stammdaten!$A$93</xm:f>
            <xm:f>Bewertung_Stammdaten!$A$92</xm:f>
            <x14:dxf>
              <fill>
                <patternFill>
                  <bgColor rgb="FF92D050"/>
                </patternFill>
              </fill>
            </x14:dxf>
          </x14:cfRule>
          <x14:cfRule type="cellIs" priority="200" operator="between" id="{6000681D-D26A-4277-8FE4-DB58DF72D462}">
            <xm:f>Bewertung_Stammdaten!$A$91</xm:f>
            <xm:f>Bewertung_Stammdaten!$A$90</xm:f>
            <x14:dxf>
              <fill>
                <patternFill>
                  <bgColor rgb="FF00B050"/>
                </patternFill>
              </fill>
            </x14:dxf>
          </x14:cfRule>
          <xm:sqref>BO3:BO102</xm:sqref>
        </x14:conditionalFormatting>
        <x14:conditionalFormatting xmlns:xm="http://schemas.microsoft.com/office/excel/2006/main">
          <x14:cfRule type="cellIs" priority="201" operator="between" id="{BA5F3657-7131-46CF-B938-9AAE3F098D84}">
            <xm:f>Bewertung_Stammdaten!$E$99</xm:f>
            <xm:f>Bewertung_Stammdaten!$E$98</xm:f>
            <x14:dxf>
              <fill>
                <patternFill>
                  <bgColor rgb="FFFF0000"/>
                </patternFill>
              </fill>
            </x14:dxf>
          </x14:cfRule>
          <x14:cfRule type="cellIs" priority="202" operator="between" id="{A627B0AB-444C-48CD-875F-12AEE9E114B0}">
            <xm:f>Bewertung_Stammdaten!$E$97</xm:f>
            <xm:f>Bewertung_Stammdaten!$E$96</xm:f>
            <x14:dxf>
              <fill>
                <patternFill>
                  <bgColor rgb="FFFFC000"/>
                </patternFill>
              </fill>
            </x14:dxf>
          </x14:cfRule>
          <x14:cfRule type="cellIs" priority="203" operator="between" id="{7FABBEDD-B69F-430B-8545-E04D467CC568}">
            <xm:f>Bewertung_Stammdaten!$E$95</xm:f>
            <xm:f>Bewertung_Stammdaten!$E$94</xm:f>
            <x14:dxf>
              <fill>
                <patternFill>
                  <bgColor rgb="FFFFFF00"/>
                </patternFill>
              </fill>
            </x14:dxf>
          </x14:cfRule>
          <x14:cfRule type="cellIs" priority="204" operator="between" id="{EF8B7B9A-0D46-4272-BD1D-0D6454C17D53}">
            <xm:f>Bewertung_Stammdaten!$E$93</xm:f>
            <xm:f>Bewertung_Stammdaten!$E$92</xm:f>
            <x14:dxf>
              <fill>
                <patternFill>
                  <bgColor rgb="FF92D050"/>
                </patternFill>
              </fill>
            </x14:dxf>
          </x14:cfRule>
          <x14:cfRule type="cellIs" priority="205" operator="between" id="{1C65C7BC-91EA-41EE-9C81-B596025F81E2}">
            <xm:f>Bewertung_Stammdaten!$E$91</xm:f>
            <xm:f>Bewertung_Stammdaten!$E$90</xm:f>
            <x14:dxf>
              <fill>
                <patternFill>
                  <bgColor rgb="FF00B050"/>
                </patternFill>
              </fill>
            </x14:dxf>
          </x14:cfRule>
          <xm:sqref>BP3:BP102</xm:sqref>
        </x14:conditionalFormatting>
        <x14:conditionalFormatting xmlns:xm="http://schemas.microsoft.com/office/excel/2006/main">
          <x14:cfRule type="cellIs" priority="206" operator="between" id="{75D940EC-5C0E-49DE-9CF1-309D220E98B7}">
            <xm:f>Bewertung_Stammdaten!$I$99</xm:f>
            <xm:f>Bewertung_Stammdaten!$I$98</xm:f>
            <x14:dxf>
              <fill>
                <patternFill>
                  <bgColor rgb="FFFF0000"/>
                </patternFill>
              </fill>
            </x14:dxf>
          </x14:cfRule>
          <x14:cfRule type="cellIs" priority="207" operator="between" id="{6D5150D3-E8DD-4844-94DF-10EBF9B1291B}">
            <xm:f>Bewertung_Stammdaten!$I$97</xm:f>
            <xm:f>Bewertung_Stammdaten!$I$96</xm:f>
            <x14:dxf>
              <fill>
                <patternFill>
                  <bgColor rgb="FFFFC000"/>
                </patternFill>
              </fill>
            </x14:dxf>
          </x14:cfRule>
          <x14:cfRule type="cellIs" priority="208" operator="between" id="{5B72B3DC-F313-41E6-AA7F-14FC26911B6E}">
            <xm:f>Bewertung_Stammdaten!$I$95</xm:f>
            <xm:f>Bewertung_Stammdaten!$I$94</xm:f>
            <x14:dxf>
              <fill>
                <patternFill>
                  <bgColor rgb="FFFFFF00"/>
                </patternFill>
              </fill>
            </x14:dxf>
          </x14:cfRule>
          <x14:cfRule type="cellIs" priority="209" operator="between" id="{97D499D2-2BE3-48CE-9035-8434CE183F60}">
            <xm:f>Bewertung_Stammdaten!$I$93</xm:f>
            <xm:f>Bewertung_Stammdaten!$I$92</xm:f>
            <x14:dxf>
              <fill>
                <patternFill>
                  <bgColor rgb="FF92D050"/>
                </patternFill>
              </fill>
            </x14:dxf>
          </x14:cfRule>
          <x14:cfRule type="cellIs" priority="210" operator="between" id="{E213560D-1716-48C5-B741-21C8436B8CEE}">
            <xm:f>Bewertung_Stammdaten!$I$91</xm:f>
            <xm:f>Bewertung_Stammdaten!$I$90</xm:f>
            <x14:dxf>
              <fill>
                <patternFill>
                  <bgColor rgb="FF00B050"/>
                </patternFill>
              </fill>
            </x14:dxf>
          </x14:cfRule>
          <xm:sqref>BQ3:BQ102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8"/>
  <sheetViews>
    <sheetView zoomScale="60" zoomScaleNormal="60" workbookViewId="0">
      <pane ySplit="5" topLeftCell="A6" activePane="bottomLeft" state="frozenSplit"/>
      <selection pane="bottomLeft"/>
    </sheetView>
  </sheetViews>
  <sheetFormatPr baseColWidth="10" defaultRowHeight="15" x14ac:dyDescent="0.25"/>
  <cols>
    <col min="1" max="1" width="28" customWidth="1"/>
    <col min="2" max="2" width="18.7109375" bestFit="1" customWidth="1"/>
    <col min="3" max="3" width="10.42578125" bestFit="1" customWidth="1"/>
    <col min="4" max="4" width="13.7109375" customWidth="1"/>
    <col min="5" max="5" width="11.140625" bestFit="1" customWidth="1"/>
    <col min="6" max="6" width="13.28515625" bestFit="1" customWidth="1"/>
    <col min="7" max="7" width="21.140625" bestFit="1" customWidth="1"/>
    <col min="8" max="8" width="13.42578125" customWidth="1"/>
    <col min="9" max="9" width="14.42578125" bestFit="1" customWidth="1"/>
    <col min="10" max="10" width="15.140625" bestFit="1" customWidth="1"/>
    <col min="11" max="11" width="14.42578125" bestFit="1" customWidth="1"/>
    <col min="12" max="12" width="14.85546875" bestFit="1" customWidth="1"/>
    <col min="13" max="19" width="14.85546875" customWidth="1"/>
    <col min="20" max="20" width="15.85546875" bestFit="1" customWidth="1"/>
    <col min="21" max="21" width="15.42578125" bestFit="1" customWidth="1"/>
    <col min="22" max="22" width="14.42578125" bestFit="1" customWidth="1"/>
    <col min="23" max="23" width="15.140625" bestFit="1" customWidth="1"/>
    <col min="24" max="24" width="14.42578125" bestFit="1" customWidth="1"/>
    <col min="25" max="26" width="14.85546875" bestFit="1" customWidth="1"/>
    <col min="27" max="27" width="14.85546875" customWidth="1"/>
    <col min="28" max="32" width="14.85546875" bestFit="1" customWidth="1"/>
    <col min="33" max="33" width="15.85546875" bestFit="1" customWidth="1"/>
    <col min="34" max="34" width="15.42578125" bestFit="1" customWidth="1"/>
    <col min="35" max="35" width="14.42578125" bestFit="1" customWidth="1"/>
    <col min="36" max="36" width="15.140625" bestFit="1" customWidth="1"/>
    <col min="37" max="37" width="14.42578125" bestFit="1" customWidth="1"/>
    <col min="38" max="45" width="14.85546875" bestFit="1" customWidth="1"/>
    <col min="46" max="46" width="15.85546875" bestFit="1" customWidth="1"/>
    <col min="47" max="47" width="15.42578125" bestFit="1" customWidth="1"/>
  </cols>
  <sheetData>
    <row r="1" spans="1:47" x14ac:dyDescent="0.25">
      <c r="A1" t="s">
        <v>190</v>
      </c>
      <c r="B1" t="s">
        <v>186</v>
      </c>
      <c r="C1" t="s">
        <v>192</v>
      </c>
    </row>
    <row r="2" spans="1:47" x14ac:dyDescent="0.25">
      <c r="A2" t="s">
        <v>189</v>
      </c>
      <c r="B2" t="s">
        <v>187</v>
      </c>
      <c r="C2" t="s">
        <v>192</v>
      </c>
    </row>
    <row r="3" spans="1:47" x14ac:dyDescent="0.25">
      <c r="A3" t="s">
        <v>188</v>
      </c>
      <c r="B3" t="s">
        <v>191</v>
      </c>
      <c r="C3" s="72" t="s">
        <v>192</v>
      </c>
      <c r="D3" s="1"/>
      <c r="E3" s="1"/>
      <c r="F3" s="37"/>
      <c r="G3" s="37"/>
      <c r="H3" s="37"/>
      <c r="I3" s="113" t="s">
        <v>183</v>
      </c>
      <c r="J3" s="113"/>
      <c r="K3" s="113"/>
      <c r="L3" s="113"/>
      <c r="M3" s="113"/>
      <c r="N3" s="113"/>
      <c r="O3" s="113"/>
      <c r="P3" s="113"/>
      <c r="Q3" s="113"/>
      <c r="R3" s="113"/>
      <c r="S3" s="113"/>
      <c r="T3" s="113"/>
      <c r="U3" s="113"/>
      <c r="V3" s="113" t="s">
        <v>184</v>
      </c>
      <c r="W3" s="113"/>
      <c r="X3" s="113"/>
      <c r="Y3" s="113"/>
      <c r="Z3" s="113"/>
      <c r="AA3" s="113"/>
      <c r="AB3" s="113"/>
      <c r="AC3" s="113"/>
      <c r="AD3" s="113"/>
      <c r="AE3" s="113"/>
      <c r="AF3" s="113"/>
      <c r="AG3" s="113"/>
      <c r="AH3" s="113"/>
      <c r="AI3" s="113" t="s">
        <v>185</v>
      </c>
      <c r="AJ3" s="113"/>
      <c r="AK3" s="113"/>
      <c r="AL3" s="113"/>
      <c r="AM3" s="113"/>
      <c r="AN3" s="113"/>
      <c r="AO3" s="113"/>
      <c r="AP3" s="113"/>
      <c r="AQ3" s="113"/>
      <c r="AR3" s="113"/>
      <c r="AS3" s="113"/>
      <c r="AT3" s="113"/>
      <c r="AU3" s="113"/>
    </row>
    <row r="4" spans="1:47" x14ac:dyDescent="0.25">
      <c r="A4" s="1"/>
      <c r="B4" s="1"/>
      <c r="C4" s="114" t="s">
        <v>165</v>
      </c>
      <c r="D4" s="114"/>
      <c r="E4" s="114"/>
      <c r="F4" s="115" t="s">
        <v>173</v>
      </c>
      <c r="G4" s="115"/>
      <c r="H4" s="115"/>
      <c r="I4" s="37"/>
      <c r="J4" s="37">
        <v>2015</v>
      </c>
      <c r="K4" s="37">
        <v>2014</v>
      </c>
      <c r="L4" s="37">
        <v>2013</v>
      </c>
      <c r="M4" s="37">
        <v>2012</v>
      </c>
      <c r="N4" s="37">
        <v>2011</v>
      </c>
      <c r="O4" s="37">
        <v>2010</v>
      </c>
      <c r="P4" s="37">
        <v>2009</v>
      </c>
      <c r="Q4" s="37">
        <v>2008</v>
      </c>
      <c r="R4" s="37">
        <v>2007</v>
      </c>
      <c r="S4" s="37">
        <v>2006</v>
      </c>
      <c r="T4" s="37">
        <v>2005</v>
      </c>
      <c r="U4" s="37">
        <v>2004</v>
      </c>
      <c r="V4" s="37"/>
      <c r="W4" s="37">
        <v>2015</v>
      </c>
      <c r="X4" s="37">
        <v>2014</v>
      </c>
      <c r="Y4" s="37">
        <v>2013</v>
      </c>
      <c r="Z4" s="37">
        <v>2012</v>
      </c>
      <c r="AA4" s="37">
        <v>2011</v>
      </c>
      <c r="AB4" s="37">
        <v>2010</v>
      </c>
      <c r="AC4" s="37">
        <v>2009</v>
      </c>
      <c r="AD4" s="37">
        <v>2008</v>
      </c>
      <c r="AE4" s="37">
        <v>2007</v>
      </c>
      <c r="AF4" s="37">
        <v>2006</v>
      </c>
      <c r="AG4" s="37">
        <v>2005</v>
      </c>
      <c r="AH4" s="37">
        <v>2004</v>
      </c>
      <c r="AI4" s="37"/>
      <c r="AJ4" s="37">
        <v>2015</v>
      </c>
      <c r="AK4" s="37">
        <v>2014</v>
      </c>
      <c r="AL4" s="37">
        <v>2013</v>
      </c>
      <c r="AM4" s="37">
        <v>2012</v>
      </c>
      <c r="AN4" s="37">
        <v>2011</v>
      </c>
      <c r="AO4" s="37">
        <v>2010</v>
      </c>
      <c r="AP4" s="37">
        <v>2009</v>
      </c>
      <c r="AQ4" s="37">
        <v>2008</v>
      </c>
      <c r="AR4" s="37">
        <v>2007</v>
      </c>
      <c r="AS4" s="37">
        <v>2006</v>
      </c>
      <c r="AT4" s="37">
        <v>2005</v>
      </c>
      <c r="AU4" s="37">
        <v>2004</v>
      </c>
    </row>
    <row r="5" spans="1:47" x14ac:dyDescent="0.25">
      <c r="A5" s="1" t="s">
        <v>0</v>
      </c>
      <c r="B5" s="1" t="s">
        <v>1</v>
      </c>
      <c r="C5" s="1" t="s">
        <v>166</v>
      </c>
      <c r="D5" s="1" t="s">
        <v>167</v>
      </c>
      <c r="E5" s="1" t="s">
        <v>137</v>
      </c>
      <c r="F5" s="37" t="s">
        <v>174</v>
      </c>
      <c r="G5" s="37" t="s">
        <v>175</v>
      </c>
      <c r="H5" s="37" t="s">
        <v>180</v>
      </c>
      <c r="I5" s="37" t="s">
        <v>182</v>
      </c>
      <c r="J5" s="37" t="s">
        <v>112</v>
      </c>
      <c r="K5" s="37" t="s">
        <v>101</v>
      </c>
      <c r="L5" s="37" t="s">
        <v>102</v>
      </c>
      <c r="M5" s="37" t="s">
        <v>103</v>
      </c>
      <c r="N5" s="37" t="s">
        <v>104</v>
      </c>
      <c r="O5" s="37" t="s">
        <v>105</v>
      </c>
      <c r="P5" s="37" t="s">
        <v>106</v>
      </c>
      <c r="Q5" s="37" t="s">
        <v>107</v>
      </c>
      <c r="R5" s="37" t="s">
        <v>108</v>
      </c>
      <c r="S5" s="37" t="s">
        <v>109</v>
      </c>
      <c r="T5" s="37" t="s">
        <v>110</v>
      </c>
      <c r="U5" s="37" t="s">
        <v>181</v>
      </c>
      <c r="V5" s="37" t="s">
        <v>182</v>
      </c>
      <c r="W5" s="37" t="s">
        <v>112</v>
      </c>
      <c r="X5" s="37" t="s">
        <v>101</v>
      </c>
      <c r="Y5" s="37" t="s">
        <v>102</v>
      </c>
      <c r="Z5" s="37" t="s">
        <v>103</v>
      </c>
      <c r="AA5" s="37" t="s">
        <v>104</v>
      </c>
      <c r="AB5" s="37" t="s">
        <v>105</v>
      </c>
      <c r="AC5" s="37" t="s">
        <v>106</v>
      </c>
      <c r="AD5" s="37" t="s">
        <v>107</v>
      </c>
      <c r="AE5" s="37" t="s">
        <v>108</v>
      </c>
      <c r="AF5" s="37" t="s">
        <v>109</v>
      </c>
      <c r="AG5" s="37" t="s">
        <v>110</v>
      </c>
      <c r="AH5" s="37" t="s">
        <v>181</v>
      </c>
      <c r="AI5" s="37" t="s">
        <v>182</v>
      </c>
      <c r="AJ5" s="37" t="s">
        <v>112</v>
      </c>
      <c r="AK5" s="37" t="s">
        <v>101</v>
      </c>
      <c r="AL5" s="37" t="s">
        <v>102</v>
      </c>
      <c r="AM5" s="37" t="s">
        <v>103</v>
      </c>
      <c r="AN5" s="37" t="s">
        <v>104</v>
      </c>
      <c r="AO5" s="37" t="s">
        <v>105</v>
      </c>
      <c r="AP5" s="37" t="s">
        <v>106</v>
      </c>
      <c r="AQ5" s="37" t="s">
        <v>107</v>
      </c>
      <c r="AR5" s="37" t="s">
        <v>108</v>
      </c>
      <c r="AS5" s="37" t="s">
        <v>109</v>
      </c>
      <c r="AT5" s="37" t="s">
        <v>110</v>
      </c>
      <c r="AU5" s="37" t="s">
        <v>181</v>
      </c>
    </row>
    <row r="6" spans="1:47" x14ac:dyDescent="0.25">
      <c r="A6" t="s">
        <v>76</v>
      </c>
      <c r="B6" t="s">
        <v>142</v>
      </c>
      <c r="C6" s="56">
        <v>31</v>
      </c>
      <c r="D6" s="56">
        <v>12</v>
      </c>
      <c r="E6" s="56">
        <v>2015</v>
      </c>
      <c r="F6" s="67" t="s">
        <v>179</v>
      </c>
      <c r="G6" s="67" t="s">
        <v>177</v>
      </c>
      <c r="H6" s="68">
        <f t="shared" ref="H6:H37" si="0">IF(F6=G6,1,0)</f>
        <v>0</v>
      </c>
      <c r="I6" s="71">
        <v>108.8</v>
      </c>
      <c r="J6" s="71">
        <v>108.8</v>
      </c>
      <c r="K6" s="69">
        <v>93.86</v>
      </c>
      <c r="L6" s="69">
        <v>77.260000000000005</v>
      </c>
      <c r="M6" s="69">
        <v>65.739999999999995</v>
      </c>
      <c r="N6" s="69">
        <v>47.305</v>
      </c>
      <c r="O6" s="69">
        <v>42.8</v>
      </c>
      <c r="P6" s="69">
        <v>36.395000000000003</v>
      </c>
      <c r="Q6" s="69">
        <v>16.579999999999998</v>
      </c>
      <c r="R6" s="69"/>
      <c r="S6" s="69"/>
      <c r="T6" s="69"/>
      <c r="U6" s="69"/>
      <c r="V6" s="71">
        <v>1.1102300000000001</v>
      </c>
      <c r="W6" s="71">
        <v>1.1102300000000001</v>
      </c>
      <c r="X6" s="69">
        <v>1.21</v>
      </c>
      <c r="Y6" s="69">
        <v>1.3778999999999999</v>
      </c>
      <c r="Z6" s="69">
        <v>1.3185</v>
      </c>
      <c r="AA6" s="69">
        <v>1.2963</v>
      </c>
      <c r="AB6" s="69">
        <v>1.3391999999999999</v>
      </c>
      <c r="AC6" s="69">
        <v>1.4334</v>
      </c>
      <c r="AD6" s="69">
        <v>1.4180999999999999</v>
      </c>
      <c r="AE6" s="69">
        <v>1.4676</v>
      </c>
      <c r="AF6" s="69">
        <v>1.3181</v>
      </c>
      <c r="AG6" s="69">
        <v>1.1834</v>
      </c>
      <c r="AH6" s="69">
        <v>1.3623000000000001</v>
      </c>
      <c r="AI6" s="70">
        <f t="shared" ref="AI6:AI37" si="1">I6*V6</f>
        <v>120.793024</v>
      </c>
      <c r="AJ6" s="70">
        <f t="shared" ref="AJ6:AJ37" si="2">J6*W6</f>
        <v>120.793024</v>
      </c>
      <c r="AK6" s="70">
        <f t="shared" ref="AK6:AK37" si="3">K6*X6</f>
        <v>113.5706</v>
      </c>
      <c r="AL6" s="70">
        <f t="shared" ref="AL6:AL37" si="4">L6*Y6</f>
        <v>106.456554</v>
      </c>
      <c r="AM6" s="70">
        <f t="shared" ref="AM6:AM37" si="5">M6*Z6</f>
        <v>86.678189999999987</v>
      </c>
      <c r="AN6" s="70">
        <f t="shared" ref="AN6:AN37" si="6">N6*AA6</f>
        <v>61.321471500000001</v>
      </c>
      <c r="AO6" s="70">
        <f t="shared" ref="AO6:AO37" si="7">O6*AB6</f>
        <v>57.317759999999993</v>
      </c>
      <c r="AP6" s="70">
        <f t="shared" ref="AP6:AP37" si="8">P6*AC6</f>
        <v>52.168593000000001</v>
      </c>
      <c r="AQ6" s="70">
        <f t="shared" ref="AQ6:AQ37" si="9">Q6*AD6</f>
        <v>23.512097999999995</v>
      </c>
      <c r="AR6" s="70">
        <f t="shared" ref="AR6:AR37" si="10">R6*AE6</f>
        <v>0</v>
      </c>
      <c r="AS6" s="70">
        <f t="shared" ref="AS6:AS37" si="11">S6*AF6</f>
        <v>0</v>
      </c>
      <c r="AT6" s="70">
        <f t="shared" ref="AT6:AT37" si="12">T6*AG6</f>
        <v>0</v>
      </c>
      <c r="AU6" s="70">
        <f t="shared" ref="AU6:AU37" si="13">U6*AH6</f>
        <v>0</v>
      </c>
    </row>
    <row r="7" spans="1:47" x14ac:dyDescent="0.25">
      <c r="A7" t="s">
        <v>78</v>
      </c>
      <c r="B7" t="s">
        <v>193</v>
      </c>
      <c r="C7" s="56">
        <v>31</v>
      </c>
      <c r="D7" s="56">
        <v>12</v>
      </c>
      <c r="E7" s="56">
        <v>2015</v>
      </c>
      <c r="F7" s="67" t="s">
        <v>176</v>
      </c>
      <c r="G7" s="67" t="s">
        <v>176</v>
      </c>
      <c r="H7" s="68">
        <f t="shared" si="0"/>
        <v>1</v>
      </c>
      <c r="I7" s="71">
        <v>59190</v>
      </c>
      <c r="J7" s="71">
        <v>59190</v>
      </c>
      <c r="K7" s="69">
        <v>57160</v>
      </c>
      <c r="L7" s="69">
        <v>48100</v>
      </c>
      <c r="M7" s="69">
        <v>34515</v>
      </c>
      <c r="N7" s="69">
        <v>31390</v>
      </c>
      <c r="O7" s="69">
        <v>30100</v>
      </c>
      <c r="P7" s="69">
        <v>25405</v>
      </c>
      <c r="Q7" s="69">
        <v>22600</v>
      </c>
      <c r="R7" s="69">
        <v>39770</v>
      </c>
      <c r="S7" s="69">
        <v>30700</v>
      </c>
      <c r="T7" s="69">
        <v>21950</v>
      </c>
      <c r="U7" s="69">
        <v>16650</v>
      </c>
      <c r="V7" s="69">
        <v>1</v>
      </c>
      <c r="W7" s="69">
        <v>1</v>
      </c>
      <c r="X7" s="69">
        <v>1</v>
      </c>
      <c r="Y7" s="69">
        <v>1</v>
      </c>
      <c r="Z7" s="69">
        <v>1</v>
      </c>
      <c r="AA7" s="69">
        <v>1</v>
      </c>
      <c r="AB7" s="69">
        <v>1</v>
      </c>
      <c r="AC7" s="69">
        <v>1</v>
      </c>
      <c r="AD7" s="69">
        <v>1</v>
      </c>
      <c r="AE7" s="69">
        <v>1</v>
      </c>
      <c r="AF7" s="69">
        <v>1</v>
      </c>
      <c r="AG7" s="69">
        <v>1</v>
      </c>
      <c r="AH7" s="69">
        <v>1</v>
      </c>
      <c r="AI7" s="70">
        <f t="shared" si="1"/>
        <v>59190</v>
      </c>
      <c r="AJ7" s="70">
        <f t="shared" si="2"/>
        <v>59190</v>
      </c>
      <c r="AK7" s="70">
        <f t="shared" si="3"/>
        <v>57160</v>
      </c>
      <c r="AL7" s="70">
        <f t="shared" si="4"/>
        <v>48100</v>
      </c>
      <c r="AM7" s="70">
        <f t="shared" si="5"/>
        <v>34515</v>
      </c>
      <c r="AN7" s="70">
        <f t="shared" si="6"/>
        <v>31390</v>
      </c>
      <c r="AO7" s="70">
        <f t="shared" si="7"/>
        <v>30100</v>
      </c>
      <c r="AP7" s="70">
        <f t="shared" si="8"/>
        <v>25405</v>
      </c>
      <c r="AQ7" s="70">
        <f t="shared" si="9"/>
        <v>22600</v>
      </c>
      <c r="AR7" s="70">
        <f t="shared" si="10"/>
        <v>39770</v>
      </c>
      <c r="AS7" s="70">
        <f t="shared" si="11"/>
        <v>30700</v>
      </c>
      <c r="AT7" s="70">
        <f t="shared" si="12"/>
        <v>21950</v>
      </c>
      <c r="AU7" s="70">
        <f t="shared" si="13"/>
        <v>16650</v>
      </c>
    </row>
    <row r="8" spans="1:47" x14ac:dyDescent="0.25">
      <c r="A8" t="s">
        <v>80</v>
      </c>
      <c r="B8" t="s">
        <v>164</v>
      </c>
      <c r="C8" s="56">
        <v>31</v>
      </c>
      <c r="D8" s="56">
        <v>12</v>
      </c>
      <c r="E8" s="56">
        <v>2015</v>
      </c>
      <c r="F8" s="67" t="s">
        <v>179</v>
      </c>
      <c r="G8" s="67" t="s">
        <v>176</v>
      </c>
      <c r="H8" s="68">
        <f t="shared" si="0"/>
        <v>0</v>
      </c>
      <c r="I8" s="71">
        <v>315.3</v>
      </c>
      <c r="J8" s="71">
        <v>315.3</v>
      </c>
      <c r="K8" s="69">
        <v>320</v>
      </c>
      <c r="L8" s="69">
        <v>355.2</v>
      </c>
      <c r="M8" s="69">
        <v>366.6</v>
      </c>
      <c r="N8" s="69">
        <v>275</v>
      </c>
      <c r="O8" s="69">
        <v>273.5</v>
      </c>
      <c r="P8" s="69">
        <v>290.7</v>
      </c>
      <c r="Q8" s="69">
        <v>200.4</v>
      </c>
      <c r="R8" s="69">
        <v>288.5</v>
      </c>
      <c r="S8" s="69">
        <v>226.7</v>
      </c>
      <c r="T8" s="69">
        <v>163.5</v>
      </c>
      <c r="U8" s="69">
        <v>120.8</v>
      </c>
      <c r="V8" s="71">
        <v>1.06355</v>
      </c>
      <c r="W8" s="71">
        <v>1.06355</v>
      </c>
      <c r="X8" s="69">
        <v>1.0062</v>
      </c>
      <c r="Y8" s="69">
        <v>1.123</v>
      </c>
      <c r="Z8" s="69">
        <v>1.0922000000000001</v>
      </c>
      <c r="AA8" s="69">
        <v>1.0650999999999999</v>
      </c>
      <c r="AB8" s="69">
        <v>1.0703</v>
      </c>
      <c r="AC8" s="69">
        <v>0.96519999999999995</v>
      </c>
      <c r="AD8" s="69">
        <v>0.93340000000000001</v>
      </c>
      <c r="AE8" s="69">
        <v>0.88229999999999997</v>
      </c>
      <c r="AF8" s="69">
        <v>0.82069999999999999</v>
      </c>
      <c r="AG8" s="69">
        <v>0.76100000000000001</v>
      </c>
      <c r="AH8" s="69">
        <v>0.877</v>
      </c>
      <c r="AI8" s="70">
        <f t="shared" si="1"/>
        <v>335.33731499999999</v>
      </c>
      <c r="AJ8" s="70">
        <f t="shared" si="2"/>
        <v>335.33731499999999</v>
      </c>
      <c r="AK8" s="70">
        <f t="shared" si="3"/>
        <v>321.98399999999998</v>
      </c>
      <c r="AL8" s="70">
        <f t="shared" si="4"/>
        <v>398.88959999999997</v>
      </c>
      <c r="AM8" s="70">
        <f t="shared" si="5"/>
        <v>400.40052000000003</v>
      </c>
      <c r="AN8" s="70">
        <f t="shared" si="6"/>
        <v>292.90249999999997</v>
      </c>
      <c r="AO8" s="70">
        <f t="shared" si="7"/>
        <v>292.72705000000002</v>
      </c>
      <c r="AP8" s="70">
        <f t="shared" si="8"/>
        <v>280.58363999999995</v>
      </c>
      <c r="AQ8" s="70">
        <f t="shared" si="9"/>
        <v>187.05336</v>
      </c>
      <c r="AR8" s="70">
        <f t="shared" si="10"/>
        <v>254.54354999999998</v>
      </c>
      <c r="AS8" s="70">
        <f t="shared" si="11"/>
        <v>186.05268999999998</v>
      </c>
      <c r="AT8" s="70">
        <f t="shared" si="12"/>
        <v>124.4235</v>
      </c>
      <c r="AU8" s="70">
        <f t="shared" si="13"/>
        <v>105.94159999999999</v>
      </c>
    </row>
    <row r="9" spans="1:47" x14ac:dyDescent="0.25">
      <c r="A9" t="s">
        <v>2</v>
      </c>
      <c r="B9" t="s">
        <v>3</v>
      </c>
      <c r="C9" s="56">
        <v>31</v>
      </c>
      <c r="D9" s="56">
        <v>12</v>
      </c>
      <c r="E9" s="56">
        <v>2015</v>
      </c>
      <c r="F9" s="67" t="s">
        <v>179</v>
      </c>
      <c r="G9" s="67" t="s">
        <v>176</v>
      </c>
      <c r="H9" s="68">
        <f t="shared" si="0"/>
        <v>0</v>
      </c>
      <c r="I9" s="71">
        <v>96.7</v>
      </c>
      <c r="J9" s="71">
        <v>96.7</v>
      </c>
      <c r="K9" s="69">
        <v>92.35</v>
      </c>
      <c r="L9" s="69">
        <v>71.2</v>
      </c>
      <c r="M9" s="69">
        <v>57.45</v>
      </c>
      <c r="N9" s="69">
        <v>53.7</v>
      </c>
      <c r="O9" s="69">
        <v>54.95</v>
      </c>
      <c r="P9" s="69">
        <v>56.5</v>
      </c>
      <c r="Q9" s="69">
        <v>52.7</v>
      </c>
      <c r="R9" s="69">
        <v>62.1</v>
      </c>
      <c r="S9" s="69">
        <v>70.25</v>
      </c>
      <c r="T9" s="69">
        <v>69.05</v>
      </c>
      <c r="U9" s="69">
        <v>57.3</v>
      </c>
      <c r="V9" s="71">
        <v>1.06355</v>
      </c>
      <c r="W9" s="71">
        <v>1.06355</v>
      </c>
      <c r="X9" s="69">
        <v>1.0062</v>
      </c>
      <c r="Y9" s="69">
        <v>1.123</v>
      </c>
      <c r="Z9" s="69">
        <v>1.0922000000000001</v>
      </c>
      <c r="AA9" s="69">
        <v>1.0650999999999999</v>
      </c>
      <c r="AB9" s="69">
        <v>1.0703</v>
      </c>
      <c r="AC9" s="69">
        <v>0.96519999999999995</v>
      </c>
      <c r="AD9" s="69">
        <v>0.93340000000000001</v>
      </c>
      <c r="AE9" s="69">
        <v>0.88229999999999997</v>
      </c>
      <c r="AF9" s="69">
        <v>0.82069999999999999</v>
      </c>
      <c r="AG9" s="69">
        <v>0.76100000000000001</v>
      </c>
      <c r="AH9" s="69">
        <v>0.877</v>
      </c>
      <c r="AI9" s="70">
        <f t="shared" si="1"/>
        <v>102.845285</v>
      </c>
      <c r="AJ9" s="70">
        <f t="shared" si="2"/>
        <v>102.845285</v>
      </c>
      <c r="AK9" s="70">
        <f t="shared" si="3"/>
        <v>92.922569999999993</v>
      </c>
      <c r="AL9" s="70">
        <f t="shared" si="4"/>
        <v>79.957599999999999</v>
      </c>
      <c r="AM9" s="70">
        <f t="shared" si="5"/>
        <v>62.746890000000008</v>
      </c>
      <c r="AN9" s="70">
        <f t="shared" si="6"/>
        <v>57.195869999999999</v>
      </c>
      <c r="AO9" s="70">
        <f t="shared" si="7"/>
        <v>58.812985000000005</v>
      </c>
      <c r="AP9" s="70">
        <f t="shared" si="8"/>
        <v>54.533799999999999</v>
      </c>
      <c r="AQ9" s="70">
        <f t="shared" si="9"/>
        <v>49.190180000000005</v>
      </c>
      <c r="AR9" s="70">
        <f t="shared" si="10"/>
        <v>54.79083</v>
      </c>
      <c r="AS9" s="70">
        <f t="shared" si="11"/>
        <v>57.654175000000002</v>
      </c>
      <c r="AT9" s="70">
        <f t="shared" si="12"/>
        <v>52.547049999999999</v>
      </c>
      <c r="AU9" s="70">
        <f t="shared" si="13"/>
        <v>50.252099999999999</v>
      </c>
    </row>
    <row r="10" spans="1:47" x14ac:dyDescent="0.25">
      <c r="A10" t="s">
        <v>4</v>
      </c>
      <c r="B10" t="s">
        <v>5</v>
      </c>
      <c r="C10" s="56">
        <v>31</v>
      </c>
      <c r="D10" s="56">
        <v>12</v>
      </c>
      <c r="E10" s="56">
        <v>2015</v>
      </c>
      <c r="F10" s="67" t="s">
        <v>176</v>
      </c>
      <c r="G10" s="67" t="s">
        <v>176</v>
      </c>
      <c r="H10" s="68">
        <f t="shared" si="0"/>
        <v>1</v>
      </c>
      <c r="I10" s="71">
        <v>268.39999999999998</v>
      </c>
      <c r="J10" s="71">
        <v>268.39999999999998</v>
      </c>
      <c r="K10" s="69">
        <v>269.89999999999998</v>
      </c>
      <c r="L10" s="69">
        <v>249.2</v>
      </c>
      <c r="M10" s="69">
        <v>184</v>
      </c>
      <c r="N10" s="69">
        <v>159.19999999999999</v>
      </c>
      <c r="O10" s="69">
        <v>137</v>
      </c>
      <c r="P10" s="69">
        <v>175.8</v>
      </c>
      <c r="Q10" s="69">
        <v>162.5</v>
      </c>
      <c r="R10" s="69">
        <v>195.6</v>
      </c>
      <c r="S10" s="69">
        <v>218.5</v>
      </c>
      <c r="T10" s="69">
        <v>197.3</v>
      </c>
      <c r="U10" s="69">
        <v>130.9</v>
      </c>
      <c r="V10" s="69">
        <v>1</v>
      </c>
      <c r="W10" s="69">
        <v>1</v>
      </c>
      <c r="X10" s="69">
        <v>1</v>
      </c>
      <c r="Y10" s="69">
        <v>1</v>
      </c>
      <c r="Z10" s="69">
        <v>1</v>
      </c>
      <c r="AA10" s="69">
        <v>1</v>
      </c>
      <c r="AB10" s="69">
        <v>1</v>
      </c>
      <c r="AC10" s="69">
        <v>1</v>
      </c>
      <c r="AD10" s="69">
        <v>1</v>
      </c>
      <c r="AE10" s="69">
        <v>1</v>
      </c>
      <c r="AF10" s="69">
        <v>1</v>
      </c>
      <c r="AG10" s="69">
        <v>1</v>
      </c>
      <c r="AH10" s="69">
        <v>1</v>
      </c>
      <c r="AI10" s="70">
        <f t="shared" si="1"/>
        <v>268.39999999999998</v>
      </c>
      <c r="AJ10" s="70">
        <f t="shared" si="2"/>
        <v>268.39999999999998</v>
      </c>
      <c r="AK10" s="70">
        <f t="shared" si="3"/>
        <v>269.89999999999998</v>
      </c>
      <c r="AL10" s="70">
        <f t="shared" si="4"/>
        <v>249.2</v>
      </c>
      <c r="AM10" s="70">
        <f t="shared" si="5"/>
        <v>184</v>
      </c>
      <c r="AN10" s="70">
        <f t="shared" si="6"/>
        <v>159.19999999999999</v>
      </c>
      <c r="AO10" s="70">
        <f t="shared" si="7"/>
        <v>137</v>
      </c>
      <c r="AP10" s="70">
        <f t="shared" si="8"/>
        <v>175.8</v>
      </c>
      <c r="AQ10" s="70">
        <f t="shared" si="9"/>
        <v>162.5</v>
      </c>
      <c r="AR10" s="70">
        <f t="shared" si="10"/>
        <v>195.6</v>
      </c>
      <c r="AS10" s="70">
        <f t="shared" si="11"/>
        <v>218.5</v>
      </c>
      <c r="AT10" s="70">
        <f t="shared" si="12"/>
        <v>197.3</v>
      </c>
      <c r="AU10" s="70">
        <f t="shared" si="13"/>
        <v>130.9</v>
      </c>
    </row>
    <row r="11" spans="1:47" x14ac:dyDescent="0.25">
      <c r="A11" t="s">
        <v>6</v>
      </c>
      <c r="B11" t="s">
        <v>7</v>
      </c>
      <c r="C11" s="56">
        <v>31</v>
      </c>
      <c r="D11" s="56">
        <v>12</v>
      </c>
      <c r="E11" s="56">
        <v>2015</v>
      </c>
      <c r="F11" s="67" t="s">
        <v>176</v>
      </c>
      <c r="G11" s="67" t="s">
        <v>176</v>
      </c>
      <c r="H11" s="68">
        <f t="shared" si="0"/>
        <v>1</v>
      </c>
      <c r="I11" s="71">
        <v>73.2</v>
      </c>
      <c r="J11" s="71">
        <v>73.2</v>
      </c>
      <c r="K11" s="69">
        <v>72.95</v>
      </c>
      <c r="L11" s="69">
        <v>65.3</v>
      </c>
      <c r="M11" s="69">
        <v>59.6</v>
      </c>
      <c r="N11" s="69">
        <v>54</v>
      </c>
      <c r="O11" s="69">
        <v>54.75</v>
      </c>
      <c r="P11" s="69">
        <v>50.2</v>
      </c>
      <c r="Q11" s="69">
        <v>41.6</v>
      </c>
      <c r="R11" s="69">
        <v>52</v>
      </c>
      <c r="S11" s="69">
        <v>43.3</v>
      </c>
      <c r="T11" s="69">
        <v>39.299999999999997</v>
      </c>
      <c r="U11" s="69">
        <v>29.75</v>
      </c>
      <c r="V11" s="69">
        <v>1</v>
      </c>
      <c r="W11" s="69">
        <v>1</v>
      </c>
      <c r="X11" s="69">
        <v>1</v>
      </c>
      <c r="Y11" s="69">
        <v>1</v>
      </c>
      <c r="Z11" s="69">
        <v>1</v>
      </c>
      <c r="AA11" s="69">
        <v>1</v>
      </c>
      <c r="AB11" s="69">
        <v>1</v>
      </c>
      <c r="AC11" s="69">
        <v>1</v>
      </c>
      <c r="AD11" s="69">
        <v>1</v>
      </c>
      <c r="AE11" s="69">
        <v>1</v>
      </c>
      <c r="AF11" s="69">
        <v>1</v>
      </c>
      <c r="AG11" s="69">
        <v>1</v>
      </c>
      <c r="AH11" s="69">
        <v>1</v>
      </c>
      <c r="AI11" s="70">
        <f t="shared" si="1"/>
        <v>73.2</v>
      </c>
      <c r="AJ11" s="70">
        <f t="shared" si="2"/>
        <v>73.2</v>
      </c>
      <c r="AK11" s="70">
        <f t="shared" si="3"/>
        <v>72.95</v>
      </c>
      <c r="AL11" s="70">
        <f t="shared" si="4"/>
        <v>65.3</v>
      </c>
      <c r="AM11" s="70">
        <f t="shared" si="5"/>
        <v>59.6</v>
      </c>
      <c r="AN11" s="70">
        <f t="shared" si="6"/>
        <v>54</v>
      </c>
      <c r="AO11" s="70">
        <f t="shared" si="7"/>
        <v>54.75</v>
      </c>
      <c r="AP11" s="70">
        <f t="shared" si="8"/>
        <v>50.2</v>
      </c>
      <c r="AQ11" s="70">
        <f t="shared" si="9"/>
        <v>41.6</v>
      </c>
      <c r="AR11" s="70">
        <f t="shared" si="10"/>
        <v>52</v>
      </c>
      <c r="AS11" s="70">
        <f t="shared" si="11"/>
        <v>43.3</v>
      </c>
      <c r="AT11" s="70">
        <f t="shared" si="12"/>
        <v>39.299999999999997</v>
      </c>
      <c r="AU11" s="70">
        <f t="shared" si="13"/>
        <v>29.75</v>
      </c>
    </row>
    <row r="12" spans="1:47" x14ac:dyDescent="0.25">
      <c r="A12" t="s">
        <v>8</v>
      </c>
      <c r="B12" t="s">
        <v>9</v>
      </c>
      <c r="C12" s="56">
        <v>31</v>
      </c>
      <c r="D12" s="56">
        <v>12</v>
      </c>
      <c r="E12" s="56">
        <v>2015</v>
      </c>
      <c r="F12" s="67" t="s">
        <v>177</v>
      </c>
      <c r="G12" s="67" t="s">
        <v>177</v>
      </c>
      <c r="H12" s="68">
        <f t="shared" si="0"/>
        <v>1</v>
      </c>
      <c r="I12" s="71">
        <v>77.7</v>
      </c>
      <c r="J12" s="71">
        <v>77.7</v>
      </c>
      <c r="K12" s="69">
        <v>67.42</v>
      </c>
      <c r="L12" s="69">
        <v>73.64</v>
      </c>
      <c r="M12" s="69">
        <v>61.88</v>
      </c>
      <c r="N12" s="69">
        <v>43.82</v>
      </c>
      <c r="O12" s="69">
        <v>41.524999999999999</v>
      </c>
      <c r="P12" s="69">
        <v>45.93</v>
      </c>
      <c r="Q12" s="69">
        <v>42</v>
      </c>
      <c r="R12" s="69">
        <v>53</v>
      </c>
      <c r="S12" s="69">
        <v>49.12</v>
      </c>
      <c r="T12" s="69">
        <v>34.666699999999999</v>
      </c>
      <c r="U12" s="69">
        <v>28.533300000000001</v>
      </c>
      <c r="V12" s="69">
        <v>1</v>
      </c>
      <c r="W12" s="69">
        <v>1</v>
      </c>
      <c r="X12" s="69">
        <v>1</v>
      </c>
      <c r="Y12" s="69">
        <v>1</v>
      </c>
      <c r="Z12" s="69">
        <v>1</v>
      </c>
      <c r="AA12" s="69">
        <v>1</v>
      </c>
      <c r="AB12" s="69">
        <v>1</v>
      </c>
      <c r="AC12" s="69">
        <v>1</v>
      </c>
      <c r="AD12" s="69">
        <v>1</v>
      </c>
      <c r="AE12" s="69">
        <v>1</v>
      </c>
      <c r="AF12" s="69">
        <v>1</v>
      </c>
      <c r="AG12" s="69">
        <v>1</v>
      </c>
      <c r="AH12" s="69">
        <v>1</v>
      </c>
      <c r="AI12" s="70">
        <f t="shared" si="1"/>
        <v>77.7</v>
      </c>
      <c r="AJ12" s="70">
        <f t="shared" si="2"/>
        <v>77.7</v>
      </c>
      <c r="AK12" s="70">
        <f t="shared" si="3"/>
        <v>67.42</v>
      </c>
      <c r="AL12" s="70">
        <f t="shared" si="4"/>
        <v>73.64</v>
      </c>
      <c r="AM12" s="70">
        <f t="shared" si="5"/>
        <v>61.88</v>
      </c>
      <c r="AN12" s="70">
        <f t="shared" si="6"/>
        <v>43.82</v>
      </c>
      <c r="AO12" s="70">
        <f t="shared" si="7"/>
        <v>41.524999999999999</v>
      </c>
      <c r="AP12" s="70">
        <f t="shared" si="8"/>
        <v>45.93</v>
      </c>
      <c r="AQ12" s="70">
        <f t="shared" si="9"/>
        <v>42</v>
      </c>
      <c r="AR12" s="70">
        <f t="shared" si="10"/>
        <v>53</v>
      </c>
      <c r="AS12" s="70">
        <f t="shared" si="11"/>
        <v>49.12</v>
      </c>
      <c r="AT12" s="70">
        <f t="shared" si="12"/>
        <v>34.666699999999999</v>
      </c>
      <c r="AU12" s="70">
        <f t="shared" si="13"/>
        <v>28.533300000000001</v>
      </c>
    </row>
    <row r="13" spans="1:47" x14ac:dyDescent="0.25">
      <c r="A13" t="s">
        <v>10</v>
      </c>
      <c r="B13" t="s">
        <v>11</v>
      </c>
      <c r="C13" s="56">
        <v>31</v>
      </c>
      <c r="D13" s="56">
        <v>12</v>
      </c>
      <c r="E13" s="56">
        <v>2015</v>
      </c>
      <c r="F13" s="67" t="s">
        <v>177</v>
      </c>
      <c r="G13" s="67" t="s">
        <v>177</v>
      </c>
      <c r="H13" s="68">
        <f t="shared" si="0"/>
        <v>1</v>
      </c>
      <c r="I13" s="71">
        <v>29.17</v>
      </c>
      <c r="J13" s="71">
        <v>29.17</v>
      </c>
      <c r="K13" s="69">
        <v>27.045000000000002</v>
      </c>
      <c r="L13" s="69">
        <v>26.5</v>
      </c>
      <c r="M13" s="69">
        <v>16.600000000000001</v>
      </c>
      <c r="N13" s="69">
        <v>11.88</v>
      </c>
      <c r="O13" s="69">
        <v>12.7</v>
      </c>
      <c r="P13" s="69">
        <v>13.484999999999999</v>
      </c>
      <c r="Q13" s="69">
        <v>11.91</v>
      </c>
      <c r="R13" s="69">
        <v>23.51</v>
      </c>
      <c r="S13" s="69">
        <v>22.84</v>
      </c>
      <c r="T13" s="69">
        <v>20.48</v>
      </c>
      <c r="U13" s="69">
        <v>16.899999999999999</v>
      </c>
      <c r="V13" s="69">
        <v>1</v>
      </c>
      <c r="W13" s="69">
        <v>1</v>
      </c>
      <c r="X13" s="69">
        <v>1</v>
      </c>
      <c r="Y13" s="69">
        <v>1</v>
      </c>
      <c r="Z13" s="69">
        <v>1</v>
      </c>
      <c r="AA13" s="69">
        <v>1</v>
      </c>
      <c r="AB13" s="69">
        <v>1</v>
      </c>
      <c r="AC13" s="69">
        <v>1</v>
      </c>
      <c r="AD13" s="69">
        <v>1</v>
      </c>
      <c r="AE13" s="69">
        <v>1</v>
      </c>
      <c r="AF13" s="69">
        <v>1</v>
      </c>
      <c r="AG13" s="69">
        <v>1</v>
      </c>
      <c r="AH13" s="69">
        <v>1</v>
      </c>
      <c r="AI13" s="70">
        <f t="shared" si="1"/>
        <v>29.17</v>
      </c>
      <c r="AJ13" s="70">
        <f t="shared" si="2"/>
        <v>29.17</v>
      </c>
      <c r="AK13" s="70">
        <f t="shared" si="3"/>
        <v>27.045000000000002</v>
      </c>
      <c r="AL13" s="70">
        <f t="shared" si="4"/>
        <v>26.5</v>
      </c>
      <c r="AM13" s="70">
        <f t="shared" si="5"/>
        <v>16.600000000000001</v>
      </c>
      <c r="AN13" s="70">
        <f t="shared" si="6"/>
        <v>11.88</v>
      </c>
      <c r="AO13" s="70">
        <f t="shared" si="7"/>
        <v>12.7</v>
      </c>
      <c r="AP13" s="70">
        <f t="shared" si="8"/>
        <v>13.484999999999999</v>
      </c>
      <c r="AQ13" s="70">
        <f t="shared" si="9"/>
        <v>11.91</v>
      </c>
      <c r="AR13" s="70">
        <f t="shared" si="10"/>
        <v>23.51</v>
      </c>
      <c r="AS13" s="70">
        <f t="shared" si="11"/>
        <v>22.84</v>
      </c>
      <c r="AT13" s="70">
        <f t="shared" si="12"/>
        <v>20.48</v>
      </c>
      <c r="AU13" s="70">
        <f t="shared" si="13"/>
        <v>16.899999999999999</v>
      </c>
    </row>
    <row r="14" spans="1:47" x14ac:dyDescent="0.25">
      <c r="A14" t="s">
        <v>12</v>
      </c>
      <c r="B14" t="s">
        <v>13</v>
      </c>
      <c r="C14" s="56">
        <v>31</v>
      </c>
      <c r="D14" s="56">
        <v>12</v>
      </c>
      <c r="E14" s="56">
        <v>2015</v>
      </c>
      <c r="F14" s="67" t="s">
        <v>177</v>
      </c>
      <c r="G14" s="67" t="s">
        <v>177</v>
      </c>
      <c r="H14" s="68">
        <f t="shared" si="0"/>
        <v>1</v>
      </c>
      <c r="I14" s="71">
        <v>16.5</v>
      </c>
      <c r="J14" s="71">
        <v>16.5</v>
      </c>
      <c r="K14" s="69">
        <v>13.25</v>
      </c>
      <c r="L14" s="69">
        <v>12.43</v>
      </c>
      <c r="M14" s="69">
        <v>8.5950000000000006</v>
      </c>
      <c r="N14" s="69">
        <v>8.8650000000000002</v>
      </c>
      <c r="O14" s="69">
        <v>9.6549999999999994</v>
      </c>
      <c r="P14" s="69">
        <v>10.29</v>
      </c>
      <c r="Q14" s="69">
        <v>10.75</v>
      </c>
      <c r="R14" s="69">
        <v>15.02</v>
      </c>
      <c r="S14" s="69">
        <v>13.84</v>
      </c>
      <c r="T14" s="69">
        <v>14.08</v>
      </c>
      <c r="U14" s="69">
        <v>16.649999999999999</v>
      </c>
      <c r="V14" s="69">
        <v>1</v>
      </c>
      <c r="W14" s="69">
        <v>1</v>
      </c>
      <c r="X14" s="69">
        <v>1</v>
      </c>
      <c r="Y14" s="69">
        <v>1</v>
      </c>
      <c r="Z14" s="69">
        <v>1</v>
      </c>
      <c r="AA14" s="69">
        <v>1</v>
      </c>
      <c r="AB14" s="69">
        <v>1</v>
      </c>
      <c r="AC14" s="69">
        <v>1</v>
      </c>
      <c r="AD14" s="69">
        <v>1</v>
      </c>
      <c r="AE14" s="69">
        <v>1</v>
      </c>
      <c r="AF14" s="69">
        <v>1</v>
      </c>
      <c r="AG14" s="69">
        <v>1</v>
      </c>
      <c r="AH14" s="69">
        <v>1</v>
      </c>
      <c r="AI14" s="70">
        <f t="shared" si="1"/>
        <v>16.5</v>
      </c>
      <c r="AJ14" s="70">
        <f t="shared" si="2"/>
        <v>16.5</v>
      </c>
      <c r="AK14" s="70">
        <f t="shared" si="3"/>
        <v>13.25</v>
      </c>
      <c r="AL14" s="70">
        <f t="shared" si="4"/>
        <v>12.43</v>
      </c>
      <c r="AM14" s="70">
        <f t="shared" si="5"/>
        <v>8.5950000000000006</v>
      </c>
      <c r="AN14" s="70">
        <f t="shared" si="6"/>
        <v>8.8650000000000002</v>
      </c>
      <c r="AO14" s="70">
        <f t="shared" si="7"/>
        <v>9.6549999999999994</v>
      </c>
      <c r="AP14" s="70">
        <f t="shared" si="8"/>
        <v>10.29</v>
      </c>
      <c r="AQ14" s="70">
        <f t="shared" si="9"/>
        <v>10.75</v>
      </c>
      <c r="AR14" s="70">
        <f t="shared" si="10"/>
        <v>15.02</v>
      </c>
      <c r="AS14" s="70">
        <f t="shared" si="11"/>
        <v>13.84</v>
      </c>
      <c r="AT14" s="70">
        <f t="shared" si="12"/>
        <v>14.08</v>
      </c>
      <c r="AU14" s="70">
        <f t="shared" si="13"/>
        <v>16.649999999999999</v>
      </c>
    </row>
    <row r="15" spans="1:47" x14ac:dyDescent="0.25">
      <c r="A15" t="s">
        <v>81</v>
      </c>
      <c r="B15" t="s">
        <v>172</v>
      </c>
      <c r="C15" s="56">
        <v>31</v>
      </c>
      <c r="D15" s="56">
        <v>12</v>
      </c>
      <c r="E15" s="56">
        <v>2015</v>
      </c>
      <c r="F15" s="67" t="s">
        <v>177</v>
      </c>
      <c r="G15" s="67" t="s">
        <v>177</v>
      </c>
      <c r="H15" s="68">
        <f t="shared" si="0"/>
        <v>1</v>
      </c>
      <c r="I15" s="71">
        <v>104.45</v>
      </c>
      <c r="J15" s="71">
        <v>104.45</v>
      </c>
      <c r="K15" s="69">
        <v>89.42</v>
      </c>
      <c r="L15" s="69">
        <v>84.31</v>
      </c>
      <c r="M15" s="69">
        <v>62.2</v>
      </c>
      <c r="N15" s="69">
        <v>44.59</v>
      </c>
      <c r="O15" s="69">
        <v>46.534999999999997</v>
      </c>
      <c r="P15" s="69">
        <v>36.43</v>
      </c>
      <c r="Q15" s="69">
        <v>22.59</v>
      </c>
      <c r="R15" s="69">
        <v>38.43</v>
      </c>
      <c r="S15" s="69">
        <v>37.159999999999997</v>
      </c>
      <c r="T15" s="69">
        <v>28.333300000000001</v>
      </c>
      <c r="U15" s="69">
        <v>21.333300000000001</v>
      </c>
      <c r="V15" s="69">
        <v>1</v>
      </c>
      <c r="W15" s="69">
        <v>1</v>
      </c>
      <c r="X15" s="69">
        <v>1</v>
      </c>
      <c r="Y15" s="69">
        <v>1</v>
      </c>
      <c r="Z15" s="69">
        <v>1</v>
      </c>
      <c r="AA15" s="69">
        <v>1</v>
      </c>
      <c r="AB15" s="69">
        <v>1</v>
      </c>
      <c r="AC15" s="69">
        <v>1</v>
      </c>
      <c r="AD15" s="69">
        <v>1</v>
      </c>
      <c r="AE15" s="69">
        <v>1</v>
      </c>
      <c r="AF15" s="69">
        <v>1</v>
      </c>
      <c r="AG15" s="69">
        <v>1</v>
      </c>
      <c r="AH15" s="69">
        <v>1</v>
      </c>
      <c r="AI15" s="70">
        <f t="shared" si="1"/>
        <v>104.45</v>
      </c>
      <c r="AJ15" s="70">
        <f t="shared" si="2"/>
        <v>104.45</v>
      </c>
      <c r="AK15" s="70">
        <f t="shared" si="3"/>
        <v>89.42</v>
      </c>
      <c r="AL15" s="70">
        <f t="shared" si="4"/>
        <v>84.31</v>
      </c>
      <c r="AM15" s="70">
        <f t="shared" si="5"/>
        <v>62.2</v>
      </c>
      <c r="AN15" s="70">
        <f t="shared" si="6"/>
        <v>44.59</v>
      </c>
      <c r="AO15" s="70">
        <f t="shared" si="7"/>
        <v>46.534999999999997</v>
      </c>
      <c r="AP15" s="70">
        <f t="shared" si="8"/>
        <v>36.43</v>
      </c>
      <c r="AQ15" s="70">
        <f t="shared" si="9"/>
        <v>22.59</v>
      </c>
      <c r="AR15" s="70">
        <f t="shared" si="10"/>
        <v>38.43</v>
      </c>
      <c r="AS15" s="70">
        <f t="shared" si="11"/>
        <v>37.159999999999997</v>
      </c>
      <c r="AT15" s="70">
        <f t="shared" si="12"/>
        <v>28.333300000000001</v>
      </c>
      <c r="AU15" s="70">
        <f t="shared" si="13"/>
        <v>21.333300000000001</v>
      </c>
    </row>
    <row r="16" spans="1:47" x14ac:dyDescent="0.25">
      <c r="A16" t="s">
        <v>273</v>
      </c>
      <c r="B16" t="s">
        <v>283</v>
      </c>
      <c r="C16" s="56">
        <v>31</v>
      </c>
      <c r="D16" s="56">
        <v>12</v>
      </c>
      <c r="E16" s="56">
        <v>2015</v>
      </c>
      <c r="F16" s="67" t="s">
        <v>177</v>
      </c>
      <c r="G16" s="67" t="s">
        <v>177</v>
      </c>
      <c r="H16" s="68">
        <f t="shared" si="0"/>
        <v>1</v>
      </c>
      <c r="I16" s="71">
        <v>173.65</v>
      </c>
      <c r="J16" s="71">
        <v>173.65</v>
      </c>
      <c r="K16" s="69">
        <v>154.19999999999999</v>
      </c>
      <c r="L16" s="69">
        <v>152.05000000000001</v>
      </c>
      <c r="M16" s="69">
        <v>132</v>
      </c>
      <c r="N16" s="69">
        <v>114.95</v>
      </c>
      <c r="O16" s="69">
        <v>113.55</v>
      </c>
      <c r="P16" s="69">
        <v>84.16</v>
      </c>
      <c r="Q16" s="69">
        <v>59.85</v>
      </c>
      <c r="R16" s="69">
        <v>90.45</v>
      </c>
      <c r="S16" s="69">
        <v>78.260000000000005</v>
      </c>
      <c r="T16" s="69">
        <v>65.77</v>
      </c>
      <c r="U16" s="69">
        <v>46.06</v>
      </c>
      <c r="V16" s="69">
        <v>1</v>
      </c>
      <c r="W16" s="69">
        <v>1</v>
      </c>
      <c r="X16" s="69">
        <v>1</v>
      </c>
      <c r="Y16" s="69">
        <v>1</v>
      </c>
      <c r="Z16" s="69">
        <v>1</v>
      </c>
      <c r="AA16" s="69">
        <v>1</v>
      </c>
      <c r="AB16" s="69">
        <v>1</v>
      </c>
      <c r="AC16" s="69">
        <v>1</v>
      </c>
      <c r="AD16" s="69">
        <v>1</v>
      </c>
      <c r="AE16" s="69">
        <v>1</v>
      </c>
      <c r="AF16" s="69">
        <v>1</v>
      </c>
      <c r="AG16" s="69">
        <v>1</v>
      </c>
      <c r="AH16" s="69">
        <v>1</v>
      </c>
      <c r="AI16" s="70">
        <f t="shared" si="1"/>
        <v>173.65</v>
      </c>
      <c r="AJ16" s="70">
        <f t="shared" si="2"/>
        <v>173.65</v>
      </c>
      <c r="AK16" s="70">
        <f t="shared" si="3"/>
        <v>154.19999999999999</v>
      </c>
      <c r="AL16" s="70">
        <f t="shared" si="4"/>
        <v>152.05000000000001</v>
      </c>
      <c r="AM16" s="70">
        <f t="shared" si="5"/>
        <v>132</v>
      </c>
      <c r="AN16" s="70">
        <f t="shared" si="6"/>
        <v>114.95</v>
      </c>
      <c r="AO16" s="70">
        <f t="shared" si="7"/>
        <v>113.55</v>
      </c>
      <c r="AP16" s="70">
        <f t="shared" si="8"/>
        <v>84.16</v>
      </c>
      <c r="AQ16" s="70">
        <f t="shared" si="9"/>
        <v>59.85</v>
      </c>
      <c r="AR16" s="70">
        <f t="shared" si="10"/>
        <v>90.45</v>
      </c>
      <c r="AS16" s="70">
        <f t="shared" si="11"/>
        <v>78.260000000000005</v>
      </c>
      <c r="AT16" s="70">
        <f t="shared" si="12"/>
        <v>65.77</v>
      </c>
      <c r="AU16" s="70">
        <f t="shared" si="13"/>
        <v>46.06</v>
      </c>
    </row>
    <row r="17" spans="1:47" x14ac:dyDescent="0.25">
      <c r="A17" t="s">
        <v>14</v>
      </c>
      <c r="B17" t="s">
        <v>15</v>
      </c>
      <c r="C17" s="56">
        <v>31</v>
      </c>
      <c r="D17" s="56">
        <v>12</v>
      </c>
      <c r="E17" s="56">
        <v>2015</v>
      </c>
      <c r="F17" s="67" t="s">
        <v>177</v>
      </c>
      <c r="G17" s="67" t="s">
        <v>177</v>
      </c>
      <c r="H17" s="68">
        <f t="shared" si="0"/>
        <v>1</v>
      </c>
      <c r="I17" s="71">
        <v>68.62</v>
      </c>
      <c r="J17" s="71">
        <v>68.62</v>
      </c>
      <c r="K17" s="69">
        <v>58.26</v>
      </c>
      <c r="L17" s="69">
        <v>62.31</v>
      </c>
      <c r="M17" s="69">
        <v>60.69</v>
      </c>
      <c r="N17" s="69">
        <v>40.85</v>
      </c>
      <c r="O17" s="69">
        <v>38.1</v>
      </c>
      <c r="P17" s="69">
        <v>33</v>
      </c>
      <c r="Q17" s="69">
        <v>25.24</v>
      </c>
      <c r="R17" s="69">
        <v>35.53</v>
      </c>
      <c r="S17" s="69">
        <v>40.26</v>
      </c>
      <c r="T17" s="69">
        <v>38.29</v>
      </c>
      <c r="U17" s="69">
        <v>32.85</v>
      </c>
      <c r="V17" s="69">
        <v>1</v>
      </c>
      <c r="W17" s="69">
        <v>1</v>
      </c>
      <c r="X17" s="69">
        <v>1</v>
      </c>
      <c r="Y17" s="69">
        <v>1</v>
      </c>
      <c r="Z17" s="69">
        <v>1</v>
      </c>
      <c r="AA17" s="69">
        <v>1</v>
      </c>
      <c r="AB17" s="69">
        <v>1</v>
      </c>
      <c r="AC17" s="69">
        <v>1</v>
      </c>
      <c r="AD17" s="69">
        <v>1</v>
      </c>
      <c r="AE17" s="69">
        <v>1</v>
      </c>
      <c r="AF17" s="69">
        <v>1</v>
      </c>
      <c r="AG17" s="69">
        <v>1</v>
      </c>
      <c r="AH17" s="69">
        <v>1</v>
      </c>
      <c r="AI17" s="70">
        <f t="shared" si="1"/>
        <v>68.62</v>
      </c>
      <c r="AJ17" s="70">
        <f t="shared" si="2"/>
        <v>68.62</v>
      </c>
      <c r="AK17" s="70">
        <f t="shared" si="3"/>
        <v>58.26</v>
      </c>
      <c r="AL17" s="70">
        <f t="shared" si="4"/>
        <v>62.31</v>
      </c>
      <c r="AM17" s="70">
        <f t="shared" si="5"/>
        <v>60.69</v>
      </c>
      <c r="AN17" s="70">
        <f t="shared" si="6"/>
        <v>40.85</v>
      </c>
      <c r="AO17" s="70">
        <f t="shared" si="7"/>
        <v>38.1</v>
      </c>
      <c r="AP17" s="70">
        <f t="shared" si="8"/>
        <v>33</v>
      </c>
      <c r="AQ17" s="70">
        <f t="shared" si="9"/>
        <v>25.24</v>
      </c>
      <c r="AR17" s="70">
        <f t="shared" si="10"/>
        <v>35.53</v>
      </c>
      <c r="AS17" s="70">
        <f t="shared" si="11"/>
        <v>40.26</v>
      </c>
      <c r="AT17" s="70">
        <f t="shared" si="12"/>
        <v>38.29</v>
      </c>
      <c r="AU17" s="70">
        <f t="shared" si="13"/>
        <v>32.85</v>
      </c>
    </row>
    <row r="18" spans="1:47" x14ac:dyDescent="0.25">
      <c r="A18" t="s">
        <v>16</v>
      </c>
      <c r="B18" t="s">
        <v>17</v>
      </c>
      <c r="C18" s="56">
        <v>30</v>
      </c>
      <c r="D18" s="56">
        <v>9</v>
      </c>
      <c r="E18" s="56">
        <v>2015</v>
      </c>
      <c r="F18" s="67" t="s">
        <v>177</v>
      </c>
      <c r="G18" s="67" t="s">
        <v>177</v>
      </c>
      <c r="H18" s="68">
        <f t="shared" si="0"/>
        <v>1</v>
      </c>
      <c r="I18" s="71">
        <v>97.49</v>
      </c>
      <c r="J18" s="71">
        <v>97.49</v>
      </c>
      <c r="K18" s="69">
        <v>94.37</v>
      </c>
      <c r="L18" s="69">
        <v>89.06</v>
      </c>
      <c r="M18" s="69">
        <v>77.61</v>
      </c>
      <c r="N18" s="69">
        <v>68.12</v>
      </c>
      <c r="O18" s="69">
        <v>77.430000000000007</v>
      </c>
      <c r="P18" s="69">
        <v>63.28</v>
      </c>
      <c r="Q18" s="69">
        <v>65.75</v>
      </c>
      <c r="R18" s="69">
        <v>96.42</v>
      </c>
      <c r="S18" s="69">
        <v>68.8</v>
      </c>
      <c r="T18" s="69">
        <v>64.099999999999994</v>
      </c>
      <c r="U18" s="69">
        <v>59.21</v>
      </c>
      <c r="V18" s="69">
        <v>1</v>
      </c>
      <c r="W18" s="69">
        <v>1</v>
      </c>
      <c r="X18" s="69">
        <v>1</v>
      </c>
      <c r="Y18" s="69">
        <v>1</v>
      </c>
      <c r="Z18" s="69">
        <v>1</v>
      </c>
      <c r="AA18" s="69">
        <v>1</v>
      </c>
      <c r="AB18" s="69">
        <v>1</v>
      </c>
      <c r="AC18" s="69">
        <v>1</v>
      </c>
      <c r="AD18" s="69">
        <v>1</v>
      </c>
      <c r="AE18" s="69">
        <v>1</v>
      </c>
      <c r="AF18" s="69">
        <v>1</v>
      </c>
      <c r="AG18" s="69">
        <v>1</v>
      </c>
      <c r="AH18" s="69">
        <v>1</v>
      </c>
      <c r="AI18" s="70">
        <f t="shared" si="1"/>
        <v>97.49</v>
      </c>
      <c r="AJ18" s="70">
        <f t="shared" si="2"/>
        <v>97.49</v>
      </c>
      <c r="AK18" s="70">
        <f t="shared" si="3"/>
        <v>94.37</v>
      </c>
      <c r="AL18" s="70">
        <f t="shared" si="4"/>
        <v>89.06</v>
      </c>
      <c r="AM18" s="70">
        <f t="shared" si="5"/>
        <v>77.61</v>
      </c>
      <c r="AN18" s="70">
        <f t="shared" si="6"/>
        <v>68.12</v>
      </c>
      <c r="AO18" s="70">
        <f t="shared" si="7"/>
        <v>77.430000000000007</v>
      </c>
      <c r="AP18" s="70">
        <f t="shared" si="8"/>
        <v>63.28</v>
      </c>
      <c r="AQ18" s="70">
        <f t="shared" si="9"/>
        <v>65.75</v>
      </c>
      <c r="AR18" s="70">
        <f t="shared" si="10"/>
        <v>96.42</v>
      </c>
      <c r="AS18" s="70">
        <f t="shared" si="11"/>
        <v>68.8</v>
      </c>
      <c r="AT18" s="70">
        <f t="shared" si="12"/>
        <v>64.099999999999994</v>
      </c>
      <c r="AU18" s="70">
        <f t="shared" si="13"/>
        <v>59.21</v>
      </c>
    </row>
    <row r="19" spans="1:47" x14ac:dyDescent="0.25">
      <c r="A19" t="s">
        <v>18</v>
      </c>
      <c r="B19" t="s">
        <v>19</v>
      </c>
      <c r="C19" s="56">
        <v>31</v>
      </c>
      <c r="D19" s="56">
        <v>12</v>
      </c>
      <c r="E19" s="56">
        <v>2015</v>
      </c>
      <c r="F19" s="67" t="s">
        <v>177</v>
      </c>
      <c r="G19" s="67" t="s">
        <v>177</v>
      </c>
      <c r="H19" s="68">
        <f t="shared" si="0"/>
        <v>1</v>
      </c>
      <c r="I19" s="71">
        <v>152.05000000000001</v>
      </c>
      <c r="J19" s="71">
        <v>152.05000000000001</v>
      </c>
      <c r="K19" s="69">
        <v>137.35</v>
      </c>
      <c r="L19" s="69">
        <v>130.35</v>
      </c>
      <c r="M19" s="69">
        <v>104.8</v>
      </c>
      <c r="N19" s="69">
        <v>73.91</v>
      </c>
      <c r="O19" s="69">
        <v>88.93</v>
      </c>
      <c r="P19" s="69">
        <v>87.15</v>
      </c>
      <c r="Q19" s="69">
        <v>75</v>
      </c>
      <c r="R19" s="69">
        <v>147.94999999999999</v>
      </c>
      <c r="S19" s="69">
        <v>154.76</v>
      </c>
      <c r="T19" s="69">
        <v>127.94</v>
      </c>
      <c r="U19" s="69">
        <v>97.6</v>
      </c>
      <c r="V19" s="69">
        <v>1</v>
      </c>
      <c r="W19" s="69">
        <v>1</v>
      </c>
      <c r="X19" s="69">
        <v>1</v>
      </c>
      <c r="Y19" s="69">
        <v>1</v>
      </c>
      <c r="Z19" s="69">
        <v>1</v>
      </c>
      <c r="AA19" s="69">
        <v>1</v>
      </c>
      <c r="AB19" s="69">
        <v>1</v>
      </c>
      <c r="AC19" s="69">
        <v>1</v>
      </c>
      <c r="AD19" s="69">
        <v>1</v>
      </c>
      <c r="AE19" s="69">
        <v>1</v>
      </c>
      <c r="AF19" s="69">
        <v>1</v>
      </c>
      <c r="AG19" s="69">
        <v>1</v>
      </c>
      <c r="AH19" s="69">
        <v>1</v>
      </c>
      <c r="AI19" s="70">
        <f t="shared" si="1"/>
        <v>152.05000000000001</v>
      </c>
      <c r="AJ19" s="70">
        <f t="shared" si="2"/>
        <v>152.05000000000001</v>
      </c>
      <c r="AK19" s="70">
        <f t="shared" si="3"/>
        <v>137.35</v>
      </c>
      <c r="AL19" s="70">
        <f t="shared" si="4"/>
        <v>130.35</v>
      </c>
      <c r="AM19" s="70">
        <f t="shared" si="5"/>
        <v>104.8</v>
      </c>
      <c r="AN19" s="70">
        <f t="shared" si="6"/>
        <v>73.91</v>
      </c>
      <c r="AO19" s="70">
        <f t="shared" si="7"/>
        <v>88.93</v>
      </c>
      <c r="AP19" s="70">
        <f t="shared" si="8"/>
        <v>87.15</v>
      </c>
      <c r="AQ19" s="70">
        <f t="shared" si="9"/>
        <v>75</v>
      </c>
      <c r="AR19" s="70">
        <f t="shared" si="10"/>
        <v>147.94999999999999</v>
      </c>
      <c r="AS19" s="70">
        <f t="shared" si="11"/>
        <v>154.76</v>
      </c>
      <c r="AT19" s="70">
        <f t="shared" si="12"/>
        <v>127.94</v>
      </c>
      <c r="AU19" s="70">
        <f t="shared" si="13"/>
        <v>97.6</v>
      </c>
    </row>
    <row r="20" spans="1:47" x14ac:dyDescent="0.25">
      <c r="A20" t="s">
        <v>20</v>
      </c>
      <c r="B20" t="s">
        <v>21</v>
      </c>
      <c r="C20" s="56">
        <v>31</v>
      </c>
      <c r="D20" s="56">
        <v>12</v>
      </c>
      <c r="E20" s="56">
        <v>2015</v>
      </c>
      <c r="F20" s="67" t="s">
        <v>177</v>
      </c>
      <c r="G20" s="67" t="s">
        <v>177</v>
      </c>
      <c r="H20" s="68">
        <f t="shared" si="0"/>
        <v>1</v>
      </c>
      <c r="I20" s="71">
        <v>175.5</v>
      </c>
      <c r="J20" s="71">
        <v>175.5</v>
      </c>
      <c r="K20" s="69">
        <v>165.75</v>
      </c>
      <c r="L20" s="69">
        <v>160.15</v>
      </c>
      <c r="M20" s="69">
        <v>136</v>
      </c>
      <c r="N20" s="69">
        <v>94.78</v>
      </c>
      <c r="O20" s="69">
        <v>113.45</v>
      </c>
      <c r="P20" s="69">
        <v>108.67</v>
      </c>
      <c r="Q20" s="69">
        <v>111</v>
      </c>
      <c r="R20" s="69">
        <v>132.94</v>
      </c>
      <c r="S20" s="69">
        <v>130.41999999999999</v>
      </c>
      <c r="T20" s="69">
        <v>114.38</v>
      </c>
      <c r="U20" s="69">
        <v>90.45</v>
      </c>
      <c r="V20" s="69">
        <v>1</v>
      </c>
      <c r="W20" s="69">
        <v>1</v>
      </c>
      <c r="X20" s="69">
        <v>1</v>
      </c>
      <c r="Y20" s="69">
        <v>1</v>
      </c>
      <c r="Z20" s="69">
        <v>1</v>
      </c>
      <c r="AA20" s="69">
        <v>1</v>
      </c>
      <c r="AB20" s="69">
        <v>1</v>
      </c>
      <c r="AC20" s="69">
        <v>1</v>
      </c>
      <c r="AD20" s="69">
        <v>1</v>
      </c>
      <c r="AE20" s="69">
        <v>1</v>
      </c>
      <c r="AF20" s="69">
        <v>1</v>
      </c>
      <c r="AG20" s="69">
        <v>1</v>
      </c>
      <c r="AH20" s="69">
        <v>1</v>
      </c>
      <c r="AI20" s="70">
        <f t="shared" si="1"/>
        <v>175.5</v>
      </c>
      <c r="AJ20" s="70">
        <f t="shared" si="2"/>
        <v>175.5</v>
      </c>
      <c r="AK20" s="70">
        <f t="shared" si="3"/>
        <v>165.75</v>
      </c>
      <c r="AL20" s="70">
        <f t="shared" si="4"/>
        <v>160.15</v>
      </c>
      <c r="AM20" s="70">
        <f t="shared" si="5"/>
        <v>136</v>
      </c>
      <c r="AN20" s="70">
        <f t="shared" si="6"/>
        <v>94.78</v>
      </c>
      <c r="AO20" s="70">
        <f t="shared" si="7"/>
        <v>113.45</v>
      </c>
      <c r="AP20" s="70">
        <f t="shared" si="8"/>
        <v>108.67</v>
      </c>
      <c r="AQ20" s="70">
        <f t="shared" si="9"/>
        <v>111</v>
      </c>
      <c r="AR20" s="70">
        <f t="shared" si="10"/>
        <v>132.94</v>
      </c>
      <c r="AS20" s="70">
        <f t="shared" si="11"/>
        <v>130.41999999999999</v>
      </c>
      <c r="AT20" s="70">
        <f t="shared" si="12"/>
        <v>114.38</v>
      </c>
      <c r="AU20" s="70">
        <f t="shared" si="13"/>
        <v>90.45</v>
      </c>
    </row>
    <row r="21" spans="1:47" x14ac:dyDescent="0.25">
      <c r="A21" t="s">
        <v>22</v>
      </c>
      <c r="B21" t="s">
        <v>23</v>
      </c>
      <c r="C21" s="56">
        <v>31</v>
      </c>
      <c r="D21" s="56">
        <v>12</v>
      </c>
      <c r="E21" s="56">
        <v>2015</v>
      </c>
      <c r="F21" s="67" t="s">
        <v>177</v>
      </c>
      <c r="G21" s="67" t="s">
        <v>177</v>
      </c>
      <c r="H21" s="68">
        <f t="shared" si="0"/>
        <v>1</v>
      </c>
      <c r="I21" s="71">
        <v>89.07</v>
      </c>
      <c r="J21" s="71">
        <v>89.07</v>
      </c>
      <c r="K21" s="69">
        <v>69.88</v>
      </c>
      <c r="L21" s="69">
        <v>77.489999999999995</v>
      </c>
      <c r="M21" s="69">
        <v>71.150000000000006</v>
      </c>
      <c r="N21" s="69">
        <v>53.89</v>
      </c>
      <c r="O21" s="69">
        <v>59.7</v>
      </c>
      <c r="P21" s="69">
        <v>43.46</v>
      </c>
      <c r="Q21" s="69">
        <v>27.73</v>
      </c>
      <c r="R21" s="69">
        <v>50.704999999999998</v>
      </c>
      <c r="S21" s="69">
        <v>36.924999999999997</v>
      </c>
      <c r="T21" s="69">
        <v>32.354999999999997</v>
      </c>
      <c r="U21" s="69">
        <v>26.5</v>
      </c>
      <c r="V21" s="69">
        <v>1</v>
      </c>
      <c r="W21" s="69">
        <v>1</v>
      </c>
      <c r="X21" s="69">
        <v>1</v>
      </c>
      <c r="Y21" s="69">
        <v>1</v>
      </c>
      <c r="Z21" s="69">
        <v>1</v>
      </c>
      <c r="AA21" s="69">
        <v>1</v>
      </c>
      <c r="AB21" s="69">
        <v>1</v>
      </c>
      <c r="AC21" s="69">
        <v>1</v>
      </c>
      <c r="AD21" s="69">
        <v>1</v>
      </c>
      <c r="AE21" s="69">
        <v>1</v>
      </c>
      <c r="AF21" s="69">
        <v>1</v>
      </c>
      <c r="AG21" s="69">
        <v>1</v>
      </c>
      <c r="AH21" s="69">
        <v>1</v>
      </c>
      <c r="AI21" s="70">
        <f t="shared" si="1"/>
        <v>89.07</v>
      </c>
      <c r="AJ21" s="70">
        <f t="shared" si="2"/>
        <v>89.07</v>
      </c>
      <c r="AK21" s="70">
        <f t="shared" si="3"/>
        <v>69.88</v>
      </c>
      <c r="AL21" s="70">
        <f t="shared" si="4"/>
        <v>77.489999999999995</v>
      </c>
      <c r="AM21" s="70">
        <f t="shared" si="5"/>
        <v>71.150000000000006</v>
      </c>
      <c r="AN21" s="70">
        <f t="shared" si="6"/>
        <v>53.89</v>
      </c>
      <c r="AO21" s="70">
        <f t="shared" si="7"/>
        <v>59.7</v>
      </c>
      <c r="AP21" s="70">
        <f t="shared" si="8"/>
        <v>43.46</v>
      </c>
      <c r="AQ21" s="70">
        <f t="shared" si="9"/>
        <v>27.73</v>
      </c>
      <c r="AR21" s="70">
        <f t="shared" si="10"/>
        <v>50.704999999999998</v>
      </c>
      <c r="AS21" s="70">
        <f t="shared" si="11"/>
        <v>36.924999999999997</v>
      </c>
      <c r="AT21" s="70">
        <f t="shared" si="12"/>
        <v>32.354999999999997</v>
      </c>
      <c r="AU21" s="70">
        <f t="shared" si="13"/>
        <v>26.5</v>
      </c>
    </row>
    <row r="22" spans="1:47" x14ac:dyDescent="0.25">
      <c r="A22" t="s">
        <v>24</v>
      </c>
      <c r="B22" t="s">
        <v>25</v>
      </c>
      <c r="C22" s="56">
        <v>31</v>
      </c>
      <c r="D22" s="56">
        <v>12</v>
      </c>
      <c r="E22" s="56">
        <v>2015</v>
      </c>
      <c r="F22" s="67" t="s">
        <v>177</v>
      </c>
      <c r="G22" s="67" t="s">
        <v>177</v>
      </c>
      <c r="H22" s="68">
        <f t="shared" si="0"/>
        <v>1</v>
      </c>
      <c r="I22" s="71">
        <v>129</v>
      </c>
      <c r="J22" s="71">
        <v>129</v>
      </c>
      <c r="K22" s="69">
        <v>113</v>
      </c>
      <c r="L22" s="69">
        <v>101.95</v>
      </c>
      <c r="M22" s="69">
        <v>71.89</v>
      </c>
      <c r="N22" s="69">
        <v>49.4</v>
      </c>
      <c r="O22" s="69">
        <v>55.3</v>
      </c>
      <c r="P22" s="69">
        <v>55.96</v>
      </c>
      <c r="Q22" s="69">
        <v>41.55</v>
      </c>
      <c r="R22" s="69">
        <v>62.53</v>
      </c>
      <c r="S22" s="69">
        <v>40.659999999999997</v>
      </c>
      <c r="T22" s="69">
        <v>35.29</v>
      </c>
      <c r="U22" s="69">
        <v>24.94</v>
      </c>
      <c r="V22" s="69">
        <v>1</v>
      </c>
      <c r="W22" s="69">
        <v>1</v>
      </c>
      <c r="X22" s="69">
        <v>1</v>
      </c>
      <c r="Y22" s="69">
        <v>1</v>
      </c>
      <c r="Z22" s="69">
        <v>1</v>
      </c>
      <c r="AA22" s="69">
        <v>1</v>
      </c>
      <c r="AB22" s="69">
        <v>1</v>
      </c>
      <c r="AC22" s="69">
        <v>1</v>
      </c>
      <c r="AD22" s="69">
        <v>1</v>
      </c>
      <c r="AE22" s="69">
        <v>1</v>
      </c>
      <c r="AF22" s="69">
        <v>1</v>
      </c>
      <c r="AG22" s="69">
        <v>1</v>
      </c>
      <c r="AH22" s="69">
        <v>1</v>
      </c>
      <c r="AI22" s="70">
        <f t="shared" si="1"/>
        <v>129</v>
      </c>
      <c r="AJ22" s="70">
        <f t="shared" si="2"/>
        <v>129</v>
      </c>
      <c r="AK22" s="70">
        <f t="shared" si="3"/>
        <v>113</v>
      </c>
      <c r="AL22" s="70">
        <f t="shared" si="4"/>
        <v>101.95</v>
      </c>
      <c r="AM22" s="70">
        <f t="shared" si="5"/>
        <v>71.89</v>
      </c>
      <c r="AN22" s="70">
        <f t="shared" si="6"/>
        <v>49.4</v>
      </c>
      <c r="AO22" s="70">
        <f t="shared" si="7"/>
        <v>55.3</v>
      </c>
      <c r="AP22" s="70">
        <f t="shared" si="8"/>
        <v>55.96</v>
      </c>
      <c r="AQ22" s="70">
        <f t="shared" si="9"/>
        <v>41.55</v>
      </c>
      <c r="AR22" s="70">
        <f t="shared" si="10"/>
        <v>62.53</v>
      </c>
      <c r="AS22" s="70">
        <f t="shared" si="11"/>
        <v>40.659999999999997</v>
      </c>
      <c r="AT22" s="70">
        <f t="shared" si="12"/>
        <v>35.29</v>
      </c>
      <c r="AU22" s="70">
        <f t="shared" si="13"/>
        <v>24.94</v>
      </c>
    </row>
    <row r="23" spans="1:47" x14ac:dyDescent="0.25">
      <c r="A23" t="s">
        <v>275</v>
      </c>
      <c r="B23" t="s">
        <v>285</v>
      </c>
      <c r="C23" s="56">
        <v>31</v>
      </c>
      <c r="D23" s="56">
        <v>12</v>
      </c>
      <c r="E23" s="56">
        <v>2015</v>
      </c>
      <c r="F23" s="99" t="s">
        <v>287</v>
      </c>
      <c r="G23" s="99" t="s">
        <v>287</v>
      </c>
      <c r="H23" s="68">
        <f t="shared" si="0"/>
        <v>1</v>
      </c>
      <c r="I23" s="71">
        <v>373</v>
      </c>
      <c r="J23" s="71">
        <v>373</v>
      </c>
      <c r="K23" s="69">
        <v>260.25</v>
      </c>
      <c r="L23" s="69">
        <v>198.75</v>
      </c>
      <c r="M23" s="69">
        <v>188.25</v>
      </c>
      <c r="N23" s="69">
        <v>132.6</v>
      </c>
      <c r="O23" s="69">
        <v>126.75</v>
      </c>
      <c r="P23" s="69">
        <v>66.415000000000006</v>
      </c>
      <c r="Q23" s="69"/>
      <c r="R23" s="69"/>
      <c r="S23" s="69"/>
      <c r="T23" s="69"/>
      <c r="U23" s="69"/>
      <c r="V23" s="69">
        <v>1</v>
      </c>
      <c r="W23" s="69">
        <v>1</v>
      </c>
      <c r="X23" s="69">
        <v>1</v>
      </c>
      <c r="Y23" s="69">
        <v>1</v>
      </c>
      <c r="Z23" s="69">
        <v>1</v>
      </c>
      <c r="AA23" s="69">
        <v>1</v>
      </c>
      <c r="AB23" s="69">
        <v>1</v>
      </c>
      <c r="AC23" s="69">
        <v>1</v>
      </c>
      <c r="AD23" s="69">
        <v>1</v>
      </c>
      <c r="AE23" s="69">
        <v>1</v>
      </c>
      <c r="AF23" s="69">
        <v>1</v>
      </c>
      <c r="AG23" s="69">
        <v>1</v>
      </c>
      <c r="AH23" s="69">
        <v>1</v>
      </c>
      <c r="AI23" s="70">
        <f t="shared" si="1"/>
        <v>373</v>
      </c>
      <c r="AJ23" s="70">
        <f t="shared" si="2"/>
        <v>373</v>
      </c>
      <c r="AK23" s="70">
        <f t="shared" si="3"/>
        <v>260.25</v>
      </c>
      <c r="AL23" s="70">
        <f t="shared" si="4"/>
        <v>198.75</v>
      </c>
      <c r="AM23" s="70">
        <f t="shared" si="5"/>
        <v>188.25</v>
      </c>
      <c r="AN23" s="70">
        <f t="shared" si="6"/>
        <v>132.6</v>
      </c>
      <c r="AO23" s="70">
        <f t="shared" si="7"/>
        <v>126.75</v>
      </c>
      <c r="AP23" s="70">
        <f t="shared" si="8"/>
        <v>66.415000000000006</v>
      </c>
      <c r="AQ23" s="70">
        <f t="shared" si="9"/>
        <v>0</v>
      </c>
      <c r="AR23" s="70">
        <f t="shared" si="10"/>
        <v>0</v>
      </c>
      <c r="AS23" s="70">
        <f t="shared" si="11"/>
        <v>0</v>
      </c>
      <c r="AT23" s="70">
        <f t="shared" si="12"/>
        <v>0</v>
      </c>
      <c r="AU23" s="70">
        <f t="shared" si="13"/>
        <v>0</v>
      </c>
    </row>
    <row r="24" spans="1:47" x14ac:dyDescent="0.25">
      <c r="A24" t="s">
        <v>26</v>
      </c>
      <c r="B24" t="s">
        <v>27</v>
      </c>
      <c r="C24" s="56">
        <v>31</v>
      </c>
      <c r="D24" s="56">
        <v>12</v>
      </c>
      <c r="E24" s="56">
        <v>2015</v>
      </c>
      <c r="F24" s="67" t="s">
        <v>177</v>
      </c>
      <c r="G24" s="67" t="s">
        <v>177</v>
      </c>
      <c r="H24" s="68">
        <f t="shared" si="0"/>
        <v>1</v>
      </c>
      <c r="I24" s="71">
        <v>13.705</v>
      </c>
      <c r="J24" s="71">
        <v>13.705</v>
      </c>
      <c r="K24" s="69">
        <v>11.92</v>
      </c>
      <c r="L24" s="69">
        <v>11.835000000000001</v>
      </c>
      <c r="M24" s="69">
        <v>10.19</v>
      </c>
      <c r="N24" s="69">
        <v>13.385</v>
      </c>
      <c r="O24" s="69">
        <v>16.965</v>
      </c>
      <c r="P24" s="69">
        <v>19.52</v>
      </c>
      <c r="Q24" s="69">
        <v>15.85</v>
      </c>
      <c r="R24" s="69">
        <v>22.22</v>
      </c>
      <c r="S24" s="69">
        <v>16.12</v>
      </c>
      <c r="T24" s="69">
        <v>12.71</v>
      </c>
      <c r="U24" s="69">
        <v>13.86</v>
      </c>
      <c r="V24" s="69">
        <v>1</v>
      </c>
      <c r="W24" s="69">
        <v>1</v>
      </c>
      <c r="X24" s="69">
        <v>1</v>
      </c>
      <c r="Y24" s="69">
        <v>1</v>
      </c>
      <c r="Z24" s="69">
        <v>1</v>
      </c>
      <c r="AA24" s="69">
        <v>1</v>
      </c>
      <c r="AB24" s="69">
        <v>1</v>
      </c>
      <c r="AC24" s="69">
        <v>1</v>
      </c>
      <c r="AD24" s="69">
        <v>1</v>
      </c>
      <c r="AE24" s="69">
        <v>1</v>
      </c>
      <c r="AF24" s="69">
        <v>1</v>
      </c>
      <c r="AG24" s="69">
        <v>1</v>
      </c>
      <c r="AH24" s="69">
        <v>1</v>
      </c>
      <c r="AI24" s="70">
        <f t="shared" si="1"/>
        <v>13.705</v>
      </c>
      <c r="AJ24" s="70">
        <f t="shared" si="2"/>
        <v>13.705</v>
      </c>
      <c r="AK24" s="70">
        <f t="shared" si="3"/>
        <v>11.92</v>
      </c>
      <c r="AL24" s="70">
        <f t="shared" si="4"/>
        <v>11.835000000000001</v>
      </c>
      <c r="AM24" s="70">
        <f t="shared" si="5"/>
        <v>10.19</v>
      </c>
      <c r="AN24" s="70">
        <f t="shared" si="6"/>
        <v>13.385</v>
      </c>
      <c r="AO24" s="70">
        <f t="shared" si="7"/>
        <v>16.965</v>
      </c>
      <c r="AP24" s="70">
        <f t="shared" si="8"/>
        <v>19.52</v>
      </c>
      <c r="AQ24" s="70">
        <f t="shared" si="9"/>
        <v>15.85</v>
      </c>
      <c r="AR24" s="70">
        <f t="shared" si="10"/>
        <v>22.22</v>
      </c>
      <c r="AS24" s="70">
        <f t="shared" si="11"/>
        <v>16.12</v>
      </c>
      <c r="AT24" s="70">
        <f t="shared" si="12"/>
        <v>12.71</v>
      </c>
      <c r="AU24" s="70">
        <f t="shared" si="13"/>
        <v>13.86</v>
      </c>
    </row>
    <row r="25" spans="1:47" x14ac:dyDescent="0.25">
      <c r="A25" t="s">
        <v>83</v>
      </c>
      <c r="B25" t="s">
        <v>194</v>
      </c>
      <c r="C25" s="56">
        <v>31</v>
      </c>
      <c r="D25" s="56">
        <v>12</v>
      </c>
      <c r="E25" s="56">
        <v>2015</v>
      </c>
      <c r="F25" s="67" t="s">
        <v>177</v>
      </c>
      <c r="G25" s="67" t="s">
        <v>177</v>
      </c>
      <c r="H25" s="68">
        <f t="shared" si="0"/>
        <v>1</v>
      </c>
      <c r="I25" s="71">
        <v>169.2</v>
      </c>
      <c r="J25" s="71">
        <v>169.2</v>
      </c>
      <c r="K25" s="69">
        <v>139.30000000000001</v>
      </c>
      <c r="L25" s="69">
        <v>127.7</v>
      </c>
      <c r="M25" s="69">
        <v>104.9</v>
      </c>
      <c r="N25" s="69">
        <v>80.7</v>
      </c>
      <c r="O25" s="69">
        <v>83.08</v>
      </c>
      <c r="P25" s="69">
        <v>78</v>
      </c>
      <c r="Q25" s="69">
        <v>62.3</v>
      </c>
      <c r="R25" s="69">
        <v>97.98</v>
      </c>
      <c r="S25" s="69">
        <v>75.900000000000006</v>
      </c>
      <c r="T25" s="69">
        <v>62.8</v>
      </c>
      <c r="U25" s="69">
        <v>55.85</v>
      </c>
      <c r="V25" s="69">
        <v>1</v>
      </c>
      <c r="W25" s="69">
        <v>1</v>
      </c>
      <c r="X25" s="69">
        <v>1</v>
      </c>
      <c r="Y25" s="69">
        <v>1</v>
      </c>
      <c r="Z25" s="69">
        <v>1</v>
      </c>
      <c r="AA25" s="69">
        <v>1</v>
      </c>
      <c r="AB25" s="69">
        <v>1</v>
      </c>
      <c r="AC25" s="69">
        <v>1</v>
      </c>
      <c r="AD25" s="69">
        <v>1</v>
      </c>
      <c r="AE25" s="69">
        <v>1</v>
      </c>
      <c r="AF25" s="69">
        <v>1</v>
      </c>
      <c r="AG25" s="69">
        <v>1</v>
      </c>
      <c r="AH25" s="69">
        <v>1</v>
      </c>
      <c r="AI25" s="70">
        <f t="shared" si="1"/>
        <v>169.2</v>
      </c>
      <c r="AJ25" s="70">
        <f t="shared" si="2"/>
        <v>169.2</v>
      </c>
      <c r="AK25" s="70">
        <f t="shared" si="3"/>
        <v>139.30000000000001</v>
      </c>
      <c r="AL25" s="70">
        <f t="shared" si="4"/>
        <v>127.7</v>
      </c>
      <c r="AM25" s="70">
        <f t="shared" si="5"/>
        <v>104.9</v>
      </c>
      <c r="AN25" s="70">
        <f t="shared" si="6"/>
        <v>80.7</v>
      </c>
      <c r="AO25" s="70">
        <f t="shared" si="7"/>
        <v>83.08</v>
      </c>
      <c r="AP25" s="70">
        <f t="shared" si="8"/>
        <v>78</v>
      </c>
      <c r="AQ25" s="70">
        <f t="shared" si="9"/>
        <v>62.3</v>
      </c>
      <c r="AR25" s="70">
        <f t="shared" si="10"/>
        <v>97.98</v>
      </c>
      <c r="AS25" s="70">
        <f t="shared" si="11"/>
        <v>75.900000000000006</v>
      </c>
      <c r="AT25" s="70">
        <f t="shared" si="12"/>
        <v>62.8</v>
      </c>
      <c r="AU25" s="70">
        <f t="shared" si="13"/>
        <v>55.85</v>
      </c>
    </row>
    <row r="26" spans="1:47" x14ac:dyDescent="0.25">
      <c r="A26" t="s">
        <v>85</v>
      </c>
      <c r="B26" t="s">
        <v>195</v>
      </c>
      <c r="C26" s="56">
        <v>31</v>
      </c>
      <c r="D26" s="56">
        <v>12</v>
      </c>
      <c r="E26" s="56">
        <v>2015</v>
      </c>
      <c r="F26" s="67" t="s">
        <v>177</v>
      </c>
      <c r="G26" s="67" t="s">
        <v>177</v>
      </c>
      <c r="H26" s="68">
        <f t="shared" si="0"/>
        <v>1</v>
      </c>
      <c r="I26" s="71">
        <v>91.56</v>
      </c>
      <c r="J26" s="71">
        <v>91.56</v>
      </c>
      <c r="K26" s="69">
        <v>75.66</v>
      </c>
      <c r="L26" s="69">
        <v>77.12</v>
      </c>
      <c r="M26" s="69">
        <v>71.39</v>
      </c>
      <c r="N26" s="69">
        <v>56.75</v>
      </c>
      <c r="O26" s="69">
        <v>47.85</v>
      </c>
      <c r="P26" s="69">
        <v>55.06</v>
      </c>
      <c r="Q26" s="69">
        <v>45.4</v>
      </c>
      <c r="R26" s="69">
        <v>62.98</v>
      </c>
      <c r="S26" s="69">
        <v>69.95</v>
      </c>
      <c r="T26" s="69">
        <v>74</v>
      </c>
      <c r="U26" s="69">
        <v>58.8</v>
      </c>
      <c r="V26" s="69">
        <v>1</v>
      </c>
      <c r="W26" s="69">
        <v>1</v>
      </c>
      <c r="X26" s="69">
        <v>1</v>
      </c>
      <c r="Y26" s="69">
        <v>1</v>
      </c>
      <c r="Z26" s="69">
        <v>1</v>
      </c>
      <c r="AA26" s="69">
        <v>1</v>
      </c>
      <c r="AB26" s="69">
        <v>1</v>
      </c>
      <c r="AC26" s="69">
        <v>1</v>
      </c>
      <c r="AD26" s="69">
        <v>1</v>
      </c>
      <c r="AE26" s="69">
        <v>1</v>
      </c>
      <c r="AF26" s="69">
        <v>1</v>
      </c>
      <c r="AG26" s="69">
        <v>1</v>
      </c>
      <c r="AH26" s="69">
        <v>1</v>
      </c>
      <c r="AI26" s="70">
        <f t="shared" si="1"/>
        <v>91.56</v>
      </c>
      <c r="AJ26" s="70">
        <f t="shared" si="2"/>
        <v>91.56</v>
      </c>
      <c r="AK26" s="70">
        <f t="shared" si="3"/>
        <v>75.66</v>
      </c>
      <c r="AL26" s="70">
        <f t="shared" si="4"/>
        <v>77.12</v>
      </c>
      <c r="AM26" s="70">
        <f t="shared" si="5"/>
        <v>71.39</v>
      </c>
      <c r="AN26" s="70">
        <f t="shared" si="6"/>
        <v>56.75</v>
      </c>
      <c r="AO26" s="70">
        <f t="shared" si="7"/>
        <v>47.85</v>
      </c>
      <c r="AP26" s="70">
        <f t="shared" si="8"/>
        <v>55.06</v>
      </c>
      <c r="AQ26" s="70">
        <f t="shared" si="9"/>
        <v>45.4</v>
      </c>
      <c r="AR26" s="70">
        <f t="shared" si="10"/>
        <v>62.98</v>
      </c>
      <c r="AS26" s="70">
        <f t="shared" si="11"/>
        <v>69.95</v>
      </c>
      <c r="AT26" s="70">
        <f t="shared" si="12"/>
        <v>74</v>
      </c>
      <c r="AU26" s="70">
        <f t="shared" si="13"/>
        <v>58.8</v>
      </c>
    </row>
    <row r="27" spans="1:47" x14ac:dyDescent="0.25">
      <c r="A27" t="s">
        <v>28</v>
      </c>
      <c r="B27" t="s">
        <v>29</v>
      </c>
      <c r="C27" s="56">
        <v>31</v>
      </c>
      <c r="D27" s="56">
        <v>12</v>
      </c>
      <c r="E27" s="56">
        <v>2015</v>
      </c>
      <c r="F27" s="67" t="s">
        <v>177</v>
      </c>
      <c r="G27" s="67" t="s">
        <v>177</v>
      </c>
      <c r="H27" s="68">
        <f t="shared" si="0"/>
        <v>1</v>
      </c>
      <c r="I27" s="71">
        <v>64.38</v>
      </c>
      <c r="J27" s="71">
        <v>64.38</v>
      </c>
      <c r="K27" s="69">
        <v>54.45</v>
      </c>
      <c r="L27" s="69">
        <v>52.32</v>
      </c>
      <c r="M27" s="69">
        <v>49.905000000000001</v>
      </c>
      <c r="N27" s="69">
        <v>48.57</v>
      </c>
      <c r="O27" s="69">
        <v>47.02</v>
      </c>
      <c r="P27" s="69">
        <v>42.83</v>
      </c>
      <c r="Q27" s="69">
        <v>43.18</v>
      </c>
      <c r="R27" s="69">
        <v>61.4</v>
      </c>
      <c r="S27" s="69">
        <v>57.4</v>
      </c>
      <c r="T27" s="69">
        <v>44.125</v>
      </c>
      <c r="U27" s="69">
        <v>33.975000000000001</v>
      </c>
      <c r="V27" s="69">
        <v>1</v>
      </c>
      <c r="W27" s="69">
        <v>1</v>
      </c>
      <c r="X27" s="69">
        <v>1</v>
      </c>
      <c r="Y27" s="69">
        <v>1</v>
      </c>
      <c r="Z27" s="69">
        <v>1</v>
      </c>
      <c r="AA27" s="69">
        <v>1</v>
      </c>
      <c r="AB27" s="69">
        <v>1</v>
      </c>
      <c r="AC27" s="69">
        <v>1</v>
      </c>
      <c r="AD27" s="69">
        <v>1</v>
      </c>
      <c r="AE27" s="69">
        <v>1</v>
      </c>
      <c r="AF27" s="69">
        <v>1</v>
      </c>
      <c r="AG27" s="69">
        <v>1</v>
      </c>
      <c r="AH27" s="69">
        <v>1</v>
      </c>
      <c r="AI27" s="70">
        <f t="shared" si="1"/>
        <v>64.38</v>
      </c>
      <c r="AJ27" s="70">
        <f t="shared" si="2"/>
        <v>64.38</v>
      </c>
      <c r="AK27" s="70">
        <f t="shared" si="3"/>
        <v>54.45</v>
      </c>
      <c r="AL27" s="70">
        <f t="shared" si="4"/>
        <v>52.32</v>
      </c>
      <c r="AM27" s="70">
        <f t="shared" si="5"/>
        <v>49.905000000000001</v>
      </c>
      <c r="AN27" s="70">
        <f t="shared" si="6"/>
        <v>48.57</v>
      </c>
      <c r="AO27" s="70">
        <f t="shared" si="7"/>
        <v>47.02</v>
      </c>
      <c r="AP27" s="70">
        <f t="shared" si="8"/>
        <v>42.83</v>
      </c>
      <c r="AQ27" s="70">
        <f t="shared" si="9"/>
        <v>43.18</v>
      </c>
      <c r="AR27" s="70">
        <f t="shared" si="10"/>
        <v>61.4</v>
      </c>
      <c r="AS27" s="70">
        <f t="shared" si="11"/>
        <v>57.4</v>
      </c>
      <c r="AT27" s="70">
        <f t="shared" si="12"/>
        <v>44.125</v>
      </c>
      <c r="AU27" s="70">
        <f t="shared" si="13"/>
        <v>33.975000000000001</v>
      </c>
    </row>
    <row r="28" spans="1:47" x14ac:dyDescent="0.25">
      <c r="A28" t="s">
        <v>87</v>
      </c>
      <c r="B28" t="s">
        <v>196</v>
      </c>
      <c r="C28" s="56">
        <v>30</v>
      </c>
      <c r="D28" s="56">
        <v>6</v>
      </c>
      <c r="E28" s="56">
        <v>2015</v>
      </c>
      <c r="F28" s="67" t="s">
        <v>178</v>
      </c>
      <c r="G28" s="67" t="s">
        <v>178</v>
      </c>
      <c r="H28" s="68">
        <f t="shared" si="0"/>
        <v>1</v>
      </c>
      <c r="I28" s="71">
        <v>17.965</v>
      </c>
      <c r="J28" s="71">
        <v>17.965</v>
      </c>
      <c r="K28" s="69">
        <v>18.66</v>
      </c>
      <c r="L28" s="69">
        <v>18.8</v>
      </c>
      <c r="M28" s="69">
        <v>16.420000000000002</v>
      </c>
      <c r="N28" s="69">
        <v>12.73</v>
      </c>
      <c r="O28" s="69">
        <v>10.6</v>
      </c>
      <c r="P28" s="69">
        <v>8.7149999999999999</v>
      </c>
      <c r="Q28" s="69">
        <v>9.24</v>
      </c>
      <c r="R28" s="69">
        <v>10.37</v>
      </c>
      <c r="S28" s="69">
        <v>9.0950000000000006</v>
      </c>
      <c r="T28" s="69">
        <v>8.23</v>
      </c>
      <c r="U28" s="69">
        <v>7.4349999999999996</v>
      </c>
      <c r="V28" s="69">
        <v>1</v>
      </c>
      <c r="W28" s="69">
        <v>1</v>
      </c>
      <c r="X28" s="69">
        <v>1</v>
      </c>
      <c r="Y28" s="69">
        <v>1</v>
      </c>
      <c r="Z28" s="69">
        <v>1</v>
      </c>
      <c r="AA28" s="69">
        <v>1</v>
      </c>
      <c r="AB28" s="69">
        <v>1</v>
      </c>
      <c r="AC28" s="69">
        <v>1</v>
      </c>
      <c r="AD28" s="69">
        <v>1</v>
      </c>
      <c r="AE28" s="69">
        <v>1</v>
      </c>
      <c r="AF28" s="69">
        <v>1</v>
      </c>
      <c r="AG28" s="69">
        <v>1</v>
      </c>
      <c r="AH28" s="69">
        <v>1</v>
      </c>
      <c r="AI28" s="70">
        <f t="shared" si="1"/>
        <v>17.965</v>
      </c>
      <c r="AJ28" s="70">
        <f t="shared" si="2"/>
        <v>17.965</v>
      </c>
      <c r="AK28" s="70">
        <f t="shared" si="3"/>
        <v>18.66</v>
      </c>
      <c r="AL28" s="70">
        <f t="shared" si="4"/>
        <v>18.8</v>
      </c>
      <c r="AM28" s="70">
        <f t="shared" si="5"/>
        <v>16.420000000000002</v>
      </c>
      <c r="AN28" s="70">
        <f t="shared" si="6"/>
        <v>12.73</v>
      </c>
      <c r="AO28" s="70">
        <f t="shared" si="7"/>
        <v>10.6</v>
      </c>
      <c r="AP28" s="70">
        <f t="shared" si="8"/>
        <v>8.7149999999999999</v>
      </c>
      <c r="AQ28" s="70">
        <f t="shared" si="9"/>
        <v>9.24</v>
      </c>
      <c r="AR28" s="70">
        <f t="shared" si="10"/>
        <v>10.37</v>
      </c>
      <c r="AS28" s="70">
        <f t="shared" si="11"/>
        <v>9.0950000000000006</v>
      </c>
      <c r="AT28" s="70">
        <f t="shared" si="12"/>
        <v>8.23</v>
      </c>
      <c r="AU28" s="70">
        <f t="shared" si="13"/>
        <v>7.4349999999999996</v>
      </c>
    </row>
    <row r="29" spans="1:47" x14ac:dyDescent="0.25">
      <c r="A29" t="s">
        <v>30</v>
      </c>
      <c r="B29" t="s">
        <v>31</v>
      </c>
      <c r="C29" s="56">
        <v>31</v>
      </c>
      <c r="D29" s="56">
        <v>12</v>
      </c>
      <c r="E29" s="56">
        <v>2015</v>
      </c>
      <c r="F29" s="67" t="s">
        <v>178</v>
      </c>
      <c r="G29" s="67" t="s">
        <v>178</v>
      </c>
      <c r="H29" s="68">
        <f t="shared" si="0"/>
        <v>1</v>
      </c>
      <c r="I29" s="71">
        <v>35.884999999999998</v>
      </c>
      <c r="J29" s="71">
        <v>35.884999999999998</v>
      </c>
      <c r="K29" s="69">
        <v>35</v>
      </c>
      <c r="L29" s="69">
        <v>32.380000000000003</v>
      </c>
      <c r="M29" s="69">
        <v>31.21</v>
      </c>
      <c r="N29" s="69">
        <v>30.555</v>
      </c>
      <c r="O29" s="69">
        <v>24.635000000000002</v>
      </c>
      <c r="P29" s="69">
        <v>20.164999999999999</v>
      </c>
      <c r="Q29" s="69">
        <v>18</v>
      </c>
      <c r="R29" s="69">
        <v>19.649999999999999</v>
      </c>
      <c r="S29" s="69">
        <v>14.29</v>
      </c>
      <c r="T29" s="69">
        <v>13</v>
      </c>
      <c r="U29" s="69">
        <v>8.9749999999999996</v>
      </c>
      <c r="V29" s="69">
        <v>1</v>
      </c>
      <c r="W29" s="69">
        <v>1</v>
      </c>
      <c r="X29" s="69">
        <v>1</v>
      </c>
      <c r="Y29" s="69">
        <v>1</v>
      </c>
      <c r="Z29" s="69">
        <v>1</v>
      </c>
      <c r="AA29" s="69">
        <v>1</v>
      </c>
      <c r="AB29" s="69">
        <v>1</v>
      </c>
      <c r="AC29" s="69">
        <v>1</v>
      </c>
      <c r="AD29" s="69">
        <v>1</v>
      </c>
      <c r="AE29" s="69">
        <v>1</v>
      </c>
      <c r="AF29" s="69">
        <v>1</v>
      </c>
      <c r="AG29" s="69">
        <v>1</v>
      </c>
      <c r="AH29" s="69">
        <v>1</v>
      </c>
      <c r="AI29" s="70">
        <f t="shared" si="1"/>
        <v>35.884999999999998</v>
      </c>
      <c r="AJ29" s="70">
        <f t="shared" si="2"/>
        <v>35.884999999999998</v>
      </c>
      <c r="AK29" s="70">
        <f t="shared" si="3"/>
        <v>35</v>
      </c>
      <c r="AL29" s="70">
        <f t="shared" si="4"/>
        <v>32.380000000000003</v>
      </c>
      <c r="AM29" s="70">
        <f t="shared" si="5"/>
        <v>31.21</v>
      </c>
      <c r="AN29" s="70">
        <f t="shared" si="6"/>
        <v>30.555</v>
      </c>
      <c r="AO29" s="70">
        <f t="shared" si="7"/>
        <v>24.635000000000002</v>
      </c>
      <c r="AP29" s="70">
        <f t="shared" si="8"/>
        <v>20.164999999999999</v>
      </c>
      <c r="AQ29" s="70">
        <f t="shared" si="9"/>
        <v>18</v>
      </c>
      <c r="AR29" s="70">
        <f t="shared" si="10"/>
        <v>19.649999999999999</v>
      </c>
      <c r="AS29" s="70">
        <f t="shared" si="11"/>
        <v>14.29</v>
      </c>
      <c r="AT29" s="70">
        <f t="shared" si="12"/>
        <v>13</v>
      </c>
      <c r="AU29" s="70">
        <f t="shared" si="13"/>
        <v>8.9749999999999996</v>
      </c>
    </row>
    <row r="30" spans="1:47" x14ac:dyDescent="0.25">
      <c r="A30" t="s">
        <v>32</v>
      </c>
      <c r="B30" t="s">
        <v>33</v>
      </c>
      <c r="C30" s="56">
        <v>30</v>
      </c>
      <c r="D30" s="56">
        <v>9</v>
      </c>
      <c r="E30" s="56">
        <v>2015</v>
      </c>
      <c r="F30" s="67" t="s">
        <v>178</v>
      </c>
      <c r="G30" s="67" t="s">
        <v>178</v>
      </c>
      <c r="H30" s="68">
        <f t="shared" si="0"/>
        <v>1</v>
      </c>
      <c r="I30" s="71">
        <v>31.72</v>
      </c>
      <c r="J30" s="71">
        <v>31.72</v>
      </c>
      <c r="K30" s="69">
        <v>26.64</v>
      </c>
      <c r="L30" s="69">
        <v>22.87</v>
      </c>
      <c r="M30" s="69">
        <v>22.92</v>
      </c>
      <c r="N30" s="69">
        <v>21.74</v>
      </c>
      <c r="O30" s="69">
        <v>18.97</v>
      </c>
      <c r="P30" s="69">
        <v>18.079999999999998</v>
      </c>
      <c r="Q30" s="69">
        <v>17.97</v>
      </c>
      <c r="R30" s="69">
        <v>22.41</v>
      </c>
      <c r="S30" s="69">
        <v>17.8</v>
      </c>
      <c r="T30" s="69">
        <v>16.239999999999998</v>
      </c>
      <c r="U30" s="69">
        <v>12.0341</v>
      </c>
      <c r="V30" s="69">
        <v>1</v>
      </c>
      <c r="W30" s="69">
        <v>1</v>
      </c>
      <c r="X30" s="69">
        <v>1</v>
      </c>
      <c r="Y30" s="69">
        <v>1</v>
      </c>
      <c r="Z30" s="69">
        <v>1</v>
      </c>
      <c r="AA30" s="69">
        <v>1</v>
      </c>
      <c r="AB30" s="69">
        <v>1</v>
      </c>
      <c r="AC30" s="69">
        <v>1</v>
      </c>
      <c r="AD30" s="69">
        <v>1</v>
      </c>
      <c r="AE30" s="69">
        <v>1</v>
      </c>
      <c r="AF30" s="69">
        <v>1</v>
      </c>
      <c r="AG30" s="69">
        <v>1</v>
      </c>
      <c r="AH30" s="69">
        <v>1</v>
      </c>
      <c r="AI30" s="70">
        <f t="shared" si="1"/>
        <v>31.72</v>
      </c>
      <c r="AJ30" s="70">
        <f t="shared" si="2"/>
        <v>31.72</v>
      </c>
      <c r="AK30" s="70">
        <f t="shared" si="3"/>
        <v>26.64</v>
      </c>
      <c r="AL30" s="70">
        <f t="shared" si="4"/>
        <v>22.87</v>
      </c>
      <c r="AM30" s="70">
        <f t="shared" si="5"/>
        <v>22.92</v>
      </c>
      <c r="AN30" s="70">
        <f t="shared" si="6"/>
        <v>21.74</v>
      </c>
      <c r="AO30" s="70">
        <f t="shared" si="7"/>
        <v>18.97</v>
      </c>
      <c r="AP30" s="70">
        <f t="shared" si="8"/>
        <v>18.079999999999998</v>
      </c>
      <c r="AQ30" s="70">
        <f t="shared" si="9"/>
        <v>17.97</v>
      </c>
      <c r="AR30" s="70">
        <f t="shared" si="10"/>
        <v>22.41</v>
      </c>
      <c r="AS30" s="70">
        <f t="shared" si="11"/>
        <v>17.8</v>
      </c>
      <c r="AT30" s="70">
        <f t="shared" si="12"/>
        <v>16.239999999999998</v>
      </c>
      <c r="AU30" s="70">
        <f t="shared" si="13"/>
        <v>12.0341</v>
      </c>
    </row>
    <row r="31" spans="1:47" x14ac:dyDescent="0.25">
      <c r="A31" t="s">
        <v>89</v>
      </c>
      <c r="B31" t="s">
        <v>197</v>
      </c>
      <c r="C31" s="56">
        <v>31</v>
      </c>
      <c r="D31" s="56">
        <v>3</v>
      </c>
      <c r="E31" s="56">
        <v>2015</v>
      </c>
      <c r="F31" s="67" t="s">
        <v>179</v>
      </c>
      <c r="G31" s="67" t="s">
        <v>178</v>
      </c>
      <c r="H31" s="68">
        <f t="shared" si="0"/>
        <v>0</v>
      </c>
      <c r="I31" s="71">
        <v>34.64</v>
      </c>
      <c r="J31" s="69">
        <v>35.4</v>
      </c>
      <c r="K31" s="69">
        <v>29.95</v>
      </c>
      <c r="L31" s="69">
        <v>34.64</v>
      </c>
      <c r="M31" s="69">
        <v>25.094999999999999</v>
      </c>
      <c r="N31" s="69">
        <v>22.074999999999999</v>
      </c>
      <c r="O31" s="69">
        <v>19.32</v>
      </c>
      <c r="P31" s="69">
        <v>10.37</v>
      </c>
      <c r="Q31" s="69">
        <v>11.04</v>
      </c>
      <c r="R31" s="69">
        <v>11.15</v>
      </c>
      <c r="S31" s="69">
        <v>11.36</v>
      </c>
      <c r="T31" s="69">
        <v>8.2850000000000001</v>
      </c>
      <c r="U31" s="69">
        <v>6.26</v>
      </c>
      <c r="V31" s="71">
        <v>1.54186</v>
      </c>
      <c r="W31" s="69">
        <v>1.4846999999999999</v>
      </c>
      <c r="X31" s="69">
        <v>1.6639999999999999</v>
      </c>
      <c r="Y31" s="69">
        <v>1.5198</v>
      </c>
      <c r="Z31" s="69">
        <v>1.6011</v>
      </c>
      <c r="AA31" s="69">
        <v>1.6032999999999999</v>
      </c>
      <c r="AB31" s="69">
        <v>1.5182</v>
      </c>
      <c r="AC31" s="69">
        <v>1.4340999999999999</v>
      </c>
      <c r="AD31" s="69">
        <v>1.9847999999999999</v>
      </c>
      <c r="AE31" s="69">
        <v>1.9679</v>
      </c>
      <c r="AF31" s="69">
        <v>1.7374000000000001</v>
      </c>
      <c r="AG31" s="69">
        <v>1.8794</v>
      </c>
      <c r="AH31" s="69">
        <v>1.8431</v>
      </c>
      <c r="AI31" s="70">
        <f t="shared" si="1"/>
        <v>53.410030400000004</v>
      </c>
      <c r="AJ31" s="70">
        <f t="shared" si="2"/>
        <v>52.558379999999993</v>
      </c>
      <c r="AK31" s="70">
        <f t="shared" si="3"/>
        <v>49.836799999999997</v>
      </c>
      <c r="AL31" s="70">
        <f t="shared" si="4"/>
        <v>52.645872000000004</v>
      </c>
      <c r="AM31" s="70">
        <f t="shared" si="5"/>
        <v>40.179604499999996</v>
      </c>
      <c r="AN31" s="70">
        <f t="shared" si="6"/>
        <v>35.392847499999995</v>
      </c>
      <c r="AO31" s="70">
        <f t="shared" si="7"/>
        <v>29.331624000000001</v>
      </c>
      <c r="AP31" s="70">
        <f t="shared" si="8"/>
        <v>14.871616999999999</v>
      </c>
      <c r="AQ31" s="70">
        <f t="shared" si="9"/>
        <v>21.912191999999997</v>
      </c>
      <c r="AR31" s="70">
        <f t="shared" si="10"/>
        <v>21.942084999999999</v>
      </c>
      <c r="AS31" s="70">
        <f t="shared" si="11"/>
        <v>19.736864000000001</v>
      </c>
      <c r="AT31" s="70">
        <f t="shared" si="12"/>
        <v>15.570829</v>
      </c>
      <c r="AU31" s="70">
        <f t="shared" si="13"/>
        <v>11.537806</v>
      </c>
    </row>
    <row r="32" spans="1:47" x14ac:dyDescent="0.25">
      <c r="A32" t="s">
        <v>91</v>
      </c>
      <c r="B32" t="s">
        <v>198</v>
      </c>
      <c r="C32" s="56">
        <v>31</v>
      </c>
      <c r="D32" s="56">
        <v>12</v>
      </c>
      <c r="E32" s="56">
        <v>2015</v>
      </c>
      <c r="F32" s="67" t="s">
        <v>178</v>
      </c>
      <c r="G32" s="67" t="s">
        <v>178</v>
      </c>
      <c r="H32" s="68">
        <f t="shared" si="0"/>
        <v>1</v>
      </c>
      <c r="I32" s="71">
        <v>58.05</v>
      </c>
      <c r="J32" s="71">
        <v>58.05</v>
      </c>
      <c r="K32" s="69">
        <v>52.1</v>
      </c>
      <c r="L32" s="69">
        <v>46.586129999999997</v>
      </c>
      <c r="M32" s="69">
        <v>37.702399999999997</v>
      </c>
      <c r="N32" s="69">
        <v>30.908390000000001</v>
      </c>
      <c r="O32" s="69">
        <v>34.261659999999999</v>
      </c>
      <c r="P32" s="69">
        <v>32.619039999999998</v>
      </c>
      <c r="Q32" s="69">
        <v>25.057179999999999</v>
      </c>
      <c r="R32" s="69">
        <v>28.322970000000002</v>
      </c>
      <c r="S32" s="69">
        <v>22.685590000000001</v>
      </c>
      <c r="T32" s="69">
        <v>18.661670000000001</v>
      </c>
      <c r="U32" s="69">
        <v>15.298679999999999</v>
      </c>
      <c r="V32" s="69">
        <v>1</v>
      </c>
      <c r="W32" s="69">
        <v>1</v>
      </c>
      <c r="X32" s="69">
        <v>1</v>
      </c>
      <c r="Y32" s="69">
        <v>1</v>
      </c>
      <c r="Z32" s="69">
        <v>1</v>
      </c>
      <c r="AA32" s="69">
        <v>1</v>
      </c>
      <c r="AB32" s="69">
        <v>1</v>
      </c>
      <c r="AC32" s="69">
        <v>1</v>
      </c>
      <c r="AD32" s="69">
        <v>1</v>
      </c>
      <c r="AE32" s="69">
        <v>1</v>
      </c>
      <c r="AF32" s="69">
        <v>1</v>
      </c>
      <c r="AG32" s="69">
        <v>1</v>
      </c>
      <c r="AH32" s="69">
        <v>1</v>
      </c>
      <c r="AI32" s="70">
        <f t="shared" si="1"/>
        <v>58.05</v>
      </c>
      <c r="AJ32" s="70">
        <f t="shared" si="2"/>
        <v>58.05</v>
      </c>
      <c r="AK32" s="70">
        <f t="shared" si="3"/>
        <v>52.1</v>
      </c>
      <c r="AL32" s="70">
        <f t="shared" si="4"/>
        <v>46.586129999999997</v>
      </c>
      <c r="AM32" s="70">
        <f t="shared" si="5"/>
        <v>37.702399999999997</v>
      </c>
      <c r="AN32" s="70">
        <f t="shared" si="6"/>
        <v>30.908390000000001</v>
      </c>
      <c r="AO32" s="70">
        <f t="shared" si="7"/>
        <v>34.261659999999999</v>
      </c>
      <c r="AP32" s="70">
        <f t="shared" si="8"/>
        <v>32.619039999999998</v>
      </c>
      <c r="AQ32" s="70">
        <f t="shared" si="9"/>
        <v>25.057179999999999</v>
      </c>
      <c r="AR32" s="70">
        <f t="shared" si="10"/>
        <v>28.322970000000002</v>
      </c>
      <c r="AS32" s="70">
        <f t="shared" si="11"/>
        <v>22.685590000000001</v>
      </c>
      <c r="AT32" s="70">
        <f t="shared" si="12"/>
        <v>18.661670000000001</v>
      </c>
      <c r="AU32" s="70">
        <f t="shared" si="13"/>
        <v>15.298679999999999</v>
      </c>
    </row>
    <row r="33" spans="1:47" x14ac:dyDescent="0.25">
      <c r="A33" t="s">
        <v>34</v>
      </c>
      <c r="B33" t="s">
        <v>35</v>
      </c>
      <c r="C33" s="56">
        <v>31</v>
      </c>
      <c r="D33" s="56">
        <v>3</v>
      </c>
      <c r="E33" s="56">
        <v>2015</v>
      </c>
      <c r="F33" s="67" t="s">
        <v>178</v>
      </c>
      <c r="G33" s="67" t="s">
        <v>178</v>
      </c>
      <c r="H33" s="68">
        <f t="shared" si="0"/>
        <v>1</v>
      </c>
      <c r="I33" s="71">
        <v>2.3040000000000003</v>
      </c>
      <c r="J33" s="69">
        <v>2.2044999999999999</v>
      </c>
      <c r="K33" s="69">
        <v>2.2029999999999998</v>
      </c>
      <c r="L33" s="69">
        <v>1.8660000000000001</v>
      </c>
      <c r="M33" s="69">
        <v>1.722</v>
      </c>
      <c r="N33" s="69">
        <v>1.7649999999999999</v>
      </c>
      <c r="O33" s="69">
        <v>1.52</v>
      </c>
      <c r="P33" s="69">
        <v>1.2275</v>
      </c>
      <c r="Q33" s="69">
        <v>1.5089999999999999</v>
      </c>
      <c r="R33" s="69">
        <v>1.355</v>
      </c>
      <c r="S33" s="69">
        <v>1.2050000000000001</v>
      </c>
      <c r="T33" s="69">
        <v>1.405</v>
      </c>
      <c r="U33" s="69">
        <v>1.2875000000000001</v>
      </c>
      <c r="V33" s="69">
        <v>1</v>
      </c>
      <c r="W33" s="69">
        <v>1</v>
      </c>
      <c r="X33" s="69">
        <v>1</v>
      </c>
      <c r="Y33" s="69">
        <v>1</v>
      </c>
      <c r="Z33" s="69">
        <v>1</v>
      </c>
      <c r="AA33" s="69">
        <v>1</v>
      </c>
      <c r="AB33" s="69">
        <v>1</v>
      </c>
      <c r="AC33" s="69">
        <v>1</v>
      </c>
      <c r="AD33" s="69">
        <v>1</v>
      </c>
      <c r="AE33" s="69">
        <v>1</v>
      </c>
      <c r="AF33" s="69">
        <v>1</v>
      </c>
      <c r="AG33" s="69">
        <v>1</v>
      </c>
      <c r="AH33" s="69">
        <v>1</v>
      </c>
      <c r="AI33" s="70">
        <f t="shared" si="1"/>
        <v>2.3040000000000003</v>
      </c>
      <c r="AJ33" s="70">
        <f t="shared" si="2"/>
        <v>2.2044999999999999</v>
      </c>
      <c r="AK33" s="70">
        <f t="shared" si="3"/>
        <v>2.2029999999999998</v>
      </c>
      <c r="AL33" s="70">
        <f t="shared" si="4"/>
        <v>1.8660000000000001</v>
      </c>
      <c r="AM33" s="70">
        <f t="shared" si="5"/>
        <v>1.722</v>
      </c>
      <c r="AN33" s="70">
        <f t="shared" si="6"/>
        <v>1.7649999999999999</v>
      </c>
      <c r="AO33" s="70">
        <f t="shared" si="7"/>
        <v>1.52</v>
      </c>
      <c r="AP33" s="70">
        <f t="shared" si="8"/>
        <v>1.2275</v>
      </c>
      <c r="AQ33" s="70">
        <f t="shared" si="9"/>
        <v>1.5089999999999999</v>
      </c>
      <c r="AR33" s="70">
        <f t="shared" si="10"/>
        <v>1.355</v>
      </c>
      <c r="AS33" s="70">
        <f t="shared" si="11"/>
        <v>1.2050000000000001</v>
      </c>
      <c r="AT33" s="70">
        <f t="shared" si="12"/>
        <v>1.405</v>
      </c>
      <c r="AU33" s="70">
        <f t="shared" si="13"/>
        <v>1.2875000000000001</v>
      </c>
    </row>
    <row r="34" spans="1:47" x14ac:dyDescent="0.25">
      <c r="A34" s="55" t="s">
        <v>288</v>
      </c>
      <c r="B34" s="55" t="s">
        <v>290</v>
      </c>
      <c r="C34" s="56">
        <v>31</v>
      </c>
      <c r="D34" s="56">
        <v>8</v>
      </c>
      <c r="E34" s="56">
        <v>2015</v>
      </c>
      <c r="F34" s="67" t="s">
        <v>179</v>
      </c>
      <c r="G34" s="67" t="s">
        <v>179</v>
      </c>
      <c r="H34" s="68">
        <f t="shared" si="0"/>
        <v>1</v>
      </c>
      <c r="I34" s="71">
        <v>93.65</v>
      </c>
      <c r="J34" s="71">
        <v>93.65</v>
      </c>
      <c r="K34" s="69">
        <v>81.06</v>
      </c>
      <c r="L34" s="69">
        <v>72.25</v>
      </c>
      <c r="M34" s="69">
        <v>61.6</v>
      </c>
      <c r="N34" s="69">
        <v>53.59</v>
      </c>
      <c r="O34" s="69">
        <v>36.6</v>
      </c>
      <c r="P34" s="69">
        <v>33</v>
      </c>
      <c r="Q34" s="69">
        <v>41.36</v>
      </c>
      <c r="R34" s="69">
        <v>41.21</v>
      </c>
      <c r="S34" s="69">
        <v>29.66</v>
      </c>
      <c r="T34" s="69">
        <v>24.4</v>
      </c>
      <c r="U34" s="69">
        <v>26.1</v>
      </c>
      <c r="V34" s="69">
        <v>1</v>
      </c>
      <c r="W34" s="69">
        <v>1</v>
      </c>
      <c r="X34" s="69">
        <v>1</v>
      </c>
      <c r="Y34" s="69">
        <v>1</v>
      </c>
      <c r="Z34" s="69">
        <v>1</v>
      </c>
      <c r="AA34" s="69">
        <v>1</v>
      </c>
      <c r="AB34" s="69">
        <v>1</v>
      </c>
      <c r="AC34" s="69">
        <v>1</v>
      </c>
      <c r="AD34" s="69">
        <v>1</v>
      </c>
      <c r="AE34" s="69">
        <v>1</v>
      </c>
      <c r="AF34" s="69">
        <v>1</v>
      </c>
      <c r="AG34" s="69">
        <v>1</v>
      </c>
      <c r="AH34" s="69">
        <v>1</v>
      </c>
      <c r="AI34" s="70">
        <f t="shared" si="1"/>
        <v>93.65</v>
      </c>
      <c r="AJ34" s="70">
        <f t="shared" si="2"/>
        <v>93.65</v>
      </c>
      <c r="AK34" s="70">
        <f t="shared" si="3"/>
        <v>81.06</v>
      </c>
      <c r="AL34" s="70">
        <f t="shared" si="4"/>
        <v>72.25</v>
      </c>
      <c r="AM34" s="70">
        <f t="shared" si="5"/>
        <v>61.6</v>
      </c>
      <c r="AN34" s="70">
        <f t="shared" si="6"/>
        <v>53.59</v>
      </c>
      <c r="AO34" s="70">
        <f t="shared" si="7"/>
        <v>36.6</v>
      </c>
      <c r="AP34" s="70">
        <f t="shared" si="8"/>
        <v>33</v>
      </c>
      <c r="AQ34" s="70">
        <f t="shared" si="9"/>
        <v>41.36</v>
      </c>
      <c r="AR34" s="70">
        <f t="shared" si="10"/>
        <v>41.21</v>
      </c>
      <c r="AS34" s="70">
        <f t="shared" si="11"/>
        <v>29.66</v>
      </c>
      <c r="AT34" s="70">
        <f t="shared" si="12"/>
        <v>24.4</v>
      </c>
      <c r="AU34" s="70">
        <f t="shared" si="13"/>
        <v>26.1</v>
      </c>
    </row>
    <row r="35" spans="1:47" x14ac:dyDescent="0.25">
      <c r="A35" s="38" t="s">
        <v>257</v>
      </c>
      <c r="B35" s="38" t="s">
        <v>267</v>
      </c>
      <c r="C35" s="56">
        <v>30</v>
      </c>
      <c r="D35" s="56">
        <v>4</v>
      </c>
      <c r="E35" s="56">
        <v>2015</v>
      </c>
      <c r="F35" s="67" t="s">
        <v>179</v>
      </c>
      <c r="G35" s="67" t="s">
        <v>179</v>
      </c>
      <c r="H35" s="68">
        <f t="shared" si="0"/>
        <v>1</v>
      </c>
      <c r="I35" s="71">
        <v>75.69</v>
      </c>
      <c r="J35" s="69">
        <v>74.45</v>
      </c>
      <c r="K35" s="69">
        <v>58.82</v>
      </c>
      <c r="L35" s="69">
        <v>46.7</v>
      </c>
      <c r="M35" s="69">
        <v>38.200000000000003</v>
      </c>
      <c r="N35" s="69">
        <v>41.75</v>
      </c>
      <c r="O35" s="69">
        <v>43.69</v>
      </c>
      <c r="P35" s="69">
        <v>32</v>
      </c>
      <c r="Q35" s="69">
        <v>48.68</v>
      </c>
      <c r="R35" s="69">
        <v>52.97</v>
      </c>
      <c r="S35" s="69">
        <v>50.12</v>
      </c>
      <c r="T35" s="69">
        <v>40.4</v>
      </c>
      <c r="U35" s="69">
        <v>42.3</v>
      </c>
      <c r="V35" s="69">
        <v>1</v>
      </c>
      <c r="W35" s="69">
        <v>1</v>
      </c>
      <c r="X35" s="69">
        <v>1</v>
      </c>
      <c r="Y35" s="69">
        <v>1</v>
      </c>
      <c r="Z35" s="69">
        <v>1</v>
      </c>
      <c r="AA35" s="69">
        <v>1</v>
      </c>
      <c r="AB35" s="69">
        <v>1</v>
      </c>
      <c r="AC35" s="69">
        <v>1</v>
      </c>
      <c r="AD35" s="69">
        <v>1</v>
      </c>
      <c r="AE35" s="69">
        <v>1</v>
      </c>
      <c r="AF35" s="69">
        <v>1</v>
      </c>
      <c r="AG35" s="69">
        <v>1</v>
      </c>
      <c r="AH35" s="69">
        <v>1</v>
      </c>
      <c r="AI35" s="70">
        <f t="shared" si="1"/>
        <v>75.69</v>
      </c>
      <c r="AJ35" s="70">
        <f t="shared" si="2"/>
        <v>74.45</v>
      </c>
      <c r="AK35" s="70">
        <f t="shared" si="3"/>
        <v>58.82</v>
      </c>
      <c r="AL35" s="70">
        <f t="shared" si="4"/>
        <v>46.7</v>
      </c>
      <c r="AM35" s="70">
        <f t="shared" si="5"/>
        <v>38.200000000000003</v>
      </c>
      <c r="AN35" s="70">
        <f t="shared" si="6"/>
        <v>41.75</v>
      </c>
      <c r="AO35" s="70">
        <f t="shared" si="7"/>
        <v>43.69</v>
      </c>
      <c r="AP35" s="70">
        <f t="shared" si="8"/>
        <v>32</v>
      </c>
      <c r="AQ35" s="70">
        <f t="shared" si="9"/>
        <v>48.68</v>
      </c>
      <c r="AR35" s="70">
        <f t="shared" si="10"/>
        <v>52.97</v>
      </c>
      <c r="AS35" s="70">
        <f t="shared" si="11"/>
        <v>50.12</v>
      </c>
      <c r="AT35" s="70">
        <f t="shared" si="12"/>
        <v>40.4</v>
      </c>
      <c r="AU35" s="70">
        <f t="shared" si="13"/>
        <v>42.3</v>
      </c>
    </row>
    <row r="36" spans="1:47" x14ac:dyDescent="0.25">
      <c r="A36" t="s">
        <v>36</v>
      </c>
      <c r="B36" t="s">
        <v>37</v>
      </c>
      <c r="C36" s="56">
        <v>31</v>
      </c>
      <c r="D36" s="56">
        <v>12</v>
      </c>
      <c r="E36" s="56">
        <v>2015</v>
      </c>
      <c r="F36" s="67" t="s">
        <v>177</v>
      </c>
      <c r="G36" s="67" t="s">
        <v>177</v>
      </c>
      <c r="H36" s="68">
        <f t="shared" si="0"/>
        <v>1</v>
      </c>
      <c r="I36" s="71">
        <v>39.125</v>
      </c>
      <c r="J36" s="71">
        <v>39.125</v>
      </c>
      <c r="K36" s="69">
        <v>32.64</v>
      </c>
      <c r="L36" s="69">
        <v>29.274999999999999</v>
      </c>
      <c r="M36" s="69">
        <v>28.835000000000001</v>
      </c>
      <c r="N36" s="69">
        <v>26.57</v>
      </c>
      <c r="O36" s="69">
        <v>23.3</v>
      </c>
      <c r="P36" s="69">
        <v>22.75</v>
      </c>
      <c r="Q36" s="69">
        <v>17.34</v>
      </c>
      <c r="R36" s="69">
        <v>25.15</v>
      </c>
      <c r="S36" s="69">
        <v>20.7</v>
      </c>
      <c r="T36" s="69">
        <v>19.283000000000001</v>
      </c>
      <c r="U36" s="69">
        <v>16.443000000000001</v>
      </c>
      <c r="V36" s="69">
        <v>1</v>
      </c>
      <c r="W36" s="69">
        <v>1</v>
      </c>
      <c r="X36" s="69">
        <v>1</v>
      </c>
      <c r="Y36" s="69">
        <v>1</v>
      </c>
      <c r="Z36" s="69">
        <v>1</v>
      </c>
      <c r="AA36" s="69">
        <v>1</v>
      </c>
      <c r="AB36" s="69">
        <v>1</v>
      </c>
      <c r="AC36" s="69">
        <v>1</v>
      </c>
      <c r="AD36" s="69">
        <v>1</v>
      </c>
      <c r="AE36" s="69">
        <v>1</v>
      </c>
      <c r="AF36" s="69">
        <v>1</v>
      </c>
      <c r="AG36" s="69">
        <v>1</v>
      </c>
      <c r="AH36" s="69">
        <v>1</v>
      </c>
      <c r="AI36" s="70">
        <f t="shared" si="1"/>
        <v>39.125</v>
      </c>
      <c r="AJ36" s="70">
        <f t="shared" si="2"/>
        <v>39.125</v>
      </c>
      <c r="AK36" s="70">
        <f t="shared" si="3"/>
        <v>32.64</v>
      </c>
      <c r="AL36" s="70">
        <f t="shared" si="4"/>
        <v>29.274999999999999</v>
      </c>
      <c r="AM36" s="70">
        <f t="shared" si="5"/>
        <v>28.835000000000001</v>
      </c>
      <c r="AN36" s="70">
        <f t="shared" si="6"/>
        <v>26.57</v>
      </c>
      <c r="AO36" s="70">
        <f t="shared" si="7"/>
        <v>23.3</v>
      </c>
      <c r="AP36" s="70">
        <f t="shared" si="8"/>
        <v>22.75</v>
      </c>
      <c r="AQ36" s="70">
        <f t="shared" si="9"/>
        <v>17.34</v>
      </c>
      <c r="AR36" s="70">
        <f t="shared" si="10"/>
        <v>25.15</v>
      </c>
      <c r="AS36" s="70">
        <f t="shared" si="11"/>
        <v>20.7</v>
      </c>
      <c r="AT36" s="70">
        <f t="shared" si="12"/>
        <v>19.283000000000001</v>
      </c>
      <c r="AU36" s="70">
        <f t="shared" si="13"/>
        <v>16.443000000000001</v>
      </c>
    </row>
    <row r="37" spans="1:47" x14ac:dyDescent="0.25">
      <c r="A37" t="s">
        <v>38</v>
      </c>
      <c r="B37" t="s">
        <v>39</v>
      </c>
      <c r="C37" s="56">
        <v>31</v>
      </c>
      <c r="D37" s="56">
        <v>12</v>
      </c>
      <c r="E37" s="56">
        <v>2015</v>
      </c>
      <c r="F37" s="67" t="s">
        <v>179</v>
      </c>
      <c r="G37" s="67" t="s">
        <v>179</v>
      </c>
      <c r="H37" s="68">
        <f t="shared" si="0"/>
        <v>1</v>
      </c>
      <c r="I37" s="71">
        <v>34.76</v>
      </c>
      <c r="J37" s="71">
        <v>34.76</v>
      </c>
      <c r="K37" s="69">
        <v>33.590000000000003</v>
      </c>
      <c r="L37" s="69">
        <v>35.159999999999997</v>
      </c>
      <c r="M37" s="69">
        <v>33.71</v>
      </c>
      <c r="N37" s="69">
        <v>30.24</v>
      </c>
      <c r="O37" s="69">
        <v>29.38</v>
      </c>
      <c r="P37" s="69">
        <v>28.03</v>
      </c>
      <c r="Q37" s="69">
        <v>28.5</v>
      </c>
      <c r="R37" s="69">
        <v>41.56</v>
      </c>
      <c r="S37" s="69">
        <v>35.75</v>
      </c>
      <c r="T37" s="69">
        <v>24.49</v>
      </c>
      <c r="U37" s="69">
        <v>25.77</v>
      </c>
      <c r="V37" s="69">
        <v>1</v>
      </c>
      <c r="W37" s="69">
        <v>1</v>
      </c>
      <c r="X37" s="69">
        <v>1</v>
      </c>
      <c r="Y37" s="69">
        <v>1</v>
      </c>
      <c r="Z37" s="69">
        <v>1</v>
      </c>
      <c r="AA37" s="69">
        <v>1</v>
      </c>
      <c r="AB37" s="69">
        <v>1</v>
      </c>
      <c r="AC37" s="69">
        <v>1</v>
      </c>
      <c r="AD37" s="69">
        <v>1</v>
      </c>
      <c r="AE37" s="69">
        <v>1</v>
      </c>
      <c r="AF37" s="69">
        <v>1</v>
      </c>
      <c r="AG37" s="69">
        <v>1</v>
      </c>
      <c r="AH37" s="69">
        <v>1</v>
      </c>
      <c r="AI37" s="70">
        <f t="shared" si="1"/>
        <v>34.76</v>
      </c>
      <c r="AJ37" s="70">
        <f t="shared" si="2"/>
        <v>34.76</v>
      </c>
      <c r="AK37" s="70">
        <f t="shared" si="3"/>
        <v>33.590000000000003</v>
      </c>
      <c r="AL37" s="70">
        <f t="shared" si="4"/>
        <v>35.159999999999997</v>
      </c>
      <c r="AM37" s="70">
        <f t="shared" si="5"/>
        <v>33.71</v>
      </c>
      <c r="AN37" s="70">
        <f t="shared" si="6"/>
        <v>30.24</v>
      </c>
      <c r="AO37" s="70">
        <f t="shared" si="7"/>
        <v>29.38</v>
      </c>
      <c r="AP37" s="70">
        <f t="shared" si="8"/>
        <v>28.03</v>
      </c>
      <c r="AQ37" s="70">
        <f t="shared" si="9"/>
        <v>28.5</v>
      </c>
      <c r="AR37" s="70">
        <f t="shared" si="10"/>
        <v>41.56</v>
      </c>
      <c r="AS37" s="70">
        <f t="shared" si="11"/>
        <v>35.75</v>
      </c>
      <c r="AT37" s="70">
        <f t="shared" si="12"/>
        <v>24.49</v>
      </c>
      <c r="AU37" s="70">
        <f t="shared" si="13"/>
        <v>25.77</v>
      </c>
    </row>
    <row r="38" spans="1:47" x14ac:dyDescent="0.25">
      <c r="A38" t="s">
        <v>93</v>
      </c>
      <c r="B38" t="s">
        <v>143</v>
      </c>
      <c r="C38" s="56">
        <v>31</v>
      </c>
      <c r="D38" s="56">
        <v>12</v>
      </c>
      <c r="E38" s="56">
        <v>2015</v>
      </c>
      <c r="F38" s="67" t="s">
        <v>179</v>
      </c>
      <c r="G38" s="67" t="s">
        <v>179</v>
      </c>
      <c r="H38" s="68">
        <f t="shared" ref="H38:H104" si="14">IF(F38=G38,1,0)</f>
        <v>1</v>
      </c>
      <c r="I38" s="71">
        <v>50.2</v>
      </c>
      <c r="J38" s="71">
        <v>50.2</v>
      </c>
      <c r="K38" s="69">
        <v>49.27</v>
      </c>
      <c r="L38" s="69">
        <v>38.39</v>
      </c>
      <c r="M38" s="69">
        <v>31.44</v>
      </c>
      <c r="N38" s="69">
        <v>29.65</v>
      </c>
      <c r="O38" s="69">
        <v>24.62</v>
      </c>
      <c r="P38" s="69">
        <v>19.63</v>
      </c>
      <c r="Q38" s="73">
        <v>9.3239999999999998</v>
      </c>
      <c r="R38" s="73">
        <v>23.975999999999999</v>
      </c>
      <c r="S38" s="73">
        <v>22.499000000000002</v>
      </c>
      <c r="T38" s="73">
        <v>18.056000000000001</v>
      </c>
      <c r="U38" s="73">
        <v>16.625</v>
      </c>
      <c r="V38" s="69">
        <v>1</v>
      </c>
      <c r="W38" s="69">
        <v>1</v>
      </c>
      <c r="X38" s="69">
        <v>1</v>
      </c>
      <c r="Y38" s="69">
        <v>1</v>
      </c>
      <c r="Z38" s="69">
        <v>1</v>
      </c>
      <c r="AA38" s="69">
        <v>1</v>
      </c>
      <c r="AB38" s="69">
        <v>1</v>
      </c>
      <c r="AC38" s="69">
        <v>1</v>
      </c>
      <c r="AD38" s="69">
        <v>1</v>
      </c>
      <c r="AE38" s="69">
        <v>1</v>
      </c>
      <c r="AF38" s="69">
        <v>1</v>
      </c>
      <c r="AG38" s="69">
        <v>1</v>
      </c>
      <c r="AH38" s="69">
        <v>1</v>
      </c>
      <c r="AI38" s="70">
        <f t="shared" ref="AI38:AI105" si="15">I38*V38</f>
        <v>50.2</v>
      </c>
      <c r="AJ38" s="70">
        <f t="shared" ref="AJ38:AJ105" si="16">J38*W38</f>
        <v>50.2</v>
      </c>
      <c r="AK38" s="70">
        <f t="shared" ref="AK38:AK105" si="17">K38*X38</f>
        <v>49.27</v>
      </c>
      <c r="AL38" s="70">
        <f t="shared" ref="AL38:AL105" si="18">L38*Y38</f>
        <v>38.39</v>
      </c>
      <c r="AM38" s="70">
        <f t="shared" ref="AM38:AM105" si="19">M38*Z38</f>
        <v>31.44</v>
      </c>
      <c r="AN38" s="70">
        <f t="shared" ref="AN38:AN105" si="20">N38*AA38</f>
        <v>29.65</v>
      </c>
      <c r="AO38" s="70">
        <f t="shared" ref="AO38:AO105" si="21">O38*AB38</f>
        <v>24.62</v>
      </c>
      <c r="AP38" s="70">
        <f t="shared" ref="AP38:AP105" si="22">P38*AC38</f>
        <v>19.63</v>
      </c>
      <c r="AQ38" s="70">
        <f t="shared" ref="AQ38:AQ105" si="23">Q38*AD38</f>
        <v>9.3239999999999998</v>
      </c>
      <c r="AR38" s="70">
        <f t="shared" ref="AR38:AR105" si="24">R38*AE38</f>
        <v>23.975999999999999</v>
      </c>
      <c r="AS38" s="70">
        <f t="shared" ref="AS38:AS105" si="25">S38*AF38</f>
        <v>22.499000000000002</v>
      </c>
      <c r="AT38" s="70">
        <f t="shared" ref="AT38:AT105" si="26">T38*AG38</f>
        <v>18.056000000000001</v>
      </c>
      <c r="AU38" s="70">
        <f t="shared" ref="AU38:AU105" si="27">U38*AH38</f>
        <v>16.625</v>
      </c>
    </row>
    <row r="39" spans="1:47" x14ac:dyDescent="0.25">
      <c r="A39" t="s">
        <v>95</v>
      </c>
      <c r="B39" t="s">
        <v>199</v>
      </c>
      <c r="C39" s="56">
        <v>31</v>
      </c>
      <c r="D39" s="56">
        <v>12</v>
      </c>
      <c r="E39" s="56">
        <v>2015</v>
      </c>
      <c r="F39" s="67" t="s">
        <v>179</v>
      </c>
      <c r="G39" s="67" t="s">
        <v>179</v>
      </c>
      <c r="H39" s="68">
        <f t="shared" si="14"/>
        <v>1</v>
      </c>
      <c r="I39" s="71">
        <v>366.67</v>
      </c>
      <c r="J39" s="71">
        <v>366.67</v>
      </c>
      <c r="K39" s="69">
        <v>357.56</v>
      </c>
      <c r="L39" s="69">
        <v>316.47000000000003</v>
      </c>
      <c r="M39" s="69">
        <v>206.71</v>
      </c>
      <c r="N39" s="69">
        <v>178.24</v>
      </c>
      <c r="O39" s="69">
        <v>190.58</v>
      </c>
      <c r="P39" s="69">
        <v>232.2</v>
      </c>
      <c r="Q39" s="69">
        <v>134.15</v>
      </c>
      <c r="R39" s="69">
        <v>216.8</v>
      </c>
      <c r="S39" s="69">
        <v>152.35</v>
      </c>
      <c r="T39" s="69">
        <v>107.99</v>
      </c>
      <c r="U39" s="69">
        <v>77.260000000000005</v>
      </c>
      <c r="V39" s="69">
        <v>1</v>
      </c>
      <c r="W39" s="69">
        <v>1</v>
      </c>
      <c r="X39" s="69">
        <v>1</v>
      </c>
      <c r="Y39" s="69">
        <v>1</v>
      </c>
      <c r="Z39" s="69">
        <v>1</v>
      </c>
      <c r="AA39" s="69">
        <v>1</v>
      </c>
      <c r="AB39" s="69">
        <v>1</v>
      </c>
      <c r="AC39" s="69">
        <v>1</v>
      </c>
      <c r="AD39" s="69">
        <v>1</v>
      </c>
      <c r="AE39" s="69">
        <v>1</v>
      </c>
      <c r="AF39" s="69">
        <v>1</v>
      </c>
      <c r="AG39" s="69">
        <v>1</v>
      </c>
      <c r="AH39" s="69">
        <v>1</v>
      </c>
      <c r="AI39" s="70">
        <f t="shared" si="15"/>
        <v>366.67</v>
      </c>
      <c r="AJ39" s="70">
        <f t="shared" si="16"/>
        <v>366.67</v>
      </c>
      <c r="AK39" s="70">
        <f t="shared" si="17"/>
        <v>357.56</v>
      </c>
      <c r="AL39" s="70">
        <f t="shared" si="18"/>
        <v>316.47000000000003</v>
      </c>
      <c r="AM39" s="70">
        <f t="shared" si="19"/>
        <v>206.71</v>
      </c>
      <c r="AN39" s="70">
        <f t="shared" si="20"/>
        <v>178.24</v>
      </c>
      <c r="AO39" s="70">
        <f t="shared" si="21"/>
        <v>190.58</v>
      </c>
      <c r="AP39" s="70">
        <f t="shared" si="22"/>
        <v>232.2</v>
      </c>
      <c r="AQ39" s="70">
        <f t="shared" si="23"/>
        <v>134.15</v>
      </c>
      <c r="AR39" s="70">
        <f t="shared" si="24"/>
        <v>216.8</v>
      </c>
      <c r="AS39" s="70">
        <f t="shared" si="25"/>
        <v>152.35</v>
      </c>
      <c r="AT39" s="70">
        <f t="shared" si="26"/>
        <v>107.99</v>
      </c>
      <c r="AU39" s="70">
        <f t="shared" si="27"/>
        <v>77.260000000000005</v>
      </c>
    </row>
    <row r="40" spans="1:47" x14ac:dyDescent="0.25">
      <c r="A40" t="s">
        <v>274</v>
      </c>
      <c r="B40" t="s">
        <v>284</v>
      </c>
      <c r="C40" s="56">
        <v>31</v>
      </c>
      <c r="D40" s="56">
        <v>12</v>
      </c>
      <c r="E40" s="56">
        <v>2015</v>
      </c>
      <c r="F40" s="67" t="s">
        <v>179</v>
      </c>
      <c r="G40" s="67" t="s">
        <v>179</v>
      </c>
      <c r="H40" s="68">
        <f t="shared" si="14"/>
        <v>1</v>
      </c>
      <c r="I40" s="71">
        <v>100.67</v>
      </c>
      <c r="J40" s="71">
        <v>100.67</v>
      </c>
      <c r="K40" s="69">
        <v>96.31</v>
      </c>
      <c r="L40" s="69">
        <v>71.569999999999993</v>
      </c>
      <c r="M40" s="69">
        <v>48.35</v>
      </c>
      <c r="N40" s="69">
        <v>40.78</v>
      </c>
      <c r="O40" s="69">
        <v>34.770000000000003</v>
      </c>
      <c r="P40" s="69">
        <v>32.21</v>
      </c>
      <c r="Q40" s="69">
        <v>28.74</v>
      </c>
      <c r="R40" s="69">
        <v>39.75</v>
      </c>
      <c r="S40" s="69">
        <v>30.91</v>
      </c>
      <c r="T40" s="69">
        <v>26.37</v>
      </c>
      <c r="U40" s="69">
        <v>22.57</v>
      </c>
      <c r="V40" s="69">
        <v>1</v>
      </c>
      <c r="W40" s="69">
        <v>1</v>
      </c>
      <c r="X40" s="69">
        <v>1</v>
      </c>
      <c r="Y40" s="69">
        <v>1</v>
      </c>
      <c r="Z40" s="69">
        <v>1</v>
      </c>
      <c r="AA40" s="69">
        <v>1</v>
      </c>
      <c r="AB40" s="69">
        <v>1</v>
      </c>
      <c r="AC40" s="69">
        <v>1</v>
      </c>
      <c r="AD40" s="69">
        <v>1</v>
      </c>
      <c r="AE40" s="69">
        <v>1</v>
      </c>
      <c r="AF40" s="69">
        <v>1</v>
      </c>
      <c r="AG40" s="69">
        <v>1</v>
      </c>
      <c r="AH40" s="69">
        <v>1</v>
      </c>
      <c r="AI40" s="70">
        <f t="shared" si="15"/>
        <v>100.67</v>
      </c>
      <c r="AJ40" s="70">
        <f t="shared" si="16"/>
        <v>100.67</v>
      </c>
      <c r="AK40" s="70">
        <f t="shared" si="17"/>
        <v>96.31</v>
      </c>
      <c r="AL40" s="70">
        <f t="shared" si="18"/>
        <v>71.569999999999993</v>
      </c>
      <c r="AM40" s="70">
        <f t="shared" si="19"/>
        <v>48.35</v>
      </c>
      <c r="AN40" s="70">
        <f t="shared" si="20"/>
        <v>40.78</v>
      </c>
      <c r="AO40" s="70">
        <f t="shared" si="21"/>
        <v>34.770000000000003</v>
      </c>
      <c r="AP40" s="70">
        <f t="shared" si="22"/>
        <v>32.21</v>
      </c>
      <c r="AQ40" s="70">
        <f t="shared" si="23"/>
        <v>28.74</v>
      </c>
      <c r="AR40" s="70">
        <f t="shared" si="24"/>
        <v>39.75</v>
      </c>
      <c r="AS40" s="70">
        <f t="shared" si="25"/>
        <v>30.91</v>
      </c>
      <c r="AT40" s="70">
        <f t="shared" si="26"/>
        <v>26.37</v>
      </c>
      <c r="AU40" s="70">
        <f t="shared" si="27"/>
        <v>22.57</v>
      </c>
    </row>
    <row r="41" spans="1:47" x14ac:dyDescent="0.25">
      <c r="A41" t="s">
        <v>291</v>
      </c>
      <c r="B41" s="55" t="s">
        <v>293</v>
      </c>
      <c r="C41" s="56">
        <v>31</v>
      </c>
      <c r="D41" s="56">
        <v>7</v>
      </c>
      <c r="E41" s="56">
        <v>2015</v>
      </c>
      <c r="F41" s="67" t="s">
        <v>179</v>
      </c>
      <c r="G41" s="67" t="s">
        <v>179</v>
      </c>
      <c r="H41" s="68">
        <f t="shared" si="14"/>
        <v>1</v>
      </c>
      <c r="I41" s="71">
        <v>29.05</v>
      </c>
      <c r="J41" s="71">
        <v>29.05</v>
      </c>
      <c r="K41" s="69">
        <v>25.23</v>
      </c>
      <c r="L41" s="69">
        <v>25.59</v>
      </c>
      <c r="M41" s="69">
        <v>15.95</v>
      </c>
      <c r="N41" s="69">
        <v>15.97</v>
      </c>
      <c r="O41" s="69">
        <v>23.07</v>
      </c>
      <c r="P41" s="69">
        <v>22.01</v>
      </c>
      <c r="Q41" s="69">
        <v>21.99</v>
      </c>
      <c r="R41" s="69">
        <v>28.91</v>
      </c>
      <c r="S41" s="69">
        <v>17.88</v>
      </c>
      <c r="T41" s="69">
        <v>19.149999999999999</v>
      </c>
      <c r="U41" s="69">
        <v>20.92</v>
      </c>
      <c r="V41" s="69">
        <v>1</v>
      </c>
      <c r="W41" s="69">
        <v>1</v>
      </c>
      <c r="X41" s="69">
        <v>1</v>
      </c>
      <c r="Y41" s="69">
        <v>1</v>
      </c>
      <c r="Z41" s="69">
        <v>1</v>
      </c>
      <c r="AA41" s="69">
        <v>1</v>
      </c>
      <c r="AB41" s="69">
        <v>1</v>
      </c>
      <c r="AC41" s="69">
        <v>1</v>
      </c>
      <c r="AD41" s="69">
        <v>1</v>
      </c>
      <c r="AE41" s="69">
        <v>1</v>
      </c>
      <c r="AF41" s="69">
        <v>1</v>
      </c>
      <c r="AG41" s="69">
        <v>1</v>
      </c>
      <c r="AH41" s="69">
        <v>1</v>
      </c>
      <c r="AI41" s="70">
        <f t="shared" si="15"/>
        <v>29.05</v>
      </c>
      <c r="AJ41" s="70">
        <f t="shared" si="16"/>
        <v>29.05</v>
      </c>
      <c r="AK41" s="70">
        <f t="shared" si="17"/>
        <v>25.23</v>
      </c>
      <c r="AL41" s="70">
        <f t="shared" si="18"/>
        <v>25.59</v>
      </c>
      <c r="AM41" s="70">
        <f t="shared" si="19"/>
        <v>15.95</v>
      </c>
      <c r="AN41" s="70">
        <f t="shared" si="20"/>
        <v>15.97</v>
      </c>
      <c r="AO41" s="70">
        <f t="shared" si="21"/>
        <v>23.07</v>
      </c>
      <c r="AP41" s="70">
        <f t="shared" si="22"/>
        <v>22.01</v>
      </c>
      <c r="AQ41" s="70">
        <f t="shared" si="23"/>
        <v>21.99</v>
      </c>
      <c r="AR41" s="70">
        <f t="shared" si="24"/>
        <v>28.91</v>
      </c>
      <c r="AS41" s="70">
        <f t="shared" si="25"/>
        <v>17.88</v>
      </c>
      <c r="AT41" s="70">
        <f t="shared" si="26"/>
        <v>19.149999999999999</v>
      </c>
      <c r="AU41" s="70">
        <f t="shared" si="27"/>
        <v>20.92</v>
      </c>
    </row>
    <row r="42" spans="1:47" x14ac:dyDescent="0.25">
      <c r="A42" t="s">
        <v>40</v>
      </c>
      <c r="B42" t="s">
        <v>41</v>
      </c>
      <c r="C42" s="56">
        <v>31</v>
      </c>
      <c r="D42" s="56">
        <v>12</v>
      </c>
      <c r="E42" s="56">
        <v>2015</v>
      </c>
      <c r="F42" s="67" t="s">
        <v>179</v>
      </c>
      <c r="G42" s="67" t="s">
        <v>179</v>
      </c>
      <c r="H42" s="68">
        <f t="shared" si="14"/>
        <v>1</v>
      </c>
      <c r="I42" s="71">
        <v>40.49</v>
      </c>
      <c r="J42" s="71">
        <v>40.49</v>
      </c>
      <c r="K42" s="69">
        <v>42.22</v>
      </c>
      <c r="L42" s="69">
        <v>41.31</v>
      </c>
      <c r="M42" s="69">
        <v>36.25</v>
      </c>
      <c r="N42" s="69">
        <v>34.984999999999999</v>
      </c>
      <c r="O42" s="69">
        <v>32.884999999999998</v>
      </c>
      <c r="P42" s="69">
        <v>28.5</v>
      </c>
      <c r="Q42" s="69">
        <v>22.635000000000002</v>
      </c>
      <c r="R42" s="69">
        <v>30.684999999999999</v>
      </c>
      <c r="S42" s="69">
        <v>24.2</v>
      </c>
      <c r="T42" s="69">
        <v>20.155000000000001</v>
      </c>
      <c r="U42" s="69">
        <v>20.82</v>
      </c>
      <c r="V42" s="69">
        <v>1</v>
      </c>
      <c r="W42" s="69">
        <v>1</v>
      </c>
      <c r="X42" s="69">
        <v>1</v>
      </c>
      <c r="Y42" s="69">
        <v>1</v>
      </c>
      <c r="Z42" s="69">
        <v>1</v>
      </c>
      <c r="AA42" s="69">
        <v>1</v>
      </c>
      <c r="AB42" s="69">
        <v>1</v>
      </c>
      <c r="AC42" s="69">
        <v>1</v>
      </c>
      <c r="AD42" s="69">
        <v>1</v>
      </c>
      <c r="AE42" s="69">
        <v>1</v>
      </c>
      <c r="AF42" s="69">
        <v>1</v>
      </c>
      <c r="AG42" s="69">
        <v>1</v>
      </c>
      <c r="AH42" s="69">
        <v>1</v>
      </c>
      <c r="AI42" s="70">
        <f t="shared" si="15"/>
        <v>40.49</v>
      </c>
      <c r="AJ42" s="70">
        <f t="shared" si="16"/>
        <v>40.49</v>
      </c>
      <c r="AK42" s="70">
        <f t="shared" si="17"/>
        <v>42.22</v>
      </c>
      <c r="AL42" s="70">
        <f t="shared" si="18"/>
        <v>41.31</v>
      </c>
      <c r="AM42" s="70">
        <f t="shared" si="19"/>
        <v>36.25</v>
      </c>
      <c r="AN42" s="70">
        <f t="shared" si="20"/>
        <v>34.984999999999999</v>
      </c>
      <c r="AO42" s="70">
        <f t="shared" si="21"/>
        <v>32.884999999999998</v>
      </c>
      <c r="AP42" s="70">
        <f t="shared" si="22"/>
        <v>28.5</v>
      </c>
      <c r="AQ42" s="70">
        <f t="shared" si="23"/>
        <v>22.635000000000002</v>
      </c>
      <c r="AR42" s="70">
        <f t="shared" si="24"/>
        <v>30.684999999999999</v>
      </c>
      <c r="AS42" s="70">
        <f t="shared" si="25"/>
        <v>24.2</v>
      </c>
      <c r="AT42" s="70">
        <f t="shared" si="26"/>
        <v>20.155000000000001</v>
      </c>
      <c r="AU42" s="70">
        <f t="shared" si="27"/>
        <v>20.82</v>
      </c>
    </row>
    <row r="43" spans="1:47" x14ac:dyDescent="0.25">
      <c r="A43" t="s">
        <v>42</v>
      </c>
      <c r="B43" t="s">
        <v>43</v>
      </c>
      <c r="C43" s="56">
        <v>31</v>
      </c>
      <c r="D43" s="56">
        <v>12</v>
      </c>
      <c r="E43" s="56">
        <v>2015</v>
      </c>
      <c r="F43" s="67" t="s">
        <v>179</v>
      </c>
      <c r="G43" s="67" t="s">
        <v>179</v>
      </c>
      <c r="H43" s="68">
        <f t="shared" si="14"/>
        <v>1</v>
      </c>
      <c r="I43" s="71">
        <v>68.510000000000005</v>
      </c>
      <c r="J43" s="71">
        <v>68.510000000000005</v>
      </c>
      <c r="K43" s="69">
        <v>69.19</v>
      </c>
      <c r="L43" s="69">
        <v>65.209999999999994</v>
      </c>
      <c r="M43" s="69">
        <v>52.27</v>
      </c>
      <c r="N43" s="69">
        <v>46.195</v>
      </c>
      <c r="O43" s="69">
        <v>40.185000000000002</v>
      </c>
      <c r="P43" s="69">
        <v>41.075000000000003</v>
      </c>
      <c r="Q43" s="69">
        <v>34.270000000000003</v>
      </c>
      <c r="R43" s="69">
        <v>38.979999999999997</v>
      </c>
      <c r="S43" s="69">
        <v>32.659999999999997</v>
      </c>
      <c r="T43" s="69">
        <v>27.64</v>
      </c>
      <c r="U43" s="69">
        <v>18.5</v>
      </c>
      <c r="V43" s="69">
        <v>1</v>
      </c>
      <c r="W43" s="69">
        <v>1</v>
      </c>
      <c r="X43" s="69">
        <v>1</v>
      </c>
      <c r="Y43" s="69">
        <v>1</v>
      </c>
      <c r="Z43" s="69">
        <v>1</v>
      </c>
      <c r="AA43" s="69">
        <v>1</v>
      </c>
      <c r="AB43" s="69">
        <v>1</v>
      </c>
      <c r="AC43" s="69">
        <v>1</v>
      </c>
      <c r="AD43" s="69">
        <v>1</v>
      </c>
      <c r="AE43" s="69">
        <v>1</v>
      </c>
      <c r="AF43" s="69">
        <v>1</v>
      </c>
      <c r="AG43" s="69">
        <v>1</v>
      </c>
      <c r="AH43" s="69">
        <v>1</v>
      </c>
      <c r="AI43" s="70">
        <f t="shared" si="15"/>
        <v>68.510000000000005</v>
      </c>
      <c r="AJ43" s="70">
        <f t="shared" si="16"/>
        <v>68.510000000000005</v>
      </c>
      <c r="AK43" s="70">
        <f t="shared" si="17"/>
        <v>69.19</v>
      </c>
      <c r="AL43" s="70">
        <f t="shared" si="18"/>
        <v>65.209999999999994</v>
      </c>
      <c r="AM43" s="70">
        <f t="shared" si="19"/>
        <v>52.27</v>
      </c>
      <c r="AN43" s="70">
        <f t="shared" si="20"/>
        <v>46.195</v>
      </c>
      <c r="AO43" s="70">
        <f t="shared" si="21"/>
        <v>40.185000000000002</v>
      </c>
      <c r="AP43" s="70">
        <f t="shared" si="22"/>
        <v>41.075000000000003</v>
      </c>
      <c r="AQ43" s="70">
        <f t="shared" si="23"/>
        <v>34.270000000000003</v>
      </c>
      <c r="AR43" s="70">
        <f t="shared" si="24"/>
        <v>38.979999999999997</v>
      </c>
      <c r="AS43" s="70">
        <f t="shared" si="25"/>
        <v>32.659999999999997</v>
      </c>
      <c r="AT43" s="70">
        <f t="shared" si="26"/>
        <v>27.64</v>
      </c>
      <c r="AU43" s="70">
        <f t="shared" si="27"/>
        <v>18.5</v>
      </c>
    </row>
    <row r="44" spans="1:47" x14ac:dyDescent="0.25">
      <c r="A44" t="s">
        <v>272</v>
      </c>
      <c r="B44" t="s">
        <v>282</v>
      </c>
      <c r="C44" s="56">
        <v>31</v>
      </c>
      <c r="D44" s="56">
        <v>12</v>
      </c>
      <c r="E44" s="56">
        <v>2015</v>
      </c>
      <c r="F44" s="67" t="s">
        <v>179</v>
      </c>
      <c r="G44" s="67" t="s">
        <v>179</v>
      </c>
      <c r="H44" s="68">
        <f t="shared" si="14"/>
        <v>1</v>
      </c>
      <c r="I44" s="71">
        <v>74.180000000000007</v>
      </c>
      <c r="J44" s="71">
        <v>74.180000000000007</v>
      </c>
      <c r="K44" s="69">
        <v>73.94</v>
      </c>
      <c r="L44" s="69">
        <v>64.97</v>
      </c>
      <c r="M44" s="69">
        <v>44.978499999999997</v>
      </c>
      <c r="N44" s="69">
        <v>45.78</v>
      </c>
      <c r="O44" s="69">
        <v>49.88</v>
      </c>
      <c r="P44" s="69">
        <v>33.67</v>
      </c>
      <c r="Q44" s="69">
        <v>25.3</v>
      </c>
      <c r="R44" s="69">
        <v>44.09</v>
      </c>
      <c r="S44" s="69">
        <v>48.8</v>
      </c>
      <c r="T44" s="69">
        <v>42.5</v>
      </c>
      <c r="U44" s="69">
        <v>49.05</v>
      </c>
      <c r="V44" s="69">
        <v>1</v>
      </c>
      <c r="W44" s="69">
        <v>1</v>
      </c>
      <c r="X44" s="69">
        <v>1</v>
      </c>
      <c r="Y44" s="69">
        <v>1</v>
      </c>
      <c r="Z44" s="69">
        <v>1</v>
      </c>
      <c r="AA44" s="69">
        <v>1</v>
      </c>
      <c r="AB44" s="69">
        <v>1</v>
      </c>
      <c r="AC44" s="69">
        <v>1</v>
      </c>
      <c r="AD44" s="69">
        <v>1</v>
      </c>
      <c r="AE44" s="69">
        <v>1</v>
      </c>
      <c r="AF44" s="69">
        <v>1</v>
      </c>
      <c r="AG44" s="69">
        <v>1</v>
      </c>
      <c r="AH44" s="69">
        <v>1</v>
      </c>
      <c r="AI44" s="70">
        <f t="shared" si="15"/>
        <v>74.180000000000007</v>
      </c>
      <c r="AJ44" s="70">
        <f t="shared" si="16"/>
        <v>74.180000000000007</v>
      </c>
      <c r="AK44" s="70">
        <f t="shared" si="17"/>
        <v>73.94</v>
      </c>
      <c r="AL44" s="70">
        <f t="shared" si="18"/>
        <v>64.97</v>
      </c>
      <c r="AM44" s="70">
        <f t="shared" si="19"/>
        <v>44.978499999999997</v>
      </c>
      <c r="AN44" s="70">
        <f t="shared" si="20"/>
        <v>45.78</v>
      </c>
      <c r="AO44" s="70">
        <f t="shared" si="21"/>
        <v>49.88</v>
      </c>
      <c r="AP44" s="70">
        <f t="shared" si="22"/>
        <v>33.67</v>
      </c>
      <c r="AQ44" s="70">
        <f t="shared" si="23"/>
        <v>25.3</v>
      </c>
      <c r="AR44" s="70">
        <f t="shared" si="24"/>
        <v>44.09</v>
      </c>
      <c r="AS44" s="70">
        <f t="shared" si="25"/>
        <v>48.8</v>
      </c>
      <c r="AT44" s="70">
        <f t="shared" si="26"/>
        <v>42.5</v>
      </c>
      <c r="AU44" s="70">
        <f t="shared" si="27"/>
        <v>49.05</v>
      </c>
    </row>
    <row r="45" spans="1:47" x14ac:dyDescent="0.25">
      <c r="A45" t="s">
        <v>44</v>
      </c>
      <c r="B45" t="s">
        <v>45</v>
      </c>
      <c r="C45" s="56">
        <v>31</v>
      </c>
      <c r="D45" s="56">
        <v>12</v>
      </c>
      <c r="E45" s="56">
        <v>2015</v>
      </c>
      <c r="F45" s="67" t="s">
        <v>179</v>
      </c>
      <c r="G45" s="67" t="s">
        <v>179</v>
      </c>
      <c r="H45" s="68">
        <f t="shared" si="14"/>
        <v>1</v>
      </c>
      <c r="I45" s="71">
        <v>27.09</v>
      </c>
      <c r="J45" s="71">
        <v>27.09</v>
      </c>
      <c r="K45" s="69">
        <v>25.27</v>
      </c>
      <c r="L45" s="69">
        <v>28.03</v>
      </c>
      <c r="M45" s="69">
        <v>20.99</v>
      </c>
      <c r="N45" s="69">
        <v>17.91</v>
      </c>
      <c r="O45" s="69">
        <v>18.29</v>
      </c>
      <c r="P45" s="69">
        <v>15.13</v>
      </c>
      <c r="Q45" s="69">
        <v>16.2</v>
      </c>
      <c r="R45" s="69">
        <v>37.07</v>
      </c>
      <c r="S45" s="69">
        <v>37.341999999999999</v>
      </c>
      <c r="T45" s="69">
        <v>35.049999999999997</v>
      </c>
      <c r="U45" s="69">
        <v>36.5</v>
      </c>
      <c r="V45" s="69">
        <v>1</v>
      </c>
      <c r="W45" s="69">
        <v>1</v>
      </c>
      <c r="X45" s="69">
        <v>1</v>
      </c>
      <c r="Y45" s="69">
        <v>1</v>
      </c>
      <c r="Z45" s="69">
        <v>1</v>
      </c>
      <c r="AA45" s="69">
        <v>1</v>
      </c>
      <c r="AB45" s="69">
        <v>1</v>
      </c>
      <c r="AC45" s="69">
        <v>1</v>
      </c>
      <c r="AD45" s="69">
        <v>1</v>
      </c>
      <c r="AE45" s="69">
        <v>1</v>
      </c>
      <c r="AF45" s="69">
        <v>1</v>
      </c>
      <c r="AG45" s="69">
        <v>1</v>
      </c>
      <c r="AH45" s="69">
        <v>1</v>
      </c>
      <c r="AI45" s="70">
        <f t="shared" si="15"/>
        <v>27.09</v>
      </c>
      <c r="AJ45" s="70">
        <f t="shared" si="16"/>
        <v>27.09</v>
      </c>
      <c r="AK45" s="70">
        <f t="shared" si="17"/>
        <v>25.27</v>
      </c>
      <c r="AL45" s="70">
        <f t="shared" si="18"/>
        <v>28.03</v>
      </c>
      <c r="AM45" s="70">
        <f t="shared" si="19"/>
        <v>20.99</v>
      </c>
      <c r="AN45" s="70">
        <f t="shared" si="20"/>
        <v>17.91</v>
      </c>
      <c r="AO45" s="70">
        <f t="shared" si="21"/>
        <v>18.29</v>
      </c>
      <c r="AP45" s="70">
        <f t="shared" si="22"/>
        <v>15.13</v>
      </c>
      <c r="AQ45" s="70">
        <f t="shared" si="23"/>
        <v>16.2</v>
      </c>
      <c r="AR45" s="70">
        <f t="shared" si="24"/>
        <v>37.07</v>
      </c>
      <c r="AS45" s="70">
        <f t="shared" si="25"/>
        <v>37.341999999999999</v>
      </c>
      <c r="AT45" s="70">
        <f t="shared" si="26"/>
        <v>35.049999999999997</v>
      </c>
      <c r="AU45" s="70">
        <f t="shared" si="27"/>
        <v>36.5</v>
      </c>
    </row>
    <row r="46" spans="1:47" x14ac:dyDescent="0.25">
      <c r="A46" s="52" t="s">
        <v>97</v>
      </c>
      <c r="B46" t="s">
        <v>200</v>
      </c>
      <c r="C46" s="56">
        <v>31</v>
      </c>
      <c r="D46" s="56">
        <v>5</v>
      </c>
      <c r="E46" s="56">
        <v>2015</v>
      </c>
      <c r="F46" s="67" t="s">
        <v>179</v>
      </c>
      <c r="G46" s="67" t="s">
        <v>179</v>
      </c>
      <c r="H46" s="68">
        <f t="shared" si="14"/>
        <v>1</v>
      </c>
      <c r="I46" s="71">
        <v>55.57</v>
      </c>
      <c r="J46" s="71">
        <v>55.57</v>
      </c>
      <c r="K46" s="69">
        <v>54.93</v>
      </c>
      <c r="L46" s="69">
        <v>47.08</v>
      </c>
      <c r="M46" s="69">
        <v>38.325000000000003</v>
      </c>
      <c r="N46" s="69">
        <v>39.770000000000003</v>
      </c>
      <c r="O46" s="69">
        <v>35.615000000000002</v>
      </c>
      <c r="P46" s="69">
        <v>25.59</v>
      </c>
      <c r="Q46" s="69">
        <v>31.6</v>
      </c>
      <c r="R46" s="69">
        <v>30.6</v>
      </c>
      <c r="S46" s="69">
        <v>25.945</v>
      </c>
      <c r="T46" s="69">
        <v>24.75</v>
      </c>
      <c r="U46" s="69">
        <v>23.024999999999999</v>
      </c>
      <c r="V46" s="69">
        <v>1</v>
      </c>
      <c r="W46" s="69">
        <v>1</v>
      </c>
      <c r="X46" s="69">
        <v>1</v>
      </c>
      <c r="Y46" s="69">
        <v>1</v>
      </c>
      <c r="Z46" s="69">
        <v>1</v>
      </c>
      <c r="AA46" s="69">
        <v>1</v>
      </c>
      <c r="AB46" s="69">
        <v>1</v>
      </c>
      <c r="AC46" s="69">
        <v>1</v>
      </c>
      <c r="AD46" s="69">
        <v>1</v>
      </c>
      <c r="AE46" s="69">
        <v>1</v>
      </c>
      <c r="AF46" s="69">
        <v>1</v>
      </c>
      <c r="AG46" s="69">
        <v>1</v>
      </c>
      <c r="AH46" s="69">
        <v>1</v>
      </c>
      <c r="AI46" s="70">
        <f t="shared" si="15"/>
        <v>55.57</v>
      </c>
      <c r="AJ46" s="70">
        <f t="shared" si="16"/>
        <v>55.57</v>
      </c>
      <c r="AK46" s="70">
        <f t="shared" si="17"/>
        <v>54.93</v>
      </c>
      <c r="AL46" s="70">
        <f t="shared" si="18"/>
        <v>47.08</v>
      </c>
      <c r="AM46" s="70">
        <f t="shared" si="19"/>
        <v>38.325000000000003</v>
      </c>
      <c r="AN46" s="70">
        <f t="shared" si="20"/>
        <v>39.770000000000003</v>
      </c>
      <c r="AO46" s="70">
        <f t="shared" si="21"/>
        <v>35.615000000000002</v>
      </c>
      <c r="AP46" s="70">
        <f t="shared" si="22"/>
        <v>25.59</v>
      </c>
      <c r="AQ46" s="70">
        <f t="shared" si="23"/>
        <v>31.6</v>
      </c>
      <c r="AR46" s="70">
        <f t="shared" si="24"/>
        <v>30.6</v>
      </c>
      <c r="AS46" s="70">
        <f t="shared" si="25"/>
        <v>25.945</v>
      </c>
      <c r="AT46" s="70">
        <f t="shared" si="26"/>
        <v>24.75</v>
      </c>
      <c r="AU46" s="70">
        <f t="shared" si="27"/>
        <v>23.024999999999999</v>
      </c>
    </row>
    <row r="47" spans="1:47" x14ac:dyDescent="0.25">
      <c r="A47" t="s">
        <v>46</v>
      </c>
      <c r="B47" t="s">
        <v>47</v>
      </c>
      <c r="C47" s="56">
        <v>31</v>
      </c>
      <c r="D47" s="56">
        <v>12</v>
      </c>
      <c r="E47" s="56">
        <v>2015</v>
      </c>
      <c r="F47" s="67" t="s">
        <v>179</v>
      </c>
      <c r="G47" s="67" t="s">
        <v>179</v>
      </c>
      <c r="H47" s="68">
        <f t="shared" si="14"/>
        <v>1</v>
      </c>
      <c r="I47" s="71">
        <v>174.4</v>
      </c>
      <c r="J47" s="71">
        <v>174.4</v>
      </c>
      <c r="K47" s="69">
        <v>160.44</v>
      </c>
      <c r="L47" s="69">
        <v>187.57</v>
      </c>
      <c r="M47" s="69">
        <v>191.55</v>
      </c>
      <c r="N47" s="69">
        <v>183.88</v>
      </c>
      <c r="O47" s="69">
        <v>146.76</v>
      </c>
      <c r="P47" s="69">
        <v>130.9</v>
      </c>
      <c r="Q47" s="69">
        <v>84.16</v>
      </c>
      <c r="R47" s="69">
        <v>108.1</v>
      </c>
      <c r="S47" s="69">
        <v>97.33</v>
      </c>
      <c r="T47" s="69">
        <v>82.2</v>
      </c>
      <c r="U47" s="69">
        <v>98.58</v>
      </c>
      <c r="V47" s="69">
        <v>1</v>
      </c>
      <c r="W47" s="69">
        <v>1</v>
      </c>
      <c r="X47" s="69">
        <v>1</v>
      </c>
      <c r="Y47" s="69">
        <v>1</v>
      </c>
      <c r="Z47" s="69">
        <v>1</v>
      </c>
      <c r="AA47" s="69">
        <v>1</v>
      </c>
      <c r="AB47" s="69">
        <v>1</v>
      </c>
      <c r="AC47" s="69">
        <v>1</v>
      </c>
      <c r="AD47" s="69">
        <v>1</v>
      </c>
      <c r="AE47" s="69">
        <v>1</v>
      </c>
      <c r="AF47" s="69">
        <v>1</v>
      </c>
      <c r="AG47" s="69">
        <v>1</v>
      </c>
      <c r="AH47" s="69">
        <v>1</v>
      </c>
      <c r="AI47" s="70">
        <f t="shared" si="15"/>
        <v>174.4</v>
      </c>
      <c r="AJ47" s="70">
        <f t="shared" si="16"/>
        <v>174.4</v>
      </c>
      <c r="AK47" s="70">
        <f t="shared" si="17"/>
        <v>160.44</v>
      </c>
      <c r="AL47" s="70">
        <f t="shared" si="18"/>
        <v>187.57</v>
      </c>
      <c r="AM47" s="70">
        <f t="shared" si="19"/>
        <v>191.55</v>
      </c>
      <c r="AN47" s="70">
        <f t="shared" si="20"/>
        <v>183.88</v>
      </c>
      <c r="AO47" s="70">
        <f t="shared" si="21"/>
        <v>146.76</v>
      </c>
      <c r="AP47" s="70">
        <f t="shared" si="22"/>
        <v>130.9</v>
      </c>
      <c r="AQ47" s="70">
        <f t="shared" si="23"/>
        <v>84.16</v>
      </c>
      <c r="AR47" s="70">
        <f t="shared" si="24"/>
        <v>108.1</v>
      </c>
      <c r="AS47" s="70">
        <f t="shared" si="25"/>
        <v>97.33</v>
      </c>
      <c r="AT47" s="70">
        <f t="shared" si="26"/>
        <v>82.2</v>
      </c>
      <c r="AU47" s="70">
        <f t="shared" si="27"/>
        <v>98.58</v>
      </c>
    </row>
    <row r="48" spans="1:47" x14ac:dyDescent="0.25">
      <c r="A48" t="s">
        <v>48</v>
      </c>
      <c r="B48" t="s">
        <v>49</v>
      </c>
      <c r="C48" s="56">
        <v>31</v>
      </c>
      <c r="D48" s="56">
        <v>12</v>
      </c>
      <c r="E48" s="56">
        <v>2015</v>
      </c>
      <c r="F48" s="67" t="s">
        <v>179</v>
      </c>
      <c r="G48" s="67" t="s">
        <v>179</v>
      </c>
      <c r="H48" s="68">
        <f t="shared" si="14"/>
        <v>1</v>
      </c>
      <c r="I48" s="71">
        <v>100.39</v>
      </c>
      <c r="J48" s="71">
        <v>100.39</v>
      </c>
      <c r="K48" s="69">
        <v>104.57</v>
      </c>
      <c r="L48" s="69">
        <v>91.55</v>
      </c>
      <c r="M48" s="69">
        <v>70.099999999999994</v>
      </c>
      <c r="N48" s="69">
        <v>65.58</v>
      </c>
      <c r="O48" s="69">
        <v>61.85</v>
      </c>
      <c r="P48" s="69">
        <v>64.41</v>
      </c>
      <c r="Q48" s="69">
        <v>59.83</v>
      </c>
      <c r="R48" s="69">
        <v>66.7</v>
      </c>
      <c r="S48" s="69">
        <v>66.08</v>
      </c>
      <c r="T48" s="69">
        <v>60.1</v>
      </c>
      <c r="U48" s="69">
        <v>63.42</v>
      </c>
      <c r="V48" s="69">
        <v>1</v>
      </c>
      <c r="W48" s="69">
        <v>1</v>
      </c>
      <c r="X48" s="69">
        <v>1</v>
      </c>
      <c r="Y48" s="69">
        <v>1</v>
      </c>
      <c r="Z48" s="69">
        <v>1</v>
      </c>
      <c r="AA48" s="69">
        <v>1</v>
      </c>
      <c r="AB48" s="69">
        <v>1</v>
      </c>
      <c r="AC48" s="69">
        <v>1</v>
      </c>
      <c r="AD48" s="69">
        <v>1</v>
      </c>
      <c r="AE48" s="69">
        <v>1</v>
      </c>
      <c r="AF48" s="69">
        <v>1</v>
      </c>
      <c r="AG48" s="69">
        <v>1</v>
      </c>
      <c r="AH48" s="69">
        <v>1</v>
      </c>
      <c r="AI48" s="70">
        <f t="shared" si="15"/>
        <v>100.39</v>
      </c>
      <c r="AJ48" s="70">
        <f t="shared" si="16"/>
        <v>100.39</v>
      </c>
      <c r="AK48" s="70">
        <f t="shared" si="17"/>
        <v>104.57</v>
      </c>
      <c r="AL48" s="70">
        <f t="shared" si="18"/>
        <v>91.55</v>
      </c>
      <c r="AM48" s="70">
        <f t="shared" si="19"/>
        <v>70.099999999999994</v>
      </c>
      <c r="AN48" s="70">
        <f t="shared" si="20"/>
        <v>65.58</v>
      </c>
      <c r="AO48" s="70">
        <f t="shared" si="21"/>
        <v>61.85</v>
      </c>
      <c r="AP48" s="70">
        <f t="shared" si="22"/>
        <v>64.41</v>
      </c>
      <c r="AQ48" s="70">
        <f t="shared" si="23"/>
        <v>59.83</v>
      </c>
      <c r="AR48" s="70">
        <f t="shared" si="24"/>
        <v>66.7</v>
      </c>
      <c r="AS48" s="70">
        <f t="shared" si="25"/>
        <v>66.08</v>
      </c>
      <c r="AT48" s="70">
        <f t="shared" si="26"/>
        <v>60.1</v>
      </c>
      <c r="AU48" s="70">
        <f t="shared" si="27"/>
        <v>63.42</v>
      </c>
    </row>
    <row r="49" spans="1:47" x14ac:dyDescent="0.25">
      <c r="A49" s="38" t="s">
        <v>259</v>
      </c>
      <c r="B49" s="38" t="s">
        <v>268</v>
      </c>
      <c r="C49" s="56">
        <v>31</v>
      </c>
      <c r="D49" s="56">
        <v>12</v>
      </c>
      <c r="E49" s="56">
        <v>2015</v>
      </c>
      <c r="F49" s="67" t="s">
        <v>179</v>
      </c>
      <c r="G49" s="67" t="s">
        <v>179</v>
      </c>
      <c r="H49" s="68">
        <f t="shared" si="14"/>
        <v>1</v>
      </c>
      <c r="I49" s="71">
        <v>63.38</v>
      </c>
      <c r="J49" s="71">
        <v>63.38</v>
      </c>
      <c r="K49" s="69">
        <v>65.44</v>
      </c>
      <c r="L49" s="69">
        <v>61.07</v>
      </c>
      <c r="M49" s="69">
        <v>55.85</v>
      </c>
      <c r="N49" s="69">
        <v>50.57</v>
      </c>
      <c r="O49" s="69">
        <v>51.08</v>
      </c>
      <c r="P49" s="69">
        <v>53.2</v>
      </c>
      <c r="Q49" s="69">
        <v>43.85</v>
      </c>
      <c r="R49" s="69">
        <v>52.43</v>
      </c>
      <c r="S49" s="69">
        <v>50.14</v>
      </c>
      <c r="T49" s="69">
        <v>43.77</v>
      </c>
      <c r="U49" s="69"/>
      <c r="V49" s="69">
        <v>1</v>
      </c>
      <c r="W49" s="69">
        <v>1</v>
      </c>
      <c r="X49" s="69">
        <v>1</v>
      </c>
      <c r="Y49" s="69">
        <v>1</v>
      </c>
      <c r="Z49" s="69">
        <v>1</v>
      </c>
      <c r="AA49" s="69">
        <v>1</v>
      </c>
      <c r="AB49" s="69">
        <v>1</v>
      </c>
      <c r="AC49" s="69">
        <v>1</v>
      </c>
      <c r="AD49" s="69">
        <v>1</v>
      </c>
      <c r="AE49" s="69">
        <v>1</v>
      </c>
      <c r="AF49" s="69">
        <v>1</v>
      </c>
      <c r="AG49" s="69">
        <v>1</v>
      </c>
      <c r="AH49" s="69">
        <v>1</v>
      </c>
      <c r="AI49" s="70">
        <f t="shared" si="15"/>
        <v>63.38</v>
      </c>
      <c r="AJ49" s="70">
        <f t="shared" si="16"/>
        <v>63.38</v>
      </c>
      <c r="AK49" s="70">
        <f t="shared" si="17"/>
        <v>65.44</v>
      </c>
      <c r="AL49" s="70">
        <f t="shared" si="18"/>
        <v>61.07</v>
      </c>
      <c r="AM49" s="70">
        <f t="shared" si="19"/>
        <v>55.85</v>
      </c>
      <c r="AN49" s="70">
        <f t="shared" si="20"/>
        <v>50.57</v>
      </c>
      <c r="AO49" s="70">
        <f t="shared" si="21"/>
        <v>51.08</v>
      </c>
      <c r="AP49" s="70">
        <f t="shared" si="22"/>
        <v>53.2</v>
      </c>
      <c r="AQ49" s="70">
        <f t="shared" si="23"/>
        <v>43.85</v>
      </c>
      <c r="AR49" s="70">
        <f t="shared" si="24"/>
        <v>52.43</v>
      </c>
      <c r="AS49" s="70">
        <f t="shared" si="25"/>
        <v>50.14</v>
      </c>
      <c r="AT49" s="70">
        <f t="shared" si="26"/>
        <v>43.77</v>
      </c>
      <c r="AU49" s="70">
        <f t="shared" si="27"/>
        <v>0</v>
      </c>
    </row>
    <row r="50" spans="1:47" x14ac:dyDescent="0.25">
      <c r="A50" t="s">
        <v>99</v>
      </c>
      <c r="B50" t="s">
        <v>170</v>
      </c>
      <c r="C50" s="56">
        <v>31</v>
      </c>
      <c r="D50" s="56">
        <v>12</v>
      </c>
      <c r="E50" s="56">
        <v>2015</v>
      </c>
      <c r="F50" s="67" t="s">
        <v>179</v>
      </c>
      <c r="G50" s="67" t="s">
        <v>179</v>
      </c>
      <c r="H50" s="68">
        <f t="shared" si="14"/>
        <v>1</v>
      </c>
      <c r="I50" s="71">
        <v>110.72</v>
      </c>
      <c r="J50" s="71">
        <v>110.72</v>
      </c>
      <c r="K50" s="69">
        <v>115.54</v>
      </c>
      <c r="L50" s="69">
        <v>104.46</v>
      </c>
      <c r="M50" s="69">
        <v>84.43</v>
      </c>
      <c r="N50" s="69">
        <v>73.56</v>
      </c>
      <c r="O50" s="69">
        <v>63.04</v>
      </c>
      <c r="P50" s="69">
        <v>63.71</v>
      </c>
      <c r="Q50" s="69">
        <v>52.74</v>
      </c>
      <c r="R50" s="69">
        <v>69.34</v>
      </c>
      <c r="S50" s="69">
        <v>67.95</v>
      </c>
      <c r="T50" s="69">
        <v>60.65</v>
      </c>
      <c r="U50" s="69">
        <v>65.81</v>
      </c>
      <c r="V50" s="69">
        <v>1</v>
      </c>
      <c r="W50" s="69">
        <v>1</v>
      </c>
      <c r="X50" s="69">
        <v>1</v>
      </c>
      <c r="Y50" s="69">
        <v>1</v>
      </c>
      <c r="Z50" s="69">
        <v>1</v>
      </c>
      <c r="AA50" s="69">
        <v>1</v>
      </c>
      <c r="AB50" s="69">
        <v>1</v>
      </c>
      <c r="AC50" s="69">
        <v>1</v>
      </c>
      <c r="AD50" s="69">
        <v>1</v>
      </c>
      <c r="AE50" s="69">
        <v>1</v>
      </c>
      <c r="AF50" s="69">
        <v>1</v>
      </c>
      <c r="AG50" s="69">
        <v>1</v>
      </c>
      <c r="AH50" s="69">
        <v>1</v>
      </c>
      <c r="AI50" s="70">
        <f t="shared" si="15"/>
        <v>110.72</v>
      </c>
      <c r="AJ50" s="70">
        <f t="shared" si="16"/>
        <v>110.72</v>
      </c>
      <c r="AK50" s="70">
        <f t="shared" si="17"/>
        <v>115.54</v>
      </c>
      <c r="AL50" s="70">
        <f t="shared" si="18"/>
        <v>104.46</v>
      </c>
      <c r="AM50" s="70">
        <f t="shared" si="19"/>
        <v>84.43</v>
      </c>
      <c r="AN50" s="70">
        <f t="shared" si="20"/>
        <v>73.56</v>
      </c>
      <c r="AO50" s="70">
        <f t="shared" si="21"/>
        <v>63.04</v>
      </c>
      <c r="AP50" s="70">
        <f t="shared" si="22"/>
        <v>63.71</v>
      </c>
      <c r="AQ50" s="70">
        <f t="shared" si="23"/>
        <v>52.74</v>
      </c>
      <c r="AR50" s="70">
        <f t="shared" si="24"/>
        <v>69.34</v>
      </c>
      <c r="AS50" s="70">
        <f t="shared" si="25"/>
        <v>67.95</v>
      </c>
      <c r="AT50" s="70">
        <f t="shared" si="26"/>
        <v>60.65</v>
      </c>
      <c r="AU50" s="70">
        <f t="shared" si="27"/>
        <v>65.81</v>
      </c>
    </row>
    <row r="51" spans="1:47" x14ac:dyDescent="0.25">
      <c r="A51" t="s">
        <v>50</v>
      </c>
      <c r="B51" t="s">
        <v>51</v>
      </c>
      <c r="C51" s="56">
        <v>31</v>
      </c>
      <c r="D51" s="56">
        <v>12</v>
      </c>
      <c r="E51" s="56">
        <v>2015</v>
      </c>
      <c r="F51" s="67" t="s">
        <v>179</v>
      </c>
      <c r="G51" s="67" t="s">
        <v>179</v>
      </c>
      <c r="H51" s="68">
        <f t="shared" si="14"/>
        <v>1</v>
      </c>
      <c r="I51" s="71">
        <v>85.08</v>
      </c>
      <c r="J51" s="71">
        <v>85.08</v>
      </c>
      <c r="K51" s="69">
        <v>62.66</v>
      </c>
      <c r="L51" s="69">
        <v>53.91</v>
      </c>
      <c r="M51" s="69">
        <v>45.47</v>
      </c>
      <c r="N51" s="69"/>
      <c r="O51" s="69"/>
      <c r="P51" s="69"/>
      <c r="Q51" s="69"/>
      <c r="R51" s="69"/>
      <c r="S51" s="69"/>
      <c r="T51" s="69"/>
      <c r="U51" s="69"/>
      <c r="V51" s="69">
        <v>1</v>
      </c>
      <c r="W51" s="69">
        <v>1</v>
      </c>
      <c r="X51" s="69">
        <v>1</v>
      </c>
      <c r="Y51" s="69">
        <v>1</v>
      </c>
      <c r="Z51" s="69">
        <v>1</v>
      </c>
      <c r="AA51" s="69">
        <v>1</v>
      </c>
      <c r="AB51" s="69">
        <v>1</v>
      </c>
      <c r="AC51" s="69">
        <v>1</v>
      </c>
      <c r="AD51" s="69">
        <v>1</v>
      </c>
      <c r="AE51" s="69">
        <v>1</v>
      </c>
      <c r="AF51" s="69">
        <v>1</v>
      </c>
      <c r="AG51" s="69">
        <v>1</v>
      </c>
      <c r="AH51" s="69">
        <v>1</v>
      </c>
      <c r="AI51" s="70">
        <f t="shared" si="15"/>
        <v>85.08</v>
      </c>
      <c r="AJ51" s="70">
        <f t="shared" si="16"/>
        <v>85.08</v>
      </c>
      <c r="AK51" s="70">
        <f t="shared" si="17"/>
        <v>62.66</v>
      </c>
      <c r="AL51" s="70">
        <f t="shared" si="18"/>
        <v>53.91</v>
      </c>
      <c r="AM51" s="70">
        <f t="shared" si="19"/>
        <v>45.47</v>
      </c>
      <c r="AN51" s="70">
        <f t="shared" si="20"/>
        <v>0</v>
      </c>
      <c r="AO51" s="70">
        <f t="shared" si="21"/>
        <v>0</v>
      </c>
      <c r="AP51" s="70">
        <f t="shared" si="22"/>
        <v>0</v>
      </c>
      <c r="AQ51" s="70">
        <f t="shared" si="23"/>
        <v>0</v>
      </c>
      <c r="AR51" s="70">
        <f t="shared" si="24"/>
        <v>0</v>
      </c>
      <c r="AS51" s="70">
        <f t="shared" si="25"/>
        <v>0</v>
      </c>
      <c r="AT51" s="70">
        <f t="shared" si="26"/>
        <v>0</v>
      </c>
      <c r="AU51" s="70">
        <f t="shared" si="27"/>
        <v>0</v>
      </c>
    </row>
    <row r="52" spans="1:47" x14ac:dyDescent="0.25">
      <c r="A52" s="55" t="s">
        <v>261</v>
      </c>
      <c r="B52" s="55" t="s">
        <v>269</v>
      </c>
      <c r="C52" s="56">
        <v>31</v>
      </c>
      <c r="D52" s="56">
        <v>12</v>
      </c>
      <c r="E52" s="56">
        <v>2015</v>
      </c>
      <c r="F52" s="67" t="s">
        <v>179</v>
      </c>
      <c r="G52" s="67" t="s">
        <v>179</v>
      </c>
      <c r="H52" s="68">
        <f t="shared" si="14"/>
        <v>1</v>
      </c>
      <c r="I52" s="71">
        <v>90.25</v>
      </c>
      <c r="J52" s="71">
        <v>90.25</v>
      </c>
      <c r="K52" s="69">
        <v>86.16</v>
      </c>
      <c r="L52" s="69">
        <v>83.546000000000006</v>
      </c>
      <c r="M52" s="69">
        <v>49.128</v>
      </c>
      <c r="N52" s="69">
        <v>37.281999999999996</v>
      </c>
      <c r="O52" s="69">
        <v>22.411000000000001</v>
      </c>
      <c r="P52" s="69">
        <v>25.597999999999999</v>
      </c>
      <c r="Q52" s="69">
        <v>14.292999999999999</v>
      </c>
      <c r="R52" s="69">
        <v>21.52</v>
      </c>
      <c r="S52" s="69"/>
      <c r="T52" s="69"/>
      <c r="U52" s="69"/>
      <c r="V52" s="69">
        <v>1</v>
      </c>
      <c r="W52" s="69">
        <v>1</v>
      </c>
      <c r="X52" s="69">
        <v>1</v>
      </c>
      <c r="Y52" s="69">
        <v>1</v>
      </c>
      <c r="Z52" s="69">
        <v>1</v>
      </c>
      <c r="AA52" s="69">
        <v>1</v>
      </c>
      <c r="AB52" s="69">
        <v>1</v>
      </c>
      <c r="AC52" s="69">
        <v>1</v>
      </c>
      <c r="AD52" s="69">
        <v>1</v>
      </c>
      <c r="AE52" s="69">
        <v>1</v>
      </c>
      <c r="AF52" s="69">
        <v>1</v>
      </c>
      <c r="AG52" s="69">
        <v>1</v>
      </c>
      <c r="AH52" s="69">
        <v>1</v>
      </c>
      <c r="AI52" s="70">
        <f t="shared" si="15"/>
        <v>90.25</v>
      </c>
      <c r="AJ52" s="70">
        <f t="shared" si="16"/>
        <v>90.25</v>
      </c>
      <c r="AK52" s="70">
        <f t="shared" si="17"/>
        <v>86.16</v>
      </c>
      <c r="AL52" s="70">
        <f t="shared" si="18"/>
        <v>83.546000000000006</v>
      </c>
      <c r="AM52" s="70">
        <f t="shared" si="19"/>
        <v>49.128</v>
      </c>
      <c r="AN52" s="70">
        <f t="shared" si="20"/>
        <v>37.281999999999996</v>
      </c>
      <c r="AO52" s="70">
        <f t="shared" si="21"/>
        <v>22.411000000000001</v>
      </c>
      <c r="AP52" s="70">
        <f t="shared" si="22"/>
        <v>25.597999999999999</v>
      </c>
      <c r="AQ52" s="70">
        <f t="shared" si="23"/>
        <v>14.292999999999999</v>
      </c>
      <c r="AR52" s="70">
        <f t="shared" si="24"/>
        <v>21.52</v>
      </c>
      <c r="AS52" s="70">
        <f t="shared" si="25"/>
        <v>0</v>
      </c>
      <c r="AT52" s="70">
        <f t="shared" si="26"/>
        <v>0</v>
      </c>
      <c r="AU52" s="70">
        <f t="shared" si="27"/>
        <v>0</v>
      </c>
    </row>
    <row r="53" spans="1:47" x14ac:dyDescent="0.25">
      <c r="A53" t="s">
        <v>52</v>
      </c>
      <c r="B53" t="s">
        <v>53</v>
      </c>
      <c r="C53" s="56">
        <v>31</v>
      </c>
      <c r="D53" s="56">
        <v>12</v>
      </c>
      <c r="E53" s="56">
        <v>2015</v>
      </c>
      <c r="F53" s="67" t="s">
        <v>179</v>
      </c>
      <c r="G53" s="67" t="s">
        <v>179</v>
      </c>
      <c r="H53" s="68">
        <f t="shared" si="14"/>
        <v>1</v>
      </c>
      <c r="I53" s="71">
        <v>97.02</v>
      </c>
      <c r="J53" s="71">
        <v>97.02</v>
      </c>
      <c r="K53" s="69">
        <v>93.7</v>
      </c>
      <c r="L53" s="69">
        <v>97.03</v>
      </c>
      <c r="M53" s="69">
        <v>88.21</v>
      </c>
      <c r="N53" s="69">
        <v>100.33</v>
      </c>
      <c r="O53" s="69">
        <v>76.760000000000005</v>
      </c>
      <c r="P53" s="69">
        <v>62.44</v>
      </c>
      <c r="Q53" s="69">
        <v>62.19</v>
      </c>
      <c r="R53" s="69">
        <v>58.91</v>
      </c>
      <c r="S53" s="69">
        <v>44.4</v>
      </c>
      <c r="T53" s="69">
        <v>33.72</v>
      </c>
      <c r="U53" s="69">
        <v>32.06</v>
      </c>
      <c r="V53" s="69">
        <v>1</v>
      </c>
      <c r="W53" s="69">
        <v>1</v>
      </c>
      <c r="X53" s="69">
        <v>1</v>
      </c>
      <c r="Y53" s="69">
        <v>1</v>
      </c>
      <c r="Z53" s="69">
        <v>1</v>
      </c>
      <c r="AA53" s="69">
        <v>1</v>
      </c>
      <c r="AB53" s="69">
        <v>1</v>
      </c>
      <c r="AC53" s="69">
        <v>1</v>
      </c>
      <c r="AD53" s="69">
        <v>1</v>
      </c>
      <c r="AE53" s="69">
        <v>1</v>
      </c>
      <c r="AF53" s="69">
        <v>1</v>
      </c>
      <c r="AG53" s="69">
        <v>1</v>
      </c>
      <c r="AH53" s="69">
        <v>1</v>
      </c>
      <c r="AI53" s="70">
        <f t="shared" si="15"/>
        <v>97.02</v>
      </c>
      <c r="AJ53" s="70">
        <f t="shared" si="16"/>
        <v>97.02</v>
      </c>
      <c r="AK53" s="70">
        <f t="shared" si="17"/>
        <v>93.7</v>
      </c>
      <c r="AL53" s="70">
        <f t="shared" si="18"/>
        <v>97.03</v>
      </c>
      <c r="AM53" s="70">
        <f t="shared" si="19"/>
        <v>88.21</v>
      </c>
      <c r="AN53" s="70">
        <f t="shared" si="20"/>
        <v>100.33</v>
      </c>
      <c r="AO53" s="70">
        <f t="shared" si="21"/>
        <v>76.760000000000005</v>
      </c>
      <c r="AP53" s="70">
        <f t="shared" si="22"/>
        <v>62.44</v>
      </c>
      <c r="AQ53" s="70">
        <f t="shared" si="23"/>
        <v>62.19</v>
      </c>
      <c r="AR53" s="70">
        <f t="shared" si="24"/>
        <v>58.91</v>
      </c>
      <c r="AS53" s="70">
        <f t="shared" si="25"/>
        <v>44.4</v>
      </c>
      <c r="AT53" s="70">
        <f t="shared" si="26"/>
        <v>33.72</v>
      </c>
      <c r="AU53" s="70">
        <f t="shared" si="27"/>
        <v>32.06</v>
      </c>
    </row>
    <row r="54" spans="1:47" x14ac:dyDescent="0.25">
      <c r="A54" t="s">
        <v>54</v>
      </c>
      <c r="B54" t="s">
        <v>55</v>
      </c>
      <c r="C54" s="56">
        <v>31</v>
      </c>
      <c r="D54" s="56">
        <v>12</v>
      </c>
      <c r="E54" s="56">
        <v>2015</v>
      </c>
      <c r="F54" s="67" t="s">
        <v>179</v>
      </c>
      <c r="G54" s="67" t="s">
        <v>179</v>
      </c>
      <c r="H54" s="68">
        <f t="shared" si="14"/>
        <v>1</v>
      </c>
      <c r="I54" s="71">
        <v>59.68</v>
      </c>
      <c r="J54" s="71">
        <v>59.68</v>
      </c>
      <c r="K54" s="69">
        <v>56.79</v>
      </c>
      <c r="L54" s="69">
        <v>50.05</v>
      </c>
      <c r="M54" s="69">
        <v>40.94</v>
      </c>
      <c r="N54" s="69">
        <v>37.700000000000003</v>
      </c>
      <c r="O54" s="69">
        <v>36.04</v>
      </c>
      <c r="P54" s="69">
        <v>36.54</v>
      </c>
      <c r="Q54" s="69">
        <v>30.4</v>
      </c>
      <c r="R54" s="69">
        <v>58.11</v>
      </c>
      <c r="S54" s="69">
        <v>43.59</v>
      </c>
      <c r="T54" s="69">
        <v>31.81</v>
      </c>
      <c r="U54" s="69">
        <v>32.14</v>
      </c>
      <c r="V54" s="69">
        <v>1</v>
      </c>
      <c r="W54" s="69">
        <v>1</v>
      </c>
      <c r="X54" s="69">
        <v>1</v>
      </c>
      <c r="Y54" s="69">
        <v>1</v>
      </c>
      <c r="Z54" s="69">
        <v>1</v>
      </c>
      <c r="AA54" s="69">
        <v>1</v>
      </c>
      <c r="AB54" s="69">
        <v>1</v>
      </c>
      <c r="AC54" s="69">
        <v>1</v>
      </c>
      <c r="AD54" s="69">
        <v>1</v>
      </c>
      <c r="AE54" s="69">
        <v>1</v>
      </c>
      <c r="AF54" s="69">
        <v>1</v>
      </c>
      <c r="AG54" s="69">
        <v>1</v>
      </c>
      <c r="AH54" s="69">
        <v>1</v>
      </c>
      <c r="AI54" s="70">
        <f t="shared" si="15"/>
        <v>59.68</v>
      </c>
      <c r="AJ54" s="70">
        <f t="shared" si="16"/>
        <v>59.68</v>
      </c>
      <c r="AK54" s="70">
        <f t="shared" si="17"/>
        <v>56.79</v>
      </c>
      <c r="AL54" s="70">
        <f t="shared" si="18"/>
        <v>50.05</v>
      </c>
      <c r="AM54" s="70">
        <f t="shared" si="19"/>
        <v>40.94</v>
      </c>
      <c r="AN54" s="70">
        <f t="shared" si="20"/>
        <v>37.700000000000003</v>
      </c>
      <c r="AO54" s="70">
        <f t="shared" si="21"/>
        <v>36.04</v>
      </c>
      <c r="AP54" s="70">
        <f t="shared" si="22"/>
        <v>36.54</v>
      </c>
      <c r="AQ54" s="70">
        <f t="shared" si="23"/>
        <v>30.4</v>
      </c>
      <c r="AR54" s="70">
        <f t="shared" si="24"/>
        <v>58.11</v>
      </c>
      <c r="AS54" s="70">
        <f t="shared" si="25"/>
        <v>43.59</v>
      </c>
      <c r="AT54" s="70">
        <f t="shared" si="26"/>
        <v>31.81</v>
      </c>
      <c r="AU54" s="70">
        <f t="shared" si="27"/>
        <v>32.14</v>
      </c>
    </row>
    <row r="55" spans="1:47" x14ac:dyDescent="0.25">
      <c r="A55" s="52" t="s">
        <v>56</v>
      </c>
      <c r="B55" t="s">
        <v>57</v>
      </c>
      <c r="C55" s="56">
        <v>30</v>
      </c>
      <c r="D55" s="56">
        <v>6</v>
      </c>
      <c r="E55" s="56">
        <v>2015</v>
      </c>
      <c r="F55" s="67" t="s">
        <v>179</v>
      </c>
      <c r="G55" s="67" t="s">
        <v>179</v>
      </c>
      <c r="H55" s="68">
        <f t="shared" si="14"/>
        <v>1</v>
      </c>
      <c r="I55" s="71">
        <v>49.06</v>
      </c>
      <c r="J55" s="71">
        <v>49.06</v>
      </c>
      <c r="K55" s="69">
        <v>41.7</v>
      </c>
      <c r="L55" s="69">
        <v>34.545000000000002</v>
      </c>
      <c r="M55" s="69">
        <v>30.59</v>
      </c>
      <c r="N55" s="69">
        <v>26</v>
      </c>
      <c r="O55" s="69">
        <v>23.01</v>
      </c>
      <c r="P55" s="69">
        <v>23.77</v>
      </c>
      <c r="Q55" s="69">
        <v>27.51</v>
      </c>
      <c r="R55" s="69">
        <v>29.47</v>
      </c>
      <c r="S55" s="69">
        <v>23.3</v>
      </c>
      <c r="T55" s="69">
        <v>24.84</v>
      </c>
      <c r="U55" s="69">
        <v>28.56</v>
      </c>
      <c r="V55" s="69">
        <v>1</v>
      </c>
      <c r="W55" s="69">
        <v>1</v>
      </c>
      <c r="X55" s="69">
        <v>1</v>
      </c>
      <c r="Y55" s="69">
        <v>1</v>
      </c>
      <c r="Z55" s="69">
        <v>1</v>
      </c>
      <c r="AA55" s="69">
        <v>1</v>
      </c>
      <c r="AB55" s="69">
        <v>1</v>
      </c>
      <c r="AC55" s="69">
        <v>1</v>
      </c>
      <c r="AD55" s="69">
        <v>1</v>
      </c>
      <c r="AE55" s="69">
        <v>1</v>
      </c>
      <c r="AF55" s="69">
        <v>1</v>
      </c>
      <c r="AG55" s="69">
        <v>1</v>
      </c>
      <c r="AH55" s="69">
        <v>1</v>
      </c>
      <c r="AI55" s="70">
        <f t="shared" si="15"/>
        <v>49.06</v>
      </c>
      <c r="AJ55" s="70">
        <f t="shared" si="16"/>
        <v>49.06</v>
      </c>
      <c r="AK55" s="70">
        <f t="shared" si="17"/>
        <v>41.7</v>
      </c>
      <c r="AL55" s="70">
        <f t="shared" si="18"/>
        <v>34.545000000000002</v>
      </c>
      <c r="AM55" s="70">
        <f t="shared" si="19"/>
        <v>30.59</v>
      </c>
      <c r="AN55" s="70">
        <f t="shared" si="20"/>
        <v>26</v>
      </c>
      <c r="AO55" s="70">
        <f t="shared" si="21"/>
        <v>23.01</v>
      </c>
      <c r="AP55" s="70">
        <f t="shared" si="22"/>
        <v>23.77</v>
      </c>
      <c r="AQ55" s="70">
        <f t="shared" si="23"/>
        <v>27.51</v>
      </c>
      <c r="AR55" s="70">
        <f t="shared" si="24"/>
        <v>29.47</v>
      </c>
      <c r="AS55" s="70">
        <f t="shared" si="25"/>
        <v>23.3</v>
      </c>
      <c r="AT55" s="70">
        <f t="shared" si="26"/>
        <v>24.84</v>
      </c>
      <c r="AU55" s="70">
        <f t="shared" si="27"/>
        <v>28.56</v>
      </c>
    </row>
    <row r="56" spans="1:47" x14ac:dyDescent="0.25">
      <c r="A56" t="s">
        <v>58</v>
      </c>
      <c r="B56" t="s">
        <v>59</v>
      </c>
      <c r="C56" s="56">
        <v>31</v>
      </c>
      <c r="D56" s="56">
        <v>12</v>
      </c>
      <c r="E56" s="56">
        <v>2015</v>
      </c>
      <c r="F56" s="67" t="s">
        <v>179</v>
      </c>
      <c r="G56" s="67" t="s">
        <v>179</v>
      </c>
      <c r="H56" s="68">
        <f t="shared" si="14"/>
        <v>1</v>
      </c>
      <c r="I56" s="71">
        <v>38.700000000000003</v>
      </c>
      <c r="J56" s="71">
        <v>38.700000000000003</v>
      </c>
      <c r="K56" s="69">
        <v>36.325000000000003</v>
      </c>
      <c r="L56" s="69">
        <v>35.299999999999997</v>
      </c>
      <c r="M56" s="73">
        <v>12.9</v>
      </c>
      <c r="N56" s="73">
        <v>18.138999999999999</v>
      </c>
      <c r="O56" s="73">
        <v>4.9779999999999998</v>
      </c>
      <c r="P56" s="73">
        <v>7.5809999999999995</v>
      </c>
      <c r="Q56" s="73">
        <v>1.242</v>
      </c>
      <c r="R56" s="69"/>
      <c r="S56" s="69"/>
      <c r="T56" s="69"/>
      <c r="U56" s="69"/>
      <c r="V56" s="69">
        <v>1</v>
      </c>
      <c r="W56" s="69">
        <v>1</v>
      </c>
      <c r="X56" s="69">
        <v>1</v>
      </c>
      <c r="Y56" s="69">
        <v>1</v>
      </c>
      <c r="Z56" s="69">
        <v>1</v>
      </c>
      <c r="AA56" s="69">
        <v>1</v>
      </c>
      <c r="AB56" s="69">
        <v>1</v>
      </c>
      <c r="AC56" s="69">
        <v>1</v>
      </c>
      <c r="AD56" s="69">
        <v>1</v>
      </c>
      <c r="AE56" s="69">
        <v>1</v>
      </c>
      <c r="AF56" s="69">
        <v>1</v>
      </c>
      <c r="AG56" s="69">
        <v>1</v>
      </c>
      <c r="AH56" s="69">
        <v>1</v>
      </c>
      <c r="AI56" s="70">
        <f t="shared" si="15"/>
        <v>38.700000000000003</v>
      </c>
      <c r="AJ56" s="70">
        <f t="shared" si="16"/>
        <v>38.700000000000003</v>
      </c>
      <c r="AK56" s="70">
        <f t="shared" si="17"/>
        <v>36.325000000000003</v>
      </c>
      <c r="AL56" s="70">
        <f t="shared" si="18"/>
        <v>35.299999999999997</v>
      </c>
      <c r="AM56" s="70">
        <f t="shared" si="19"/>
        <v>12.9</v>
      </c>
      <c r="AN56" s="70">
        <f t="shared" si="20"/>
        <v>18.138999999999999</v>
      </c>
      <c r="AO56" s="70">
        <f t="shared" si="21"/>
        <v>4.9779999999999998</v>
      </c>
      <c r="AP56" s="70">
        <f t="shared" si="22"/>
        <v>7.5809999999999995</v>
      </c>
      <c r="AQ56" s="70">
        <f t="shared" si="23"/>
        <v>1.242</v>
      </c>
      <c r="AR56" s="70">
        <f t="shared" si="24"/>
        <v>0</v>
      </c>
      <c r="AS56" s="70">
        <f t="shared" si="25"/>
        <v>0</v>
      </c>
      <c r="AT56" s="70">
        <f t="shared" si="26"/>
        <v>0</v>
      </c>
      <c r="AU56" s="70">
        <f t="shared" si="27"/>
        <v>0</v>
      </c>
    </row>
    <row r="57" spans="1:47" x14ac:dyDescent="0.25">
      <c r="A57" s="52" t="s">
        <v>60</v>
      </c>
      <c r="B57" t="s">
        <v>61</v>
      </c>
      <c r="C57" s="56">
        <v>31</v>
      </c>
      <c r="D57" s="56">
        <v>8</v>
      </c>
      <c r="E57" s="56">
        <v>2015</v>
      </c>
      <c r="F57" s="67" t="s">
        <v>179</v>
      </c>
      <c r="G57" s="67" t="s">
        <v>179</v>
      </c>
      <c r="H57" s="68">
        <f t="shared" si="14"/>
        <v>1</v>
      </c>
      <c r="I57" s="71">
        <v>115</v>
      </c>
      <c r="J57" s="71">
        <v>115</v>
      </c>
      <c r="K57" s="69">
        <v>115.65</v>
      </c>
      <c r="L57" s="69">
        <v>97.89</v>
      </c>
      <c r="M57" s="69">
        <v>87.11</v>
      </c>
      <c r="N57" s="69">
        <v>68.930000000000007</v>
      </c>
      <c r="O57" s="69">
        <v>52.65</v>
      </c>
      <c r="P57" s="69">
        <v>83.88</v>
      </c>
      <c r="Q57" s="69">
        <v>114.25</v>
      </c>
      <c r="R57" s="69">
        <v>69.739999999999995</v>
      </c>
      <c r="S57" s="69">
        <v>47.42</v>
      </c>
      <c r="T57" s="69">
        <v>31.85</v>
      </c>
      <c r="U57" s="69">
        <v>18.3</v>
      </c>
      <c r="V57" s="69">
        <v>1</v>
      </c>
      <c r="W57" s="69">
        <v>1</v>
      </c>
      <c r="X57" s="69">
        <v>1</v>
      </c>
      <c r="Y57" s="69">
        <v>1</v>
      </c>
      <c r="Z57" s="69">
        <v>1</v>
      </c>
      <c r="AA57" s="69">
        <v>1</v>
      </c>
      <c r="AB57" s="69">
        <v>1</v>
      </c>
      <c r="AC57" s="69">
        <v>1</v>
      </c>
      <c r="AD57" s="69">
        <v>1</v>
      </c>
      <c r="AE57" s="69">
        <v>1</v>
      </c>
      <c r="AF57" s="69">
        <v>1</v>
      </c>
      <c r="AG57" s="69">
        <v>1</v>
      </c>
      <c r="AH57" s="69">
        <v>1</v>
      </c>
      <c r="AI57" s="70">
        <f t="shared" si="15"/>
        <v>115</v>
      </c>
      <c r="AJ57" s="70">
        <f t="shared" si="16"/>
        <v>115</v>
      </c>
      <c r="AK57" s="70">
        <f t="shared" si="17"/>
        <v>115.65</v>
      </c>
      <c r="AL57" s="70">
        <f t="shared" si="18"/>
        <v>97.89</v>
      </c>
      <c r="AM57" s="70">
        <f t="shared" si="19"/>
        <v>87.11</v>
      </c>
      <c r="AN57" s="70">
        <f t="shared" si="20"/>
        <v>68.930000000000007</v>
      </c>
      <c r="AO57" s="70">
        <f t="shared" si="21"/>
        <v>52.65</v>
      </c>
      <c r="AP57" s="70">
        <f t="shared" si="22"/>
        <v>83.88</v>
      </c>
      <c r="AQ57" s="70">
        <f t="shared" si="23"/>
        <v>114.25</v>
      </c>
      <c r="AR57" s="70">
        <f t="shared" si="24"/>
        <v>69.739999999999995</v>
      </c>
      <c r="AS57" s="70">
        <f t="shared" si="25"/>
        <v>47.42</v>
      </c>
      <c r="AT57" s="70">
        <f t="shared" si="26"/>
        <v>31.85</v>
      </c>
      <c r="AU57" s="70">
        <f t="shared" si="27"/>
        <v>18.3</v>
      </c>
    </row>
    <row r="58" spans="1:47" x14ac:dyDescent="0.25">
      <c r="A58" s="55" t="s">
        <v>263</v>
      </c>
      <c r="B58" s="55" t="s">
        <v>270</v>
      </c>
      <c r="C58" s="56">
        <v>31</v>
      </c>
      <c r="D58" s="56">
        <v>12</v>
      </c>
      <c r="E58" s="56">
        <v>2015</v>
      </c>
      <c r="F58" s="67" t="s">
        <v>179</v>
      </c>
      <c r="G58" s="67" t="s">
        <v>179</v>
      </c>
      <c r="H58" s="68">
        <f t="shared" si="14"/>
        <v>1</v>
      </c>
      <c r="I58" s="71">
        <v>107.45</v>
      </c>
      <c r="J58" s="71">
        <v>107.45</v>
      </c>
      <c r="K58" s="69">
        <v>95.81</v>
      </c>
      <c r="L58" s="69">
        <v>78.47</v>
      </c>
      <c r="M58" s="69">
        <v>50.32</v>
      </c>
      <c r="N58" s="69">
        <v>33.68</v>
      </c>
      <c r="O58" s="69">
        <v>26.54</v>
      </c>
      <c r="P58" s="69">
        <v>26.8</v>
      </c>
      <c r="Q58" s="69">
        <v>20.09</v>
      </c>
      <c r="R58" s="69">
        <v>35.700000000000003</v>
      </c>
      <c r="S58" s="69">
        <v>69.06</v>
      </c>
      <c r="T58" s="69">
        <v>61.86</v>
      </c>
      <c r="U58" s="69"/>
      <c r="V58" s="69">
        <v>1</v>
      </c>
      <c r="W58" s="69">
        <v>1</v>
      </c>
      <c r="X58" s="69">
        <v>1</v>
      </c>
      <c r="Y58" s="69">
        <v>1</v>
      </c>
      <c r="Z58" s="69">
        <v>1</v>
      </c>
      <c r="AA58" s="69">
        <v>1</v>
      </c>
      <c r="AB58" s="69">
        <v>1</v>
      </c>
      <c r="AC58" s="69">
        <v>1</v>
      </c>
      <c r="AD58" s="69">
        <v>1</v>
      </c>
      <c r="AE58" s="69">
        <v>1</v>
      </c>
      <c r="AF58" s="69">
        <v>1</v>
      </c>
      <c r="AG58" s="69">
        <v>1</v>
      </c>
      <c r="AH58" s="69">
        <v>1</v>
      </c>
      <c r="AI58" s="70">
        <f t="shared" si="15"/>
        <v>107.45</v>
      </c>
      <c r="AJ58" s="70">
        <f t="shared" si="16"/>
        <v>107.45</v>
      </c>
      <c r="AK58" s="70">
        <f t="shared" si="17"/>
        <v>95.81</v>
      </c>
      <c r="AL58" s="70">
        <f t="shared" si="18"/>
        <v>78.47</v>
      </c>
      <c r="AM58" s="70">
        <f t="shared" si="19"/>
        <v>50.32</v>
      </c>
      <c r="AN58" s="70">
        <f t="shared" si="20"/>
        <v>33.68</v>
      </c>
      <c r="AO58" s="70">
        <f t="shared" si="21"/>
        <v>26.54</v>
      </c>
      <c r="AP58" s="70">
        <f t="shared" si="22"/>
        <v>26.8</v>
      </c>
      <c r="AQ58" s="70">
        <f t="shared" si="23"/>
        <v>20.09</v>
      </c>
      <c r="AR58" s="70">
        <f t="shared" si="24"/>
        <v>35.700000000000003</v>
      </c>
      <c r="AS58" s="70">
        <f t="shared" si="25"/>
        <v>69.06</v>
      </c>
      <c r="AT58" s="70">
        <f t="shared" si="26"/>
        <v>61.86</v>
      </c>
      <c r="AU58" s="70">
        <f t="shared" si="27"/>
        <v>0</v>
      </c>
    </row>
    <row r="59" spans="1:47" x14ac:dyDescent="0.25">
      <c r="A59" s="52" t="s">
        <v>62</v>
      </c>
      <c r="B59" t="s">
        <v>63</v>
      </c>
      <c r="C59" s="56">
        <v>31</v>
      </c>
      <c r="D59" s="56">
        <v>5</v>
      </c>
      <c r="E59" s="56">
        <v>2015</v>
      </c>
      <c r="F59" s="67" t="s">
        <v>179</v>
      </c>
      <c r="G59" s="67" t="s">
        <v>179</v>
      </c>
      <c r="H59" s="68">
        <f t="shared" si="14"/>
        <v>1</v>
      </c>
      <c r="I59" s="71">
        <v>44.73</v>
      </c>
      <c r="J59" s="71">
        <v>44.73</v>
      </c>
      <c r="K59" s="69">
        <v>42.02</v>
      </c>
      <c r="L59" s="69">
        <v>33.78</v>
      </c>
      <c r="M59" s="69">
        <v>26.47</v>
      </c>
      <c r="N59" s="69">
        <v>34.22</v>
      </c>
      <c r="O59" s="69">
        <v>22.57</v>
      </c>
      <c r="P59" s="69">
        <v>19.59</v>
      </c>
      <c r="Q59" s="69">
        <v>22.84</v>
      </c>
      <c r="R59" s="69">
        <v>19.38</v>
      </c>
      <c r="S59" s="69">
        <v>14.22</v>
      </c>
      <c r="T59" s="69">
        <v>12.8</v>
      </c>
      <c r="U59" s="69">
        <v>11.4</v>
      </c>
      <c r="V59" s="69">
        <v>1</v>
      </c>
      <c r="W59" s="69">
        <v>1</v>
      </c>
      <c r="X59" s="69">
        <v>1</v>
      </c>
      <c r="Y59" s="69">
        <v>1</v>
      </c>
      <c r="Z59" s="69">
        <v>1</v>
      </c>
      <c r="AA59" s="69">
        <v>1</v>
      </c>
      <c r="AB59" s="69">
        <v>1</v>
      </c>
      <c r="AC59" s="69">
        <v>1</v>
      </c>
      <c r="AD59" s="69">
        <v>1</v>
      </c>
      <c r="AE59" s="69">
        <v>1</v>
      </c>
      <c r="AF59" s="69">
        <v>1</v>
      </c>
      <c r="AG59" s="69">
        <v>1</v>
      </c>
      <c r="AH59" s="69">
        <v>1</v>
      </c>
      <c r="AI59" s="70">
        <f t="shared" si="15"/>
        <v>44.73</v>
      </c>
      <c r="AJ59" s="70">
        <f t="shared" si="16"/>
        <v>44.73</v>
      </c>
      <c r="AK59" s="70">
        <f t="shared" si="17"/>
        <v>42.02</v>
      </c>
      <c r="AL59" s="70">
        <f t="shared" si="18"/>
        <v>33.78</v>
      </c>
      <c r="AM59" s="70">
        <f t="shared" si="19"/>
        <v>26.47</v>
      </c>
      <c r="AN59" s="70">
        <f t="shared" si="20"/>
        <v>34.22</v>
      </c>
      <c r="AO59" s="70">
        <f t="shared" si="21"/>
        <v>22.57</v>
      </c>
      <c r="AP59" s="70">
        <f t="shared" si="22"/>
        <v>19.59</v>
      </c>
      <c r="AQ59" s="70">
        <f t="shared" si="23"/>
        <v>22.84</v>
      </c>
      <c r="AR59" s="70">
        <f t="shared" si="24"/>
        <v>19.38</v>
      </c>
      <c r="AS59" s="70">
        <f t="shared" si="25"/>
        <v>14.22</v>
      </c>
      <c r="AT59" s="70">
        <f t="shared" si="26"/>
        <v>12.8</v>
      </c>
      <c r="AU59" s="70">
        <f t="shared" si="27"/>
        <v>11.4</v>
      </c>
    </row>
    <row r="60" spans="1:47" x14ac:dyDescent="0.25">
      <c r="A60" t="s">
        <v>64</v>
      </c>
      <c r="B60" t="s">
        <v>65</v>
      </c>
      <c r="C60" s="56">
        <v>31</v>
      </c>
      <c r="D60" s="56">
        <v>12</v>
      </c>
      <c r="E60" s="56">
        <v>2015</v>
      </c>
      <c r="F60" s="67" t="s">
        <v>179</v>
      </c>
      <c r="G60" s="67" t="s">
        <v>179</v>
      </c>
      <c r="H60" s="68">
        <f t="shared" si="14"/>
        <v>1</v>
      </c>
      <c r="I60" s="71">
        <v>94.38</v>
      </c>
      <c r="J60" s="71">
        <v>94.38</v>
      </c>
      <c r="K60" s="69">
        <v>94.56</v>
      </c>
      <c r="L60" s="69">
        <v>82.94</v>
      </c>
      <c r="M60" s="69">
        <v>68.430000000000007</v>
      </c>
      <c r="N60" s="69">
        <v>66.349999999999994</v>
      </c>
      <c r="O60" s="69">
        <v>65.33</v>
      </c>
      <c r="P60" s="69">
        <v>60.8</v>
      </c>
      <c r="Q60" s="69">
        <v>54.77</v>
      </c>
      <c r="R60" s="69">
        <v>75.900000000000006</v>
      </c>
      <c r="S60" s="69">
        <v>62.66</v>
      </c>
      <c r="T60" s="69">
        <v>59.34</v>
      </c>
      <c r="U60" s="69">
        <v>52.2</v>
      </c>
      <c r="V60" s="69">
        <v>1</v>
      </c>
      <c r="W60" s="69">
        <v>1</v>
      </c>
      <c r="X60" s="69">
        <v>1</v>
      </c>
      <c r="Y60" s="69">
        <v>1</v>
      </c>
      <c r="Z60" s="69">
        <v>1</v>
      </c>
      <c r="AA60" s="69">
        <v>1</v>
      </c>
      <c r="AB60" s="69">
        <v>1</v>
      </c>
      <c r="AC60" s="69">
        <v>1</v>
      </c>
      <c r="AD60" s="69">
        <v>1</v>
      </c>
      <c r="AE60" s="69">
        <v>1</v>
      </c>
      <c r="AF60" s="69">
        <v>1</v>
      </c>
      <c r="AG60" s="69">
        <v>1</v>
      </c>
      <c r="AH60" s="69">
        <v>1</v>
      </c>
      <c r="AI60" s="70">
        <f t="shared" si="15"/>
        <v>94.38</v>
      </c>
      <c r="AJ60" s="70">
        <f t="shared" si="16"/>
        <v>94.38</v>
      </c>
      <c r="AK60" s="70">
        <f t="shared" si="17"/>
        <v>94.56</v>
      </c>
      <c r="AL60" s="70">
        <f t="shared" si="18"/>
        <v>82.94</v>
      </c>
      <c r="AM60" s="70">
        <f t="shared" si="19"/>
        <v>68.430000000000007</v>
      </c>
      <c r="AN60" s="70">
        <f t="shared" si="20"/>
        <v>66.349999999999994</v>
      </c>
      <c r="AO60" s="70">
        <f t="shared" si="21"/>
        <v>65.33</v>
      </c>
      <c r="AP60" s="70">
        <f t="shared" si="22"/>
        <v>60.8</v>
      </c>
      <c r="AQ60" s="70">
        <f t="shared" si="23"/>
        <v>54.77</v>
      </c>
      <c r="AR60" s="70">
        <f t="shared" si="24"/>
        <v>75.900000000000006</v>
      </c>
      <c r="AS60" s="70">
        <f t="shared" si="25"/>
        <v>62.66</v>
      </c>
      <c r="AT60" s="70">
        <f t="shared" si="26"/>
        <v>59.34</v>
      </c>
      <c r="AU60" s="70">
        <f t="shared" si="27"/>
        <v>52.2</v>
      </c>
    </row>
    <row r="61" spans="1:47" x14ac:dyDescent="0.25">
      <c r="A61" t="s">
        <v>66</v>
      </c>
      <c r="B61" t="s">
        <v>67</v>
      </c>
      <c r="C61" s="56">
        <v>31</v>
      </c>
      <c r="D61" s="56">
        <v>12</v>
      </c>
      <c r="E61" s="56">
        <v>2015</v>
      </c>
      <c r="F61" s="67" t="s">
        <v>179</v>
      </c>
      <c r="G61" s="67" t="s">
        <v>179</v>
      </c>
      <c r="H61" s="68">
        <f t="shared" si="14"/>
        <v>1</v>
      </c>
      <c r="I61" s="71">
        <v>34.29</v>
      </c>
      <c r="J61" s="71">
        <v>34.29</v>
      </c>
      <c r="K61" s="69">
        <v>31.15</v>
      </c>
      <c r="L61" s="69">
        <v>30.63</v>
      </c>
      <c r="M61" s="69">
        <v>25.0793</v>
      </c>
      <c r="N61" s="69">
        <v>21.64</v>
      </c>
      <c r="O61" s="69">
        <v>17.510000000000002</v>
      </c>
      <c r="P61" s="69">
        <v>18.190000000000001</v>
      </c>
      <c r="Q61" s="69">
        <v>17.71</v>
      </c>
      <c r="R61" s="69">
        <v>22.73</v>
      </c>
      <c r="S61" s="69">
        <v>25.97</v>
      </c>
      <c r="T61" s="69">
        <v>23.32</v>
      </c>
      <c r="U61" s="69">
        <v>26.89</v>
      </c>
      <c r="V61" s="69">
        <v>1</v>
      </c>
      <c r="W61" s="69">
        <v>1</v>
      </c>
      <c r="X61" s="69">
        <v>1</v>
      </c>
      <c r="Y61" s="69">
        <v>1</v>
      </c>
      <c r="Z61" s="69">
        <v>1</v>
      </c>
      <c r="AA61" s="69">
        <v>1</v>
      </c>
      <c r="AB61" s="69">
        <v>1</v>
      </c>
      <c r="AC61" s="69">
        <v>1</v>
      </c>
      <c r="AD61" s="69">
        <v>1</v>
      </c>
      <c r="AE61" s="69">
        <v>1</v>
      </c>
      <c r="AF61" s="69">
        <v>1</v>
      </c>
      <c r="AG61" s="69">
        <v>1</v>
      </c>
      <c r="AH61" s="69">
        <v>1</v>
      </c>
      <c r="AI61" s="70">
        <f t="shared" si="15"/>
        <v>34.29</v>
      </c>
      <c r="AJ61" s="70">
        <f t="shared" si="16"/>
        <v>34.29</v>
      </c>
      <c r="AK61" s="70">
        <f t="shared" si="17"/>
        <v>31.15</v>
      </c>
      <c r="AL61" s="70">
        <f t="shared" si="18"/>
        <v>30.63</v>
      </c>
      <c r="AM61" s="70">
        <f t="shared" si="19"/>
        <v>25.0793</v>
      </c>
      <c r="AN61" s="70">
        <f t="shared" si="20"/>
        <v>21.64</v>
      </c>
      <c r="AO61" s="70">
        <f t="shared" si="21"/>
        <v>17.510000000000002</v>
      </c>
      <c r="AP61" s="70">
        <f t="shared" si="22"/>
        <v>18.190000000000001</v>
      </c>
      <c r="AQ61" s="70">
        <f t="shared" si="23"/>
        <v>17.71</v>
      </c>
      <c r="AR61" s="70">
        <f t="shared" si="24"/>
        <v>22.73</v>
      </c>
      <c r="AS61" s="70">
        <f t="shared" si="25"/>
        <v>25.97</v>
      </c>
      <c r="AT61" s="70">
        <f t="shared" si="26"/>
        <v>23.32</v>
      </c>
      <c r="AU61" s="70">
        <f t="shared" si="27"/>
        <v>26.89</v>
      </c>
    </row>
    <row r="62" spans="1:47" x14ac:dyDescent="0.25">
      <c r="A62" t="s">
        <v>68</v>
      </c>
      <c r="B62" t="s">
        <v>69</v>
      </c>
      <c r="C62" s="56">
        <v>31</v>
      </c>
      <c r="D62" s="56">
        <v>12</v>
      </c>
      <c r="E62" s="56">
        <v>2015</v>
      </c>
      <c r="F62" s="67" t="s">
        <v>179</v>
      </c>
      <c r="G62" s="67" t="s">
        <v>179</v>
      </c>
      <c r="H62" s="68">
        <f t="shared" si="14"/>
        <v>1</v>
      </c>
      <c r="I62" s="71">
        <v>82.73</v>
      </c>
      <c r="J62" s="71">
        <v>82.73</v>
      </c>
      <c r="K62" s="69">
        <v>81.45</v>
      </c>
      <c r="L62" s="69">
        <v>87.13</v>
      </c>
      <c r="M62" s="69">
        <v>83.64</v>
      </c>
      <c r="N62" s="69">
        <v>78.48</v>
      </c>
      <c r="O62" s="69">
        <v>58.53</v>
      </c>
      <c r="P62" s="69">
        <v>48.19</v>
      </c>
      <c r="Q62" s="69">
        <v>43.51</v>
      </c>
      <c r="R62" s="69"/>
      <c r="S62" s="69"/>
      <c r="T62" s="69"/>
      <c r="U62" s="69"/>
      <c r="V62" s="69">
        <v>1</v>
      </c>
      <c r="W62" s="69">
        <v>1</v>
      </c>
      <c r="X62" s="69">
        <v>1</v>
      </c>
      <c r="Y62" s="69">
        <v>1</v>
      </c>
      <c r="Z62" s="69">
        <v>1</v>
      </c>
      <c r="AA62" s="69">
        <v>1</v>
      </c>
      <c r="AB62" s="69">
        <v>1</v>
      </c>
      <c r="AC62" s="69">
        <v>1</v>
      </c>
      <c r="AD62" s="69">
        <v>1</v>
      </c>
      <c r="AE62" s="69">
        <v>1</v>
      </c>
      <c r="AF62" s="69">
        <v>1</v>
      </c>
      <c r="AG62" s="69">
        <v>1</v>
      </c>
      <c r="AH62" s="69">
        <v>1</v>
      </c>
      <c r="AI62" s="70">
        <f t="shared" si="15"/>
        <v>82.73</v>
      </c>
      <c r="AJ62" s="70">
        <f t="shared" si="16"/>
        <v>82.73</v>
      </c>
      <c r="AK62" s="70">
        <f t="shared" si="17"/>
        <v>81.45</v>
      </c>
      <c r="AL62" s="70">
        <f t="shared" si="18"/>
        <v>87.13</v>
      </c>
      <c r="AM62" s="70">
        <f t="shared" si="19"/>
        <v>83.64</v>
      </c>
      <c r="AN62" s="70">
        <f t="shared" si="20"/>
        <v>78.48</v>
      </c>
      <c r="AO62" s="70">
        <f t="shared" si="21"/>
        <v>58.53</v>
      </c>
      <c r="AP62" s="70">
        <f t="shared" si="22"/>
        <v>48.19</v>
      </c>
      <c r="AQ62" s="70">
        <f t="shared" si="23"/>
        <v>43.51</v>
      </c>
      <c r="AR62" s="70">
        <f t="shared" si="24"/>
        <v>0</v>
      </c>
      <c r="AS62" s="70">
        <f t="shared" si="25"/>
        <v>0</v>
      </c>
      <c r="AT62" s="70">
        <f t="shared" si="26"/>
        <v>0</v>
      </c>
      <c r="AU62" s="70">
        <f t="shared" si="27"/>
        <v>0</v>
      </c>
    </row>
    <row r="63" spans="1:47" x14ac:dyDescent="0.25">
      <c r="A63" s="52" t="s">
        <v>70</v>
      </c>
      <c r="B63" t="s">
        <v>71</v>
      </c>
      <c r="C63" s="56">
        <v>30</v>
      </c>
      <c r="D63" s="56">
        <v>6</v>
      </c>
      <c r="E63" s="56">
        <v>2015</v>
      </c>
      <c r="F63" s="67" t="s">
        <v>179</v>
      </c>
      <c r="G63" s="67" t="s">
        <v>179</v>
      </c>
      <c r="H63" s="68">
        <f t="shared" si="14"/>
        <v>1</v>
      </c>
      <c r="I63" s="71">
        <v>79.849999999999994</v>
      </c>
      <c r="J63" s="71">
        <v>79.849999999999994</v>
      </c>
      <c r="K63" s="69">
        <v>78.59</v>
      </c>
      <c r="L63" s="69">
        <v>76.989999999999995</v>
      </c>
      <c r="M63" s="69">
        <v>61.25</v>
      </c>
      <c r="N63" s="69">
        <v>63.57</v>
      </c>
      <c r="O63" s="69">
        <v>59.98</v>
      </c>
      <c r="P63" s="69">
        <v>51.1</v>
      </c>
      <c r="Q63" s="69">
        <v>60.81</v>
      </c>
      <c r="R63" s="69">
        <v>61.19</v>
      </c>
      <c r="S63" s="69">
        <v>56.65</v>
      </c>
      <c r="T63" s="69">
        <v>52.75</v>
      </c>
      <c r="U63" s="69">
        <v>54.44</v>
      </c>
      <c r="V63" s="69">
        <v>1</v>
      </c>
      <c r="W63" s="69">
        <v>1</v>
      </c>
      <c r="X63" s="69">
        <v>1</v>
      </c>
      <c r="Y63" s="69">
        <v>1</v>
      </c>
      <c r="Z63" s="69">
        <v>1</v>
      </c>
      <c r="AA63" s="69">
        <v>1</v>
      </c>
      <c r="AB63" s="69">
        <v>1</v>
      </c>
      <c r="AC63" s="69">
        <v>1</v>
      </c>
      <c r="AD63" s="69">
        <v>1</v>
      </c>
      <c r="AE63" s="69">
        <v>1</v>
      </c>
      <c r="AF63" s="69">
        <v>1</v>
      </c>
      <c r="AG63" s="69">
        <v>1</v>
      </c>
      <c r="AH63" s="69">
        <v>1</v>
      </c>
      <c r="AI63" s="70">
        <f t="shared" si="15"/>
        <v>79.849999999999994</v>
      </c>
      <c r="AJ63" s="70">
        <f t="shared" si="16"/>
        <v>79.849999999999994</v>
      </c>
      <c r="AK63" s="70">
        <f t="shared" si="17"/>
        <v>78.59</v>
      </c>
      <c r="AL63" s="70">
        <f t="shared" si="18"/>
        <v>76.989999999999995</v>
      </c>
      <c r="AM63" s="70">
        <f t="shared" si="19"/>
        <v>61.25</v>
      </c>
      <c r="AN63" s="70">
        <f t="shared" si="20"/>
        <v>63.57</v>
      </c>
      <c r="AO63" s="70">
        <f t="shared" si="21"/>
        <v>59.98</v>
      </c>
      <c r="AP63" s="70">
        <f t="shared" si="22"/>
        <v>51.1</v>
      </c>
      <c r="AQ63" s="70">
        <f t="shared" si="23"/>
        <v>60.81</v>
      </c>
      <c r="AR63" s="70">
        <f t="shared" si="24"/>
        <v>61.19</v>
      </c>
      <c r="AS63" s="70">
        <f t="shared" si="25"/>
        <v>56.65</v>
      </c>
      <c r="AT63" s="70">
        <f t="shared" si="26"/>
        <v>52.75</v>
      </c>
      <c r="AU63" s="70">
        <f t="shared" si="27"/>
        <v>54.44</v>
      </c>
    </row>
    <row r="64" spans="1:47" x14ac:dyDescent="0.25">
      <c r="A64" t="s">
        <v>276</v>
      </c>
      <c r="B64" t="s">
        <v>286</v>
      </c>
      <c r="C64" s="56">
        <v>31</v>
      </c>
      <c r="D64" s="56">
        <v>12</v>
      </c>
      <c r="E64" s="56">
        <v>2015</v>
      </c>
      <c r="F64" s="67" t="s">
        <v>179</v>
      </c>
      <c r="G64" s="67" t="s">
        <v>179</v>
      </c>
      <c r="H64" s="68">
        <f t="shared" si="14"/>
        <v>1</v>
      </c>
      <c r="I64" s="71">
        <v>113.61</v>
      </c>
      <c r="J64" s="71">
        <v>113.61</v>
      </c>
      <c r="K64" s="69">
        <v>101.09</v>
      </c>
      <c r="L64" s="69">
        <v>75.3</v>
      </c>
      <c r="M64" s="69">
        <v>54.24</v>
      </c>
      <c r="N64" s="69">
        <v>50.68</v>
      </c>
      <c r="O64" s="69">
        <v>36.11</v>
      </c>
      <c r="P64" s="69">
        <v>30.48</v>
      </c>
      <c r="Q64" s="69">
        <v>26.6</v>
      </c>
      <c r="R64" s="69">
        <v>58.2</v>
      </c>
      <c r="S64" s="69">
        <v>53.8</v>
      </c>
      <c r="T64" s="69">
        <v>62.12</v>
      </c>
      <c r="U64" s="69">
        <v>44.09</v>
      </c>
      <c r="V64" s="69">
        <v>1</v>
      </c>
      <c r="W64" s="69">
        <v>1</v>
      </c>
      <c r="X64" s="69">
        <v>1</v>
      </c>
      <c r="Y64" s="69">
        <v>1</v>
      </c>
      <c r="Z64" s="69">
        <v>1</v>
      </c>
      <c r="AA64" s="69">
        <v>1</v>
      </c>
      <c r="AB64" s="69">
        <v>1</v>
      </c>
      <c r="AC64" s="69">
        <v>1</v>
      </c>
      <c r="AD64" s="69">
        <v>1</v>
      </c>
      <c r="AE64" s="69">
        <v>1</v>
      </c>
      <c r="AF64" s="69">
        <v>1</v>
      </c>
      <c r="AG64" s="69">
        <v>1</v>
      </c>
      <c r="AH64" s="69">
        <v>1</v>
      </c>
      <c r="AI64" s="70">
        <f t="shared" si="15"/>
        <v>113.61</v>
      </c>
      <c r="AJ64" s="70">
        <f t="shared" si="16"/>
        <v>113.61</v>
      </c>
      <c r="AK64" s="70">
        <f t="shared" si="17"/>
        <v>101.09</v>
      </c>
      <c r="AL64" s="70">
        <f t="shared" si="18"/>
        <v>75.3</v>
      </c>
      <c r="AM64" s="70">
        <f t="shared" si="19"/>
        <v>54.24</v>
      </c>
      <c r="AN64" s="70">
        <f t="shared" si="20"/>
        <v>50.68</v>
      </c>
      <c r="AO64" s="70">
        <f t="shared" si="21"/>
        <v>36.11</v>
      </c>
      <c r="AP64" s="70">
        <f t="shared" si="22"/>
        <v>30.48</v>
      </c>
      <c r="AQ64" s="70">
        <f t="shared" si="23"/>
        <v>26.6</v>
      </c>
      <c r="AR64" s="70">
        <f t="shared" si="24"/>
        <v>58.2</v>
      </c>
      <c r="AS64" s="70">
        <f t="shared" si="25"/>
        <v>53.8</v>
      </c>
      <c r="AT64" s="70">
        <f t="shared" si="26"/>
        <v>62.12</v>
      </c>
      <c r="AU64" s="70">
        <f t="shared" si="27"/>
        <v>44.09</v>
      </c>
    </row>
    <row r="65" spans="1:47" x14ac:dyDescent="0.25">
      <c r="A65" t="s">
        <v>72</v>
      </c>
      <c r="B65" t="s">
        <v>73</v>
      </c>
      <c r="C65" s="56">
        <v>31</v>
      </c>
      <c r="D65" s="56">
        <v>12</v>
      </c>
      <c r="E65" s="56">
        <v>2015</v>
      </c>
      <c r="F65" s="67" t="s">
        <v>179</v>
      </c>
      <c r="G65" s="67" t="s">
        <v>179</v>
      </c>
      <c r="H65" s="68">
        <f t="shared" si="14"/>
        <v>1</v>
      </c>
      <c r="I65" s="71">
        <v>50.47</v>
      </c>
      <c r="J65" s="71">
        <v>50.47</v>
      </c>
      <c r="K65" s="69">
        <v>46.78</v>
      </c>
      <c r="L65" s="69">
        <v>49.14</v>
      </c>
      <c r="M65" s="69">
        <v>43.27</v>
      </c>
      <c r="N65" s="69">
        <v>40.119999999999997</v>
      </c>
      <c r="O65" s="69">
        <v>35.78</v>
      </c>
      <c r="P65" s="69">
        <v>33.130000000000003</v>
      </c>
      <c r="Q65" s="69">
        <v>33.9</v>
      </c>
      <c r="R65" s="69">
        <v>43.69</v>
      </c>
      <c r="S65" s="69">
        <v>37.299999999999997</v>
      </c>
      <c r="T65" s="69">
        <v>30.12</v>
      </c>
      <c r="U65" s="69">
        <v>40.51</v>
      </c>
      <c r="V65" s="69">
        <v>1</v>
      </c>
      <c r="W65" s="69">
        <v>1</v>
      </c>
      <c r="X65" s="69">
        <v>1</v>
      </c>
      <c r="Y65" s="69">
        <v>1</v>
      </c>
      <c r="Z65" s="69">
        <v>1</v>
      </c>
      <c r="AA65" s="69">
        <v>1</v>
      </c>
      <c r="AB65" s="69">
        <v>1</v>
      </c>
      <c r="AC65" s="69">
        <v>1</v>
      </c>
      <c r="AD65" s="69">
        <v>1</v>
      </c>
      <c r="AE65" s="69">
        <v>1</v>
      </c>
      <c r="AF65" s="69">
        <v>1</v>
      </c>
      <c r="AG65" s="69">
        <v>1</v>
      </c>
      <c r="AH65" s="69">
        <v>1</v>
      </c>
      <c r="AI65" s="70">
        <f t="shared" si="15"/>
        <v>50.47</v>
      </c>
      <c r="AJ65" s="70">
        <f t="shared" si="16"/>
        <v>50.47</v>
      </c>
      <c r="AK65" s="70">
        <f t="shared" si="17"/>
        <v>46.78</v>
      </c>
      <c r="AL65" s="70">
        <f t="shared" si="18"/>
        <v>49.14</v>
      </c>
      <c r="AM65" s="70">
        <f t="shared" si="19"/>
        <v>43.27</v>
      </c>
      <c r="AN65" s="70">
        <f t="shared" si="20"/>
        <v>40.119999999999997</v>
      </c>
      <c r="AO65" s="70">
        <f t="shared" si="21"/>
        <v>35.78</v>
      </c>
      <c r="AP65" s="70">
        <f t="shared" si="22"/>
        <v>33.130000000000003</v>
      </c>
      <c r="AQ65" s="70">
        <f t="shared" si="23"/>
        <v>33.9</v>
      </c>
      <c r="AR65" s="70">
        <f t="shared" si="24"/>
        <v>43.69</v>
      </c>
      <c r="AS65" s="70">
        <f t="shared" si="25"/>
        <v>37.299999999999997</v>
      </c>
      <c r="AT65" s="70">
        <f t="shared" si="26"/>
        <v>30.12</v>
      </c>
      <c r="AU65" s="70">
        <f t="shared" si="27"/>
        <v>40.51</v>
      </c>
    </row>
    <row r="66" spans="1:47" x14ac:dyDescent="0.25">
      <c r="A66" s="55" t="s">
        <v>265</v>
      </c>
      <c r="B66" s="55" t="s">
        <v>271</v>
      </c>
      <c r="C66" s="56">
        <v>30</v>
      </c>
      <c r="D66" s="56">
        <v>9</v>
      </c>
      <c r="E66" s="56">
        <v>2015</v>
      </c>
      <c r="F66" s="67" t="s">
        <v>179</v>
      </c>
      <c r="G66" s="67" t="s">
        <v>179</v>
      </c>
      <c r="H66" s="68">
        <f t="shared" si="14"/>
        <v>1</v>
      </c>
      <c r="I66" s="71">
        <v>67.34</v>
      </c>
      <c r="J66" s="71">
        <v>67.34</v>
      </c>
      <c r="K66" s="69">
        <v>53.342500000000001</v>
      </c>
      <c r="L66" s="69">
        <v>47.774999999999999</v>
      </c>
      <c r="M66" s="69">
        <v>33.57</v>
      </c>
      <c r="N66" s="69">
        <v>21.43</v>
      </c>
      <c r="O66" s="69">
        <v>18.565000000000001</v>
      </c>
      <c r="P66" s="69">
        <v>17.2775</v>
      </c>
      <c r="Q66" s="69">
        <v>15.3475</v>
      </c>
      <c r="R66" s="69"/>
      <c r="S66" s="69"/>
      <c r="T66" s="69"/>
      <c r="U66" s="69"/>
      <c r="V66" s="69">
        <v>1</v>
      </c>
      <c r="W66" s="69">
        <v>1</v>
      </c>
      <c r="X66" s="69">
        <v>1</v>
      </c>
      <c r="Y66" s="69">
        <v>1</v>
      </c>
      <c r="Z66" s="69">
        <v>1</v>
      </c>
      <c r="AA66" s="69">
        <v>1</v>
      </c>
      <c r="AB66" s="69">
        <v>1</v>
      </c>
      <c r="AC66" s="69">
        <v>1</v>
      </c>
      <c r="AD66" s="69">
        <v>1</v>
      </c>
      <c r="AE66" s="69">
        <v>1</v>
      </c>
      <c r="AF66" s="69">
        <v>1</v>
      </c>
      <c r="AG66" s="69">
        <v>1</v>
      </c>
      <c r="AH66" s="69">
        <v>1</v>
      </c>
      <c r="AI66" s="70">
        <f t="shared" si="15"/>
        <v>67.34</v>
      </c>
      <c r="AJ66" s="70">
        <f t="shared" si="16"/>
        <v>67.34</v>
      </c>
      <c r="AK66" s="70">
        <f t="shared" si="17"/>
        <v>53.342500000000001</v>
      </c>
      <c r="AL66" s="70">
        <f t="shared" si="18"/>
        <v>47.774999999999999</v>
      </c>
      <c r="AM66" s="70">
        <f t="shared" si="19"/>
        <v>33.57</v>
      </c>
      <c r="AN66" s="70">
        <f t="shared" si="20"/>
        <v>21.43</v>
      </c>
      <c r="AO66" s="70">
        <f t="shared" si="21"/>
        <v>18.565000000000001</v>
      </c>
      <c r="AP66" s="70">
        <f t="shared" si="22"/>
        <v>17.2775</v>
      </c>
      <c r="AQ66" s="70">
        <f t="shared" si="23"/>
        <v>15.3475</v>
      </c>
      <c r="AR66" s="70">
        <f t="shared" si="24"/>
        <v>0</v>
      </c>
      <c r="AS66" s="70">
        <f t="shared" si="25"/>
        <v>0</v>
      </c>
      <c r="AT66" s="70">
        <f t="shared" si="26"/>
        <v>0</v>
      </c>
      <c r="AU66" s="70">
        <f t="shared" si="27"/>
        <v>0</v>
      </c>
    </row>
    <row r="67" spans="1:47" x14ac:dyDescent="0.25">
      <c r="A67" s="52" t="s">
        <v>74</v>
      </c>
      <c r="B67" t="s">
        <v>75</v>
      </c>
      <c r="C67" s="56">
        <v>31</v>
      </c>
      <c r="D67" s="56">
        <v>1</v>
      </c>
      <c r="E67" s="56">
        <v>2015</v>
      </c>
      <c r="F67" s="67" t="s">
        <v>179</v>
      </c>
      <c r="G67" s="67" t="s">
        <v>179</v>
      </c>
      <c r="H67" s="68">
        <f t="shared" si="14"/>
        <v>1</v>
      </c>
      <c r="I67" s="71">
        <v>77.88</v>
      </c>
      <c r="J67" s="69">
        <v>84.98</v>
      </c>
      <c r="K67" s="69">
        <v>74.680000000000007</v>
      </c>
      <c r="L67" s="69">
        <v>69.95</v>
      </c>
      <c r="M67" s="69">
        <v>61.36</v>
      </c>
      <c r="N67" s="69">
        <v>56.07</v>
      </c>
      <c r="O67" s="69">
        <v>53.43</v>
      </c>
      <c r="P67" s="69">
        <v>47.12</v>
      </c>
      <c r="Q67" s="69">
        <v>50.77</v>
      </c>
      <c r="R67" s="69">
        <v>47.67</v>
      </c>
      <c r="S67" s="69">
        <v>46.11</v>
      </c>
      <c r="T67" s="69">
        <v>52.4</v>
      </c>
      <c r="U67" s="69">
        <v>53.85</v>
      </c>
      <c r="V67" s="69">
        <v>1</v>
      </c>
      <c r="W67" s="69">
        <v>1</v>
      </c>
      <c r="X67" s="69">
        <v>1</v>
      </c>
      <c r="Y67" s="69">
        <v>1</v>
      </c>
      <c r="Z67" s="69">
        <v>1</v>
      </c>
      <c r="AA67" s="69">
        <v>1</v>
      </c>
      <c r="AB67" s="69">
        <v>1</v>
      </c>
      <c r="AC67" s="69">
        <v>1</v>
      </c>
      <c r="AD67" s="69">
        <v>1</v>
      </c>
      <c r="AE67" s="69">
        <v>1</v>
      </c>
      <c r="AF67" s="69">
        <v>1</v>
      </c>
      <c r="AG67" s="69">
        <v>1</v>
      </c>
      <c r="AH67" s="69">
        <v>1</v>
      </c>
      <c r="AI67" s="70">
        <f t="shared" si="15"/>
        <v>77.88</v>
      </c>
      <c r="AJ67" s="70">
        <f t="shared" si="16"/>
        <v>84.98</v>
      </c>
      <c r="AK67" s="70">
        <f t="shared" si="17"/>
        <v>74.680000000000007</v>
      </c>
      <c r="AL67" s="70">
        <f t="shared" si="18"/>
        <v>69.95</v>
      </c>
      <c r="AM67" s="70">
        <f t="shared" si="19"/>
        <v>61.36</v>
      </c>
      <c r="AN67" s="70">
        <f t="shared" si="20"/>
        <v>56.07</v>
      </c>
      <c r="AO67" s="70">
        <f t="shared" si="21"/>
        <v>53.43</v>
      </c>
      <c r="AP67" s="70">
        <f t="shared" si="22"/>
        <v>47.12</v>
      </c>
      <c r="AQ67" s="70">
        <f t="shared" si="23"/>
        <v>50.77</v>
      </c>
      <c r="AR67" s="70">
        <f t="shared" si="24"/>
        <v>47.67</v>
      </c>
      <c r="AS67" s="70">
        <f t="shared" si="25"/>
        <v>46.11</v>
      </c>
      <c r="AT67" s="70">
        <f t="shared" si="26"/>
        <v>52.4</v>
      </c>
      <c r="AU67" s="70">
        <f t="shared" si="27"/>
        <v>53.85</v>
      </c>
    </row>
    <row r="68" spans="1:47" x14ac:dyDescent="0.25">
      <c r="C68" s="56"/>
      <c r="D68" s="56"/>
      <c r="E68" s="56"/>
      <c r="F68" s="67"/>
      <c r="G68" s="67"/>
      <c r="H68" s="68">
        <f t="shared" si="14"/>
        <v>1</v>
      </c>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70">
        <f t="shared" si="15"/>
        <v>0</v>
      </c>
      <c r="AJ68" s="70">
        <f t="shared" si="16"/>
        <v>0</v>
      </c>
      <c r="AK68" s="70">
        <f t="shared" si="17"/>
        <v>0</v>
      </c>
      <c r="AL68" s="70">
        <f t="shared" si="18"/>
        <v>0</v>
      </c>
      <c r="AM68" s="70">
        <f t="shared" si="19"/>
        <v>0</v>
      </c>
      <c r="AN68" s="70">
        <f t="shared" si="20"/>
        <v>0</v>
      </c>
      <c r="AO68" s="70">
        <f t="shared" si="21"/>
        <v>0</v>
      </c>
      <c r="AP68" s="70">
        <f t="shared" si="22"/>
        <v>0</v>
      </c>
      <c r="AQ68" s="70">
        <f t="shared" si="23"/>
        <v>0</v>
      </c>
      <c r="AR68" s="70">
        <f t="shared" si="24"/>
        <v>0</v>
      </c>
      <c r="AS68" s="70">
        <f t="shared" si="25"/>
        <v>0</v>
      </c>
      <c r="AT68" s="70">
        <f t="shared" si="26"/>
        <v>0</v>
      </c>
      <c r="AU68" s="70">
        <f t="shared" si="27"/>
        <v>0</v>
      </c>
    </row>
    <row r="69" spans="1:47" x14ac:dyDescent="0.25">
      <c r="C69" s="56"/>
      <c r="D69" s="56"/>
      <c r="E69" s="56"/>
      <c r="F69" s="67"/>
      <c r="G69" s="67"/>
      <c r="H69" s="68">
        <f t="shared" ref="H69:H103" si="28">IF(F69=G69,1,0)</f>
        <v>1</v>
      </c>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70">
        <f t="shared" ref="AI69:AI103" si="29">I69*V69</f>
        <v>0</v>
      </c>
      <c r="AJ69" s="70">
        <f t="shared" ref="AJ69:AJ103" si="30">J69*W69</f>
        <v>0</v>
      </c>
      <c r="AK69" s="70">
        <f t="shared" ref="AK69:AK103" si="31">K69*X69</f>
        <v>0</v>
      </c>
      <c r="AL69" s="70">
        <f t="shared" ref="AL69:AL103" si="32">L69*Y69</f>
        <v>0</v>
      </c>
      <c r="AM69" s="70">
        <f t="shared" ref="AM69:AM103" si="33">M69*Z69</f>
        <v>0</v>
      </c>
      <c r="AN69" s="70">
        <f t="shared" ref="AN69:AN103" si="34">N69*AA69</f>
        <v>0</v>
      </c>
      <c r="AO69" s="70">
        <f t="shared" ref="AO69:AO103" si="35">O69*AB69</f>
        <v>0</v>
      </c>
      <c r="AP69" s="70">
        <f t="shared" ref="AP69:AP103" si="36">P69*AC69</f>
        <v>0</v>
      </c>
      <c r="AQ69" s="70">
        <f t="shared" ref="AQ69:AQ103" si="37">Q69*AD69</f>
        <v>0</v>
      </c>
      <c r="AR69" s="70">
        <f t="shared" ref="AR69:AR103" si="38">R69*AE69</f>
        <v>0</v>
      </c>
      <c r="AS69" s="70">
        <f t="shared" ref="AS69:AS103" si="39">S69*AF69</f>
        <v>0</v>
      </c>
      <c r="AT69" s="70">
        <f t="shared" ref="AT69:AT103" si="40">T69*AG69</f>
        <v>0</v>
      </c>
      <c r="AU69" s="70">
        <f t="shared" ref="AU69:AU103" si="41">U69*AH69</f>
        <v>0</v>
      </c>
    </row>
    <row r="70" spans="1:47" x14ac:dyDescent="0.25">
      <c r="C70" s="56"/>
      <c r="D70" s="56"/>
      <c r="E70" s="56"/>
      <c r="F70" s="67"/>
      <c r="G70" s="67"/>
      <c r="H70" s="68">
        <f t="shared" si="28"/>
        <v>1</v>
      </c>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70">
        <f t="shared" si="29"/>
        <v>0</v>
      </c>
      <c r="AJ70" s="70">
        <f t="shared" si="30"/>
        <v>0</v>
      </c>
      <c r="AK70" s="70">
        <f t="shared" si="31"/>
        <v>0</v>
      </c>
      <c r="AL70" s="70">
        <f t="shared" si="32"/>
        <v>0</v>
      </c>
      <c r="AM70" s="70">
        <f t="shared" si="33"/>
        <v>0</v>
      </c>
      <c r="AN70" s="70">
        <f t="shared" si="34"/>
        <v>0</v>
      </c>
      <c r="AO70" s="70">
        <f t="shared" si="35"/>
        <v>0</v>
      </c>
      <c r="AP70" s="70">
        <f t="shared" si="36"/>
        <v>0</v>
      </c>
      <c r="AQ70" s="70">
        <f t="shared" si="37"/>
        <v>0</v>
      </c>
      <c r="AR70" s="70">
        <f t="shared" si="38"/>
        <v>0</v>
      </c>
      <c r="AS70" s="70">
        <f t="shared" si="39"/>
        <v>0</v>
      </c>
      <c r="AT70" s="70">
        <f t="shared" si="40"/>
        <v>0</v>
      </c>
      <c r="AU70" s="70">
        <f t="shared" si="41"/>
        <v>0</v>
      </c>
    </row>
    <row r="71" spans="1:47" x14ac:dyDescent="0.25">
      <c r="C71" s="56"/>
      <c r="D71" s="56"/>
      <c r="E71" s="56"/>
      <c r="F71" s="67"/>
      <c r="G71" s="67"/>
      <c r="H71" s="68">
        <f t="shared" si="28"/>
        <v>1</v>
      </c>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70">
        <f t="shared" si="29"/>
        <v>0</v>
      </c>
      <c r="AJ71" s="70">
        <f t="shared" si="30"/>
        <v>0</v>
      </c>
      <c r="AK71" s="70">
        <f t="shared" si="31"/>
        <v>0</v>
      </c>
      <c r="AL71" s="70">
        <f t="shared" si="32"/>
        <v>0</v>
      </c>
      <c r="AM71" s="70">
        <f t="shared" si="33"/>
        <v>0</v>
      </c>
      <c r="AN71" s="70">
        <f t="shared" si="34"/>
        <v>0</v>
      </c>
      <c r="AO71" s="70">
        <f t="shared" si="35"/>
        <v>0</v>
      </c>
      <c r="AP71" s="70">
        <f t="shared" si="36"/>
        <v>0</v>
      </c>
      <c r="AQ71" s="70">
        <f t="shared" si="37"/>
        <v>0</v>
      </c>
      <c r="AR71" s="70">
        <f t="shared" si="38"/>
        <v>0</v>
      </c>
      <c r="AS71" s="70">
        <f t="shared" si="39"/>
        <v>0</v>
      </c>
      <c r="AT71" s="70">
        <f t="shared" si="40"/>
        <v>0</v>
      </c>
      <c r="AU71" s="70">
        <f t="shared" si="41"/>
        <v>0</v>
      </c>
    </row>
    <row r="72" spans="1:47" x14ac:dyDescent="0.25">
      <c r="C72" s="56"/>
      <c r="D72" s="56"/>
      <c r="E72" s="56"/>
      <c r="F72" s="67"/>
      <c r="G72" s="67"/>
      <c r="H72" s="68">
        <f t="shared" si="28"/>
        <v>1</v>
      </c>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70">
        <f t="shared" si="29"/>
        <v>0</v>
      </c>
      <c r="AJ72" s="70">
        <f t="shared" si="30"/>
        <v>0</v>
      </c>
      <c r="AK72" s="70">
        <f t="shared" si="31"/>
        <v>0</v>
      </c>
      <c r="AL72" s="70">
        <f t="shared" si="32"/>
        <v>0</v>
      </c>
      <c r="AM72" s="70">
        <f t="shared" si="33"/>
        <v>0</v>
      </c>
      <c r="AN72" s="70">
        <f t="shared" si="34"/>
        <v>0</v>
      </c>
      <c r="AO72" s="70">
        <f t="shared" si="35"/>
        <v>0</v>
      </c>
      <c r="AP72" s="70">
        <f t="shared" si="36"/>
        <v>0</v>
      </c>
      <c r="AQ72" s="70">
        <f t="shared" si="37"/>
        <v>0</v>
      </c>
      <c r="AR72" s="70">
        <f t="shared" si="38"/>
        <v>0</v>
      </c>
      <c r="AS72" s="70">
        <f t="shared" si="39"/>
        <v>0</v>
      </c>
      <c r="AT72" s="70">
        <f t="shared" si="40"/>
        <v>0</v>
      </c>
      <c r="AU72" s="70">
        <f t="shared" si="41"/>
        <v>0</v>
      </c>
    </row>
    <row r="73" spans="1:47" x14ac:dyDescent="0.25">
      <c r="C73" s="56"/>
      <c r="D73" s="56"/>
      <c r="E73" s="56"/>
      <c r="F73" s="67"/>
      <c r="G73" s="67"/>
      <c r="H73" s="68">
        <f t="shared" si="28"/>
        <v>1</v>
      </c>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70">
        <f t="shared" si="29"/>
        <v>0</v>
      </c>
      <c r="AJ73" s="70">
        <f t="shared" si="30"/>
        <v>0</v>
      </c>
      <c r="AK73" s="70">
        <f t="shared" si="31"/>
        <v>0</v>
      </c>
      <c r="AL73" s="70">
        <f t="shared" si="32"/>
        <v>0</v>
      </c>
      <c r="AM73" s="70">
        <f t="shared" si="33"/>
        <v>0</v>
      </c>
      <c r="AN73" s="70">
        <f t="shared" si="34"/>
        <v>0</v>
      </c>
      <c r="AO73" s="70">
        <f t="shared" si="35"/>
        <v>0</v>
      </c>
      <c r="AP73" s="70">
        <f t="shared" si="36"/>
        <v>0</v>
      </c>
      <c r="AQ73" s="70">
        <f t="shared" si="37"/>
        <v>0</v>
      </c>
      <c r="AR73" s="70">
        <f t="shared" si="38"/>
        <v>0</v>
      </c>
      <c r="AS73" s="70">
        <f t="shared" si="39"/>
        <v>0</v>
      </c>
      <c r="AT73" s="70">
        <f t="shared" si="40"/>
        <v>0</v>
      </c>
      <c r="AU73" s="70">
        <f t="shared" si="41"/>
        <v>0</v>
      </c>
    </row>
    <row r="74" spans="1:47" x14ac:dyDescent="0.25">
      <c r="C74" s="56"/>
      <c r="D74" s="56"/>
      <c r="E74" s="56"/>
      <c r="F74" s="67"/>
      <c r="G74" s="67"/>
      <c r="H74" s="68">
        <f t="shared" si="28"/>
        <v>1</v>
      </c>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70">
        <f t="shared" si="29"/>
        <v>0</v>
      </c>
      <c r="AJ74" s="70">
        <f t="shared" si="30"/>
        <v>0</v>
      </c>
      <c r="AK74" s="70">
        <f t="shared" si="31"/>
        <v>0</v>
      </c>
      <c r="AL74" s="70">
        <f t="shared" si="32"/>
        <v>0</v>
      </c>
      <c r="AM74" s="70">
        <f t="shared" si="33"/>
        <v>0</v>
      </c>
      <c r="AN74" s="70">
        <f t="shared" si="34"/>
        <v>0</v>
      </c>
      <c r="AO74" s="70">
        <f t="shared" si="35"/>
        <v>0</v>
      </c>
      <c r="AP74" s="70">
        <f t="shared" si="36"/>
        <v>0</v>
      </c>
      <c r="AQ74" s="70">
        <f t="shared" si="37"/>
        <v>0</v>
      </c>
      <c r="AR74" s="70">
        <f t="shared" si="38"/>
        <v>0</v>
      </c>
      <c r="AS74" s="70">
        <f t="shared" si="39"/>
        <v>0</v>
      </c>
      <c r="AT74" s="70">
        <f t="shared" si="40"/>
        <v>0</v>
      </c>
      <c r="AU74" s="70">
        <f t="shared" si="41"/>
        <v>0</v>
      </c>
    </row>
    <row r="75" spans="1:47" x14ac:dyDescent="0.25">
      <c r="C75" s="56"/>
      <c r="D75" s="56"/>
      <c r="E75" s="56"/>
      <c r="F75" s="67"/>
      <c r="G75" s="67"/>
      <c r="H75" s="68">
        <f t="shared" si="28"/>
        <v>1</v>
      </c>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70">
        <f t="shared" si="29"/>
        <v>0</v>
      </c>
      <c r="AJ75" s="70">
        <f t="shared" si="30"/>
        <v>0</v>
      </c>
      <c r="AK75" s="70">
        <f t="shared" si="31"/>
        <v>0</v>
      </c>
      <c r="AL75" s="70">
        <f t="shared" si="32"/>
        <v>0</v>
      </c>
      <c r="AM75" s="70">
        <f t="shared" si="33"/>
        <v>0</v>
      </c>
      <c r="AN75" s="70">
        <f t="shared" si="34"/>
        <v>0</v>
      </c>
      <c r="AO75" s="70">
        <f t="shared" si="35"/>
        <v>0</v>
      </c>
      <c r="AP75" s="70">
        <f t="shared" si="36"/>
        <v>0</v>
      </c>
      <c r="AQ75" s="70">
        <f t="shared" si="37"/>
        <v>0</v>
      </c>
      <c r="AR75" s="70">
        <f t="shared" si="38"/>
        <v>0</v>
      </c>
      <c r="AS75" s="70">
        <f t="shared" si="39"/>
        <v>0</v>
      </c>
      <c r="AT75" s="70">
        <f t="shared" si="40"/>
        <v>0</v>
      </c>
      <c r="AU75" s="70">
        <f t="shared" si="41"/>
        <v>0</v>
      </c>
    </row>
    <row r="76" spans="1:47" x14ac:dyDescent="0.25">
      <c r="C76" s="56"/>
      <c r="D76" s="56"/>
      <c r="E76" s="56"/>
      <c r="F76" s="67"/>
      <c r="G76" s="67"/>
      <c r="H76" s="68">
        <f t="shared" si="28"/>
        <v>1</v>
      </c>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70">
        <f t="shared" si="29"/>
        <v>0</v>
      </c>
      <c r="AJ76" s="70">
        <f t="shared" si="30"/>
        <v>0</v>
      </c>
      <c r="AK76" s="70">
        <f t="shared" si="31"/>
        <v>0</v>
      </c>
      <c r="AL76" s="70">
        <f t="shared" si="32"/>
        <v>0</v>
      </c>
      <c r="AM76" s="70">
        <f t="shared" si="33"/>
        <v>0</v>
      </c>
      <c r="AN76" s="70">
        <f t="shared" si="34"/>
        <v>0</v>
      </c>
      <c r="AO76" s="70">
        <f t="shared" si="35"/>
        <v>0</v>
      </c>
      <c r="AP76" s="70">
        <f t="shared" si="36"/>
        <v>0</v>
      </c>
      <c r="AQ76" s="70">
        <f t="shared" si="37"/>
        <v>0</v>
      </c>
      <c r="AR76" s="70">
        <f t="shared" si="38"/>
        <v>0</v>
      </c>
      <c r="AS76" s="70">
        <f t="shared" si="39"/>
        <v>0</v>
      </c>
      <c r="AT76" s="70">
        <f t="shared" si="40"/>
        <v>0</v>
      </c>
      <c r="AU76" s="70">
        <f t="shared" si="41"/>
        <v>0</v>
      </c>
    </row>
    <row r="77" spans="1:47" x14ac:dyDescent="0.25">
      <c r="C77" s="56"/>
      <c r="D77" s="56"/>
      <c r="E77" s="56"/>
      <c r="F77" s="67"/>
      <c r="G77" s="67"/>
      <c r="H77" s="68">
        <f t="shared" si="28"/>
        <v>1</v>
      </c>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70">
        <f t="shared" si="29"/>
        <v>0</v>
      </c>
      <c r="AJ77" s="70">
        <f t="shared" si="30"/>
        <v>0</v>
      </c>
      <c r="AK77" s="70">
        <f t="shared" si="31"/>
        <v>0</v>
      </c>
      <c r="AL77" s="70">
        <f t="shared" si="32"/>
        <v>0</v>
      </c>
      <c r="AM77" s="70">
        <f t="shared" si="33"/>
        <v>0</v>
      </c>
      <c r="AN77" s="70">
        <f t="shared" si="34"/>
        <v>0</v>
      </c>
      <c r="AO77" s="70">
        <f t="shared" si="35"/>
        <v>0</v>
      </c>
      <c r="AP77" s="70">
        <f t="shared" si="36"/>
        <v>0</v>
      </c>
      <c r="AQ77" s="70">
        <f t="shared" si="37"/>
        <v>0</v>
      </c>
      <c r="AR77" s="70">
        <f t="shared" si="38"/>
        <v>0</v>
      </c>
      <c r="AS77" s="70">
        <f t="shared" si="39"/>
        <v>0</v>
      </c>
      <c r="AT77" s="70">
        <f t="shared" si="40"/>
        <v>0</v>
      </c>
      <c r="AU77" s="70">
        <f t="shared" si="41"/>
        <v>0</v>
      </c>
    </row>
    <row r="78" spans="1:47" x14ac:dyDescent="0.25">
      <c r="C78" s="56"/>
      <c r="D78" s="56"/>
      <c r="E78" s="56"/>
      <c r="F78" s="67"/>
      <c r="G78" s="67"/>
      <c r="H78" s="68">
        <f t="shared" si="28"/>
        <v>1</v>
      </c>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70">
        <f t="shared" si="29"/>
        <v>0</v>
      </c>
      <c r="AJ78" s="70">
        <f t="shared" si="30"/>
        <v>0</v>
      </c>
      <c r="AK78" s="70">
        <f t="shared" si="31"/>
        <v>0</v>
      </c>
      <c r="AL78" s="70">
        <f t="shared" si="32"/>
        <v>0</v>
      </c>
      <c r="AM78" s="70">
        <f t="shared" si="33"/>
        <v>0</v>
      </c>
      <c r="AN78" s="70">
        <f t="shared" si="34"/>
        <v>0</v>
      </c>
      <c r="AO78" s="70">
        <f t="shared" si="35"/>
        <v>0</v>
      </c>
      <c r="AP78" s="70">
        <f t="shared" si="36"/>
        <v>0</v>
      </c>
      <c r="AQ78" s="70">
        <f t="shared" si="37"/>
        <v>0</v>
      </c>
      <c r="AR78" s="70">
        <f t="shared" si="38"/>
        <v>0</v>
      </c>
      <c r="AS78" s="70">
        <f t="shared" si="39"/>
        <v>0</v>
      </c>
      <c r="AT78" s="70">
        <f t="shared" si="40"/>
        <v>0</v>
      </c>
      <c r="AU78" s="70">
        <f t="shared" si="41"/>
        <v>0</v>
      </c>
    </row>
    <row r="79" spans="1:47" x14ac:dyDescent="0.25">
      <c r="C79" s="56"/>
      <c r="D79" s="56"/>
      <c r="E79" s="56"/>
      <c r="F79" s="67"/>
      <c r="G79" s="67"/>
      <c r="H79" s="68">
        <f t="shared" si="28"/>
        <v>1</v>
      </c>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70">
        <f t="shared" si="29"/>
        <v>0</v>
      </c>
      <c r="AJ79" s="70">
        <f t="shared" si="30"/>
        <v>0</v>
      </c>
      <c r="AK79" s="70">
        <f t="shared" si="31"/>
        <v>0</v>
      </c>
      <c r="AL79" s="70">
        <f t="shared" si="32"/>
        <v>0</v>
      </c>
      <c r="AM79" s="70">
        <f t="shared" si="33"/>
        <v>0</v>
      </c>
      <c r="AN79" s="70">
        <f t="shared" si="34"/>
        <v>0</v>
      </c>
      <c r="AO79" s="70">
        <f t="shared" si="35"/>
        <v>0</v>
      </c>
      <c r="AP79" s="70">
        <f t="shared" si="36"/>
        <v>0</v>
      </c>
      <c r="AQ79" s="70">
        <f t="shared" si="37"/>
        <v>0</v>
      </c>
      <c r="AR79" s="70">
        <f t="shared" si="38"/>
        <v>0</v>
      </c>
      <c r="AS79" s="70">
        <f t="shared" si="39"/>
        <v>0</v>
      </c>
      <c r="AT79" s="70">
        <f t="shared" si="40"/>
        <v>0</v>
      </c>
      <c r="AU79" s="70">
        <f t="shared" si="41"/>
        <v>0</v>
      </c>
    </row>
    <row r="80" spans="1:47" x14ac:dyDescent="0.25">
      <c r="C80" s="56"/>
      <c r="D80" s="56"/>
      <c r="E80" s="56"/>
      <c r="F80" s="67"/>
      <c r="G80" s="67"/>
      <c r="H80" s="68">
        <f t="shared" si="28"/>
        <v>1</v>
      </c>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70">
        <f t="shared" si="29"/>
        <v>0</v>
      </c>
      <c r="AJ80" s="70">
        <f t="shared" si="30"/>
        <v>0</v>
      </c>
      <c r="AK80" s="70">
        <f t="shared" si="31"/>
        <v>0</v>
      </c>
      <c r="AL80" s="70">
        <f t="shared" si="32"/>
        <v>0</v>
      </c>
      <c r="AM80" s="70">
        <f t="shared" si="33"/>
        <v>0</v>
      </c>
      <c r="AN80" s="70">
        <f t="shared" si="34"/>
        <v>0</v>
      </c>
      <c r="AO80" s="70">
        <f t="shared" si="35"/>
        <v>0</v>
      </c>
      <c r="AP80" s="70">
        <f t="shared" si="36"/>
        <v>0</v>
      </c>
      <c r="AQ80" s="70">
        <f t="shared" si="37"/>
        <v>0</v>
      </c>
      <c r="AR80" s="70">
        <f t="shared" si="38"/>
        <v>0</v>
      </c>
      <c r="AS80" s="70">
        <f t="shared" si="39"/>
        <v>0</v>
      </c>
      <c r="AT80" s="70">
        <f t="shared" si="40"/>
        <v>0</v>
      </c>
      <c r="AU80" s="70">
        <f t="shared" si="41"/>
        <v>0</v>
      </c>
    </row>
    <row r="81" spans="3:47" x14ac:dyDescent="0.25">
      <c r="C81" s="56"/>
      <c r="D81" s="56"/>
      <c r="E81" s="56"/>
      <c r="F81" s="67"/>
      <c r="G81" s="67"/>
      <c r="H81" s="68">
        <f t="shared" si="28"/>
        <v>1</v>
      </c>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70">
        <f t="shared" si="29"/>
        <v>0</v>
      </c>
      <c r="AJ81" s="70">
        <f t="shared" si="30"/>
        <v>0</v>
      </c>
      <c r="AK81" s="70">
        <f t="shared" si="31"/>
        <v>0</v>
      </c>
      <c r="AL81" s="70">
        <f t="shared" si="32"/>
        <v>0</v>
      </c>
      <c r="AM81" s="70">
        <f t="shared" si="33"/>
        <v>0</v>
      </c>
      <c r="AN81" s="70">
        <f t="shared" si="34"/>
        <v>0</v>
      </c>
      <c r="AO81" s="70">
        <f t="shared" si="35"/>
        <v>0</v>
      </c>
      <c r="AP81" s="70">
        <f t="shared" si="36"/>
        <v>0</v>
      </c>
      <c r="AQ81" s="70">
        <f t="shared" si="37"/>
        <v>0</v>
      </c>
      <c r="AR81" s="70">
        <f t="shared" si="38"/>
        <v>0</v>
      </c>
      <c r="AS81" s="70">
        <f t="shared" si="39"/>
        <v>0</v>
      </c>
      <c r="AT81" s="70">
        <f t="shared" si="40"/>
        <v>0</v>
      </c>
      <c r="AU81" s="70">
        <f t="shared" si="41"/>
        <v>0</v>
      </c>
    </row>
    <row r="82" spans="3:47" x14ac:dyDescent="0.25">
      <c r="C82" s="56"/>
      <c r="D82" s="56"/>
      <c r="E82" s="56"/>
      <c r="F82" s="67"/>
      <c r="G82" s="67"/>
      <c r="H82" s="68">
        <f t="shared" si="28"/>
        <v>1</v>
      </c>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70">
        <f t="shared" si="29"/>
        <v>0</v>
      </c>
      <c r="AJ82" s="70">
        <f t="shared" si="30"/>
        <v>0</v>
      </c>
      <c r="AK82" s="70">
        <f t="shared" si="31"/>
        <v>0</v>
      </c>
      <c r="AL82" s="70">
        <f t="shared" si="32"/>
        <v>0</v>
      </c>
      <c r="AM82" s="70">
        <f t="shared" si="33"/>
        <v>0</v>
      </c>
      <c r="AN82" s="70">
        <f t="shared" si="34"/>
        <v>0</v>
      </c>
      <c r="AO82" s="70">
        <f t="shared" si="35"/>
        <v>0</v>
      </c>
      <c r="AP82" s="70">
        <f t="shared" si="36"/>
        <v>0</v>
      </c>
      <c r="AQ82" s="70">
        <f t="shared" si="37"/>
        <v>0</v>
      </c>
      <c r="AR82" s="70">
        <f t="shared" si="38"/>
        <v>0</v>
      </c>
      <c r="AS82" s="70">
        <f t="shared" si="39"/>
        <v>0</v>
      </c>
      <c r="AT82" s="70">
        <f t="shared" si="40"/>
        <v>0</v>
      </c>
      <c r="AU82" s="70">
        <f t="shared" si="41"/>
        <v>0</v>
      </c>
    </row>
    <row r="83" spans="3:47" x14ac:dyDescent="0.25">
      <c r="C83" s="56"/>
      <c r="D83" s="56"/>
      <c r="E83" s="56"/>
      <c r="F83" s="67"/>
      <c r="G83" s="67"/>
      <c r="H83" s="68">
        <f t="shared" si="28"/>
        <v>1</v>
      </c>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70">
        <f t="shared" si="29"/>
        <v>0</v>
      </c>
      <c r="AJ83" s="70">
        <f t="shared" si="30"/>
        <v>0</v>
      </c>
      <c r="AK83" s="70">
        <f t="shared" si="31"/>
        <v>0</v>
      </c>
      <c r="AL83" s="70">
        <f t="shared" si="32"/>
        <v>0</v>
      </c>
      <c r="AM83" s="70">
        <f t="shared" si="33"/>
        <v>0</v>
      </c>
      <c r="AN83" s="70">
        <f t="shared" si="34"/>
        <v>0</v>
      </c>
      <c r="AO83" s="70">
        <f t="shared" si="35"/>
        <v>0</v>
      </c>
      <c r="AP83" s="70">
        <f t="shared" si="36"/>
        <v>0</v>
      </c>
      <c r="AQ83" s="70">
        <f t="shared" si="37"/>
        <v>0</v>
      </c>
      <c r="AR83" s="70">
        <f t="shared" si="38"/>
        <v>0</v>
      </c>
      <c r="AS83" s="70">
        <f t="shared" si="39"/>
        <v>0</v>
      </c>
      <c r="AT83" s="70">
        <f t="shared" si="40"/>
        <v>0</v>
      </c>
      <c r="AU83" s="70">
        <f t="shared" si="41"/>
        <v>0</v>
      </c>
    </row>
    <row r="84" spans="3:47" x14ac:dyDescent="0.25">
      <c r="C84" s="56"/>
      <c r="D84" s="56"/>
      <c r="E84" s="56"/>
      <c r="F84" s="67"/>
      <c r="G84" s="67"/>
      <c r="H84" s="68">
        <f t="shared" si="28"/>
        <v>1</v>
      </c>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70">
        <f t="shared" si="29"/>
        <v>0</v>
      </c>
      <c r="AJ84" s="70">
        <f t="shared" si="30"/>
        <v>0</v>
      </c>
      <c r="AK84" s="70">
        <f t="shared" si="31"/>
        <v>0</v>
      </c>
      <c r="AL84" s="70">
        <f t="shared" si="32"/>
        <v>0</v>
      </c>
      <c r="AM84" s="70">
        <f t="shared" si="33"/>
        <v>0</v>
      </c>
      <c r="AN84" s="70">
        <f t="shared" si="34"/>
        <v>0</v>
      </c>
      <c r="AO84" s="70">
        <f t="shared" si="35"/>
        <v>0</v>
      </c>
      <c r="AP84" s="70">
        <f t="shared" si="36"/>
        <v>0</v>
      </c>
      <c r="AQ84" s="70">
        <f t="shared" si="37"/>
        <v>0</v>
      </c>
      <c r="AR84" s="70">
        <f t="shared" si="38"/>
        <v>0</v>
      </c>
      <c r="AS84" s="70">
        <f t="shared" si="39"/>
        <v>0</v>
      </c>
      <c r="AT84" s="70">
        <f t="shared" si="40"/>
        <v>0</v>
      </c>
      <c r="AU84" s="70">
        <f t="shared" si="41"/>
        <v>0</v>
      </c>
    </row>
    <row r="85" spans="3:47" x14ac:dyDescent="0.25">
      <c r="C85" s="56"/>
      <c r="D85" s="56"/>
      <c r="E85" s="56"/>
      <c r="F85" s="67"/>
      <c r="G85" s="67"/>
      <c r="H85" s="68">
        <f t="shared" si="28"/>
        <v>1</v>
      </c>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70">
        <f t="shared" si="29"/>
        <v>0</v>
      </c>
      <c r="AJ85" s="70">
        <f t="shared" si="30"/>
        <v>0</v>
      </c>
      <c r="AK85" s="70">
        <f t="shared" si="31"/>
        <v>0</v>
      </c>
      <c r="AL85" s="70">
        <f t="shared" si="32"/>
        <v>0</v>
      </c>
      <c r="AM85" s="70">
        <f t="shared" si="33"/>
        <v>0</v>
      </c>
      <c r="AN85" s="70">
        <f t="shared" si="34"/>
        <v>0</v>
      </c>
      <c r="AO85" s="70">
        <f t="shared" si="35"/>
        <v>0</v>
      </c>
      <c r="AP85" s="70">
        <f t="shared" si="36"/>
        <v>0</v>
      </c>
      <c r="AQ85" s="70">
        <f t="shared" si="37"/>
        <v>0</v>
      </c>
      <c r="AR85" s="70">
        <f t="shared" si="38"/>
        <v>0</v>
      </c>
      <c r="AS85" s="70">
        <f t="shared" si="39"/>
        <v>0</v>
      </c>
      <c r="AT85" s="70">
        <f t="shared" si="40"/>
        <v>0</v>
      </c>
      <c r="AU85" s="70">
        <f t="shared" si="41"/>
        <v>0</v>
      </c>
    </row>
    <row r="86" spans="3:47" x14ac:dyDescent="0.25">
      <c r="C86" s="56"/>
      <c r="D86" s="56"/>
      <c r="E86" s="56"/>
      <c r="F86" s="67"/>
      <c r="G86" s="67"/>
      <c r="H86" s="68">
        <f t="shared" si="28"/>
        <v>1</v>
      </c>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70">
        <f t="shared" si="29"/>
        <v>0</v>
      </c>
      <c r="AJ86" s="70">
        <f t="shared" si="30"/>
        <v>0</v>
      </c>
      <c r="AK86" s="70">
        <f t="shared" si="31"/>
        <v>0</v>
      </c>
      <c r="AL86" s="70">
        <f t="shared" si="32"/>
        <v>0</v>
      </c>
      <c r="AM86" s="70">
        <f t="shared" si="33"/>
        <v>0</v>
      </c>
      <c r="AN86" s="70">
        <f t="shared" si="34"/>
        <v>0</v>
      </c>
      <c r="AO86" s="70">
        <f t="shared" si="35"/>
        <v>0</v>
      </c>
      <c r="AP86" s="70">
        <f t="shared" si="36"/>
        <v>0</v>
      </c>
      <c r="AQ86" s="70">
        <f t="shared" si="37"/>
        <v>0</v>
      </c>
      <c r="AR86" s="70">
        <f t="shared" si="38"/>
        <v>0</v>
      </c>
      <c r="AS86" s="70">
        <f t="shared" si="39"/>
        <v>0</v>
      </c>
      <c r="AT86" s="70">
        <f t="shared" si="40"/>
        <v>0</v>
      </c>
      <c r="AU86" s="70">
        <f t="shared" si="41"/>
        <v>0</v>
      </c>
    </row>
    <row r="87" spans="3:47" x14ac:dyDescent="0.25">
      <c r="C87" s="56"/>
      <c r="D87" s="56"/>
      <c r="E87" s="56"/>
      <c r="F87" s="67"/>
      <c r="G87" s="67"/>
      <c r="H87" s="68">
        <f t="shared" si="28"/>
        <v>1</v>
      </c>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70">
        <f t="shared" si="29"/>
        <v>0</v>
      </c>
      <c r="AJ87" s="70">
        <f t="shared" si="30"/>
        <v>0</v>
      </c>
      <c r="AK87" s="70">
        <f t="shared" si="31"/>
        <v>0</v>
      </c>
      <c r="AL87" s="70">
        <f t="shared" si="32"/>
        <v>0</v>
      </c>
      <c r="AM87" s="70">
        <f t="shared" si="33"/>
        <v>0</v>
      </c>
      <c r="AN87" s="70">
        <f t="shared" si="34"/>
        <v>0</v>
      </c>
      <c r="AO87" s="70">
        <f t="shared" si="35"/>
        <v>0</v>
      </c>
      <c r="AP87" s="70">
        <f t="shared" si="36"/>
        <v>0</v>
      </c>
      <c r="AQ87" s="70">
        <f t="shared" si="37"/>
        <v>0</v>
      </c>
      <c r="AR87" s="70">
        <f t="shared" si="38"/>
        <v>0</v>
      </c>
      <c r="AS87" s="70">
        <f t="shared" si="39"/>
        <v>0</v>
      </c>
      <c r="AT87" s="70">
        <f t="shared" si="40"/>
        <v>0</v>
      </c>
      <c r="AU87" s="70">
        <f t="shared" si="41"/>
        <v>0</v>
      </c>
    </row>
    <row r="88" spans="3:47" x14ac:dyDescent="0.25">
      <c r="C88" s="56"/>
      <c r="D88" s="56"/>
      <c r="E88" s="56"/>
      <c r="F88" s="67"/>
      <c r="G88" s="67"/>
      <c r="H88" s="68">
        <f t="shared" si="28"/>
        <v>1</v>
      </c>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70">
        <f t="shared" si="29"/>
        <v>0</v>
      </c>
      <c r="AJ88" s="70">
        <f t="shared" si="30"/>
        <v>0</v>
      </c>
      <c r="AK88" s="70">
        <f t="shared" si="31"/>
        <v>0</v>
      </c>
      <c r="AL88" s="70">
        <f t="shared" si="32"/>
        <v>0</v>
      </c>
      <c r="AM88" s="70">
        <f t="shared" si="33"/>
        <v>0</v>
      </c>
      <c r="AN88" s="70">
        <f t="shared" si="34"/>
        <v>0</v>
      </c>
      <c r="AO88" s="70">
        <f t="shared" si="35"/>
        <v>0</v>
      </c>
      <c r="AP88" s="70">
        <f t="shared" si="36"/>
        <v>0</v>
      </c>
      <c r="AQ88" s="70">
        <f t="shared" si="37"/>
        <v>0</v>
      </c>
      <c r="AR88" s="70">
        <f t="shared" si="38"/>
        <v>0</v>
      </c>
      <c r="AS88" s="70">
        <f t="shared" si="39"/>
        <v>0</v>
      </c>
      <c r="AT88" s="70">
        <f t="shared" si="40"/>
        <v>0</v>
      </c>
      <c r="AU88" s="70">
        <f t="shared" si="41"/>
        <v>0</v>
      </c>
    </row>
    <row r="89" spans="3:47" x14ac:dyDescent="0.25">
      <c r="C89" s="56"/>
      <c r="D89" s="56"/>
      <c r="E89" s="56"/>
      <c r="F89" s="67"/>
      <c r="G89" s="67"/>
      <c r="H89" s="68">
        <f t="shared" si="28"/>
        <v>1</v>
      </c>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70">
        <f t="shared" si="29"/>
        <v>0</v>
      </c>
      <c r="AJ89" s="70">
        <f t="shared" si="30"/>
        <v>0</v>
      </c>
      <c r="AK89" s="70">
        <f t="shared" si="31"/>
        <v>0</v>
      </c>
      <c r="AL89" s="70">
        <f t="shared" si="32"/>
        <v>0</v>
      </c>
      <c r="AM89" s="70">
        <f t="shared" si="33"/>
        <v>0</v>
      </c>
      <c r="AN89" s="70">
        <f t="shared" si="34"/>
        <v>0</v>
      </c>
      <c r="AO89" s="70">
        <f t="shared" si="35"/>
        <v>0</v>
      </c>
      <c r="AP89" s="70">
        <f t="shared" si="36"/>
        <v>0</v>
      </c>
      <c r="AQ89" s="70">
        <f t="shared" si="37"/>
        <v>0</v>
      </c>
      <c r="AR89" s="70">
        <f t="shared" si="38"/>
        <v>0</v>
      </c>
      <c r="AS89" s="70">
        <f t="shared" si="39"/>
        <v>0</v>
      </c>
      <c r="AT89" s="70">
        <f t="shared" si="40"/>
        <v>0</v>
      </c>
      <c r="AU89" s="70">
        <f t="shared" si="41"/>
        <v>0</v>
      </c>
    </row>
    <row r="90" spans="3:47" x14ac:dyDescent="0.25">
      <c r="C90" s="56"/>
      <c r="D90" s="56"/>
      <c r="E90" s="56"/>
      <c r="F90" s="67"/>
      <c r="G90" s="67"/>
      <c r="H90" s="68">
        <f t="shared" si="28"/>
        <v>1</v>
      </c>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70">
        <f t="shared" si="29"/>
        <v>0</v>
      </c>
      <c r="AJ90" s="70">
        <f t="shared" si="30"/>
        <v>0</v>
      </c>
      <c r="AK90" s="70">
        <f t="shared" si="31"/>
        <v>0</v>
      </c>
      <c r="AL90" s="70">
        <f t="shared" si="32"/>
        <v>0</v>
      </c>
      <c r="AM90" s="70">
        <f t="shared" si="33"/>
        <v>0</v>
      </c>
      <c r="AN90" s="70">
        <f t="shared" si="34"/>
        <v>0</v>
      </c>
      <c r="AO90" s="70">
        <f t="shared" si="35"/>
        <v>0</v>
      </c>
      <c r="AP90" s="70">
        <f t="shared" si="36"/>
        <v>0</v>
      </c>
      <c r="AQ90" s="70">
        <f t="shared" si="37"/>
        <v>0</v>
      </c>
      <c r="AR90" s="70">
        <f t="shared" si="38"/>
        <v>0</v>
      </c>
      <c r="AS90" s="70">
        <f t="shared" si="39"/>
        <v>0</v>
      </c>
      <c r="AT90" s="70">
        <f t="shared" si="40"/>
        <v>0</v>
      </c>
      <c r="AU90" s="70">
        <f t="shared" si="41"/>
        <v>0</v>
      </c>
    </row>
    <row r="91" spans="3:47" x14ac:dyDescent="0.25">
      <c r="C91" s="56"/>
      <c r="D91" s="56"/>
      <c r="E91" s="56"/>
      <c r="F91" s="67"/>
      <c r="G91" s="67"/>
      <c r="H91" s="68">
        <f t="shared" si="28"/>
        <v>1</v>
      </c>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70">
        <f t="shared" si="29"/>
        <v>0</v>
      </c>
      <c r="AJ91" s="70">
        <f t="shared" si="30"/>
        <v>0</v>
      </c>
      <c r="AK91" s="70">
        <f t="shared" si="31"/>
        <v>0</v>
      </c>
      <c r="AL91" s="70">
        <f t="shared" si="32"/>
        <v>0</v>
      </c>
      <c r="AM91" s="70">
        <f t="shared" si="33"/>
        <v>0</v>
      </c>
      <c r="AN91" s="70">
        <f t="shared" si="34"/>
        <v>0</v>
      </c>
      <c r="AO91" s="70">
        <f t="shared" si="35"/>
        <v>0</v>
      </c>
      <c r="AP91" s="70">
        <f t="shared" si="36"/>
        <v>0</v>
      </c>
      <c r="AQ91" s="70">
        <f t="shared" si="37"/>
        <v>0</v>
      </c>
      <c r="AR91" s="70">
        <f t="shared" si="38"/>
        <v>0</v>
      </c>
      <c r="AS91" s="70">
        <f t="shared" si="39"/>
        <v>0</v>
      </c>
      <c r="AT91" s="70">
        <f t="shared" si="40"/>
        <v>0</v>
      </c>
      <c r="AU91" s="70">
        <f t="shared" si="41"/>
        <v>0</v>
      </c>
    </row>
    <row r="92" spans="3:47" x14ac:dyDescent="0.25">
      <c r="C92" s="56"/>
      <c r="D92" s="56"/>
      <c r="E92" s="56"/>
      <c r="F92" s="67"/>
      <c r="G92" s="67"/>
      <c r="H92" s="68">
        <f t="shared" si="28"/>
        <v>1</v>
      </c>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70">
        <f t="shared" si="29"/>
        <v>0</v>
      </c>
      <c r="AJ92" s="70">
        <f t="shared" si="30"/>
        <v>0</v>
      </c>
      <c r="AK92" s="70">
        <f t="shared" si="31"/>
        <v>0</v>
      </c>
      <c r="AL92" s="70">
        <f t="shared" si="32"/>
        <v>0</v>
      </c>
      <c r="AM92" s="70">
        <f t="shared" si="33"/>
        <v>0</v>
      </c>
      <c r="AN92" s="70">
        <f t="shared" si="34"/>
        <v>0</v>
      </c>
      <c r="AO92" s="70">
        <f t="shared" si="35"/>
        <v>0</v>
      </c>
      <c r="AP92" s="70">
        <f t="shared" si="36"/>
        <v>0</v>
      </c>
      <c r="AQ92" s="70">
        <f t="shared" si="37"/>
        <v>0</v>
      </c>
      <c r="AR92" s="70">
        <f t="shared" si="38"/>
        <v>0</v>
      </c>
      <c r="AS92" s="70">
        <f t="shared" si="39"/>
        <v>0</v>
      </c>
      <c r="AT92" s="70">
        <f t="shared" si="40"/>
        <v>0</v>
      </c>
      <c r="AU92" s="70">
        <f t="shared" si="41"/>
        <v>0</v>
      </c>
    </row>
    <row r="93" spans="3:47" x14ac:dyDescent="0.25">
      <c r="C93" s="56"/>
      <c r="D93" s="56"/>
      <c r="E93" s="56"/>
      <c r="F93" s="67"/>
      <c r="G93" s="67"/>
      <c r="H93" s="68">
        <f t="shared" si="28"/>
        <v>1</v>
      </c>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70">
        <f t="shared" si="29"/>
        <v>0</v>
      </c>
      <c r="AJ93" s="70">
        <f t="shared" si="30"/>
        <v>0</v>
      </c>
      <c r="AK93" s="70">
        <f t="shared" si="31"/>
        <v>0</v>
      </c>
      <c r="AL93" s="70">
        <f t="shared" si="32"/>
        <v>0</v>
      </c>
      <c r="AM93" s="70">
        <f t="shared" si="33"/>
        <v>0</v>
      </c>
      <c r="AN93" s="70">
        <f t="shared" si="34"/>
        <v>0</v>
      </c>
      <c r="AO93" s="70">
        <f t="shared" si="35"/>
        <v>0</v>
      </c>
      <c r="AP93" s="70">
        <f t="shared" si="36"/>
        <v>0</v>
      </c>
      <c r="AQ93" s="70">
        <f t="shared" si="37"/>
        <v>0</v>
      </c>
      <c r="AR93" s="70">
        <f t="shared" si="38"/>
        <v>0</v>
      </c>
      <c r="AS93" s="70">
        <f t="shared" si="39"/>
        <v>0</v>
      </c>
      <c r="AT93" s="70">
        <f t="shared" si="40"/>
        <v>0</v>
      </c>
      <c r="AU93" s="70">
        <f t="shared" si="41"/>
        <v>0</v>
      </c>
    </row>
    <row r="94" spans="3:47" x14ac:dyDescent="0.25">
      <c r="C94" s="56"/>
      <c r="D94" s="56"/>
      <c r="E94" s="56"/>
      <c r="F94" s="67"/>
      <c r="G94" s="67"/>
      <c r="H94" s="68">
        <f t="shared" si="28"/>
        <v>1</v>
      </c>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70">
        <f t="shared" si="29"/>
        <v>0</v>
      </c>
      <c r="AJ94" s="70">
        <f t="shared" si="30"/>
        <v>0</v>
      </c>
      <c r="AK94" s="70">
        <f t="shared" si="31"/>
        <v>0</v>
      </c>
      <c r="AL94" s="70">
        <f t="shared" si="32"/>
        <v>0</v>
      </c>
      <c r="AM94" s="70">
        <f t="shared" si="33"/>
        <v>0</v>
      </c>
      <c r="AN94" s="70">
        <f t="shared" si="34"/>
        <v>0</v>
      </c>
      <c r="AO94" s="70">
        <f t="shared" si="35"/>
        <v>0</v>
      </c>
      <c r="AP94" s="70">
        <f t="shared" si="36"/>
        <v>0</v>
      </c>
      <c r="AQ94" s="70">
        <f t="shared" si="37"/>
        <v>0</v>
      </c>
      <c r="AR94" s="70">
        <f t="shared" si="38"/>
        <v>0</v>
      </c>
      <c r="AS94" s="70">
        <f t="shared" si="39"/>
        <v>0</v>
      </c>
      <c r="AT94" s="70">
        <f t="shared" si="40"/>
        <v>0</v>
      </c>
      <c r="AU94" s="70">
        <f t="shared" si="41"/>
        <v>0</v>
      </c>
    </row>
    <row r="95" spans="3:47" x14ac:dyDescent="0.25">
      <c r="C95" s="56"/>
      <c r="D95" s="56"/>
      <c r="E95" s="56"/>
      <c r="F95" s="67"/>
      <c r="G95" s="67"/>
      <c r="H95" s="68">
        <f t="shared" si="28"/>
        <v>1</v>
      </c>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70">
        <f t="shared" si="29"/>
        <v>0</v>
      </c>
      <c r="AJ95" s="70">
        <f t="shared" si="30"/>
        <v>0</v>
      </c>
      <c r="AK95" s="70">
        <f t="shared" si="31"/>
        <v>0</v>
      </c>
      <c r="AL95" s="70">
        <f t="shared" si="32"/>
        <v>0</v>
      </c>
      <c r="AM95" s="70">
        <f t="shared" si="33"/>
        <v>0</v>
      </c>
      <c r="AN95" s="70">
        <f t="shared" si="34"/>
        <v>0</v>
      </c>
      <c r="AO95" s="70">
        <f t="shared" si="35"/>
        <v>0</v>
      </c>
      <c r="AP95" s="70">
        <f t="shared" si="36"/>
        <v>0</v>
      </c>
      <c r="AQ95" s="70">
        <f t="shared" si="37"/>
        <v>0</v>
      </c>
      <c r="AR95" s="70">
        <f t="shared" si="38"/>
        <v>0</v>
      </c>
      <c r="AS95" s="70">
        <f t="shared" si="39"/>
        <v>0</v>
      </c>
      <c r="AT95" s="70">
        <f t="shared" si="40"/>
        <v>0</v>
      </c>
      <c r="AU95" s="70">
        <f t="shared" si="41"/>
        <v>0</v>
      </c>
    </row>
    <row r="96" spans="3:47" x14ac:dyDescent="0.25">
      <c r="C96" s="56"/>
      <c r="D96" s="56"/>
      <c r="E96" s="56"/>
      <c r="F96" s="67"/>
      <c r="G96" s="67"/>
      <c r="H96" s="68">
        <f t="shared" si="28"/>
        <v>1</v>
      </c>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70">
        <f t="shared" si="29"/>
        <v>0</v>
      </c>
      <c r="AJ96" s="70">
        <f t="shared" si="30"/>
        <v>0</v>
      </c>
      <c r="AK96" s="70">
        <f t="shared" si="31"/>
        <v>0</v>
      </c>
      <c r="AL96" s="70">
        <f t="shared" si="32"/>
        <v>0</v>
      </c>
      <c r="AM96" s="70">
        <f t="shared" si="33"/>
        <v>0</v>
      </c>
      <c r="AN96" s="70">
        <f t="shared" si="34"/>
        <v>0</v>
      </c>
      <c r="AO96" s="70">
        <f t="shared" si="35"/>
        <v>0</v>
      </c>
      <c r="AP96" s="70">
        <f t="shared" si="36"/>
        <v>0</v>
      </c>
      <c r="AQ96" s="70">
        <f t="shared" si="37"/>
        <v>0</v>
      </c>
      <c r="AR96" s="70">
        <f t="shared" si="38"/>
        <v>0</v>
      </c>
      <c r="AS96" s="70">
        <f t="shared" si="39"/>
        <v>0</v>
      </c>
      <c r="AT96" s="70">
        <f t="shared" si="40"/>
        <v>0</v>
      </c>
      <c r="AU96" s="70">
        <f t="shared" si="41"/>
        <v>0</v>
      </c>
    </row>
    <row r="97" spans="3:47" x14ac:dyDescent="0.25">
      <c r="C97" s="56"/>
      <c r="D97" s="56"/>
      <c r="E97" s="56"/>
      <c r="F97" s="67"/>
      <c r="G97" s="67"/>
      <c r="H97" s="68">
        <f t="shared" si="28"/>
        <v>1</v>
      </c>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70">
        <f t="shared" si="29"/>
        <v>0</v>
      </c>
      <c r="AJ97" s="70">
        <f t="shared" si="30"/>
        <v>0</v>
      </c>
      <c r="AK97" s="70">
        <f t="shared" si="31"/>
        <v>0</v>
      </c>
      <c r="AL97" s="70">
        <f t="shared" si="32"/>
        <v>0</v>
      </c>
      <c r="AM97" s="70">
        <f t="shared" si="33"/>
        <v>0</v>
      </c>
      <c r="AN97" s="70">
        <f t="shared" si="34"/>
        <v>0</v>
      </c>
      <c r="AO97" s="70">
        <f t="shared" si="35"/>
        <v>0</v>
      </c>
      <c r="AP97" s="70">
        <f t="shared" si="36"/>
        <v>0</v>
      </c>
      <c r="AQ97" s="70">
        <f t="shared" si="37"/>
        <v>0</v>
      </c>
      <c r="AR97" s="70">
        <f t="shared" si="38"/>
        <v>0</v>
      </c>
      <c r="AS97" s="70">
        <f t="shared" si="39"/>
        <v>0</v>
      </c>
      <c r="AT97" s="70">
        <f t="shared" si="40"/>
        <v>0</v>
      </c>
      <c r="AU97" s="70">
        <f t="shared" si="41"/>
        <v>0</v>
      </c>
    </row>
    <row r="98" spans="3:47" x14ac:dyDescent="0.25">
      <c r="C98" s="56"/>
      <c r="D98" s="56"/>
      <c r="E98" s="56"/>
      <c r="F98" s="67"/>
      <c r="G98" s="67"/>
      <c r="H98" s="68">
        <f t="shared" si="28"/>
        <v>1</v>
      </c>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70">
        <f t="shared" si="29"/>
        <v>0</v>
      </c>
      <c r="AJ98" s="70">
        <f t="shared" si="30"/>
        <v>0</v>
      </c>
      <c r="AK98" s="70">
        <f t="shared" si="31"/>
        <v>0</v>
      </c>
      <c r="AL98" s="70">
        <f t="shared" si="32"/>
        <v>0</v>
      </c>
      <c r="AM98" s="70">
        <f t="shared" si="33"/>
        <v>0</v>
      </c>
      <c r="AN98" s="70">
        <f t="shared" si="34"/>
        <v>0</v>
      </c>
      <c r="AO98" s="70">
        <f t="shared" si="35"/>
        <v>0</v>
      </c>
      <c r="AP98" s="70">
        <f t="shared" si="36"/>
        <v>0</v>
      </c>
      <c r="AQ98" s="70">
        <f t="shared" si="37"/>
        <v>0</v>
      </c>
      <c r="AR98" s="70">
        <f t="shared" si="38"/>
        <v>0</v>
      </c>
      <c r="AS98" s="70">
        <f t="shared" si="39"/>
        <v>0</v>
      </c>
      <c r="AT98" s="70">
        <f t="shared" si="40"/>
        <v>0</v>
      </c>
      <c r="AU98" s="70">
        <f t="shared" si="41"/>
        <v>0</v>
      </c>
    </row>
    <row r="99" spans="3:47" x14ac:dyDescent="0.25">
      <c r="C99" s="56"/>
      <c r="D99" s="56"/>
      <c r="E99" s="56"/>
      <c r="F99" s="67"/>
      <c r="G99" s="67"/>
      <c r="H99" s="68">
        <f t="shared" si="28"/>
        <v>1</v>
      </c>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70">
        <f t="shared" si="29"/>
        <v>0</v>
      </c>
      <c r="AJ99" s="70">
        <f t="shared" si="30"/>
        <v>0</v>
      </c>
      <c r="AK99" s="70">
        <f t="shared" si="31"/>
        <v>0</v>
      </c>
      <c r="AL99" s="70">
        <f t="shared" si="32"/>
        <v>0</v>
      </c>
      <c r="AM99" s="70">
        <f t="shared" si="33"/>
        <v>0</v>
      </c>
      <c r="AN99" s="70">
        <f t="shared" si="34"/>
        <v>0</v>
      </c>
      <c r="AO99" s="70">
        <f t="shared" si="35"/>
        <v>0</v>
      </c>
      <c r="AP99" s="70">
        <f t="shared" si="36"/>
        <v>0</v>
      </c>
      <c r="AQ99" s="70">
        <f t="shared" si="37"/>
        <v>0</v>
      </c>
      <c r="AR99" s="70">
        <f t="shared" si="38"/>
        <v>0</v>
      </c>
      <c r="AS99" s="70">
        <f t="shared" si="39"/>
        <v>0</v>
      </c>
      <c r="AT99" s="70">
        <f t="shared" si="40"/>
        <v>0</v>
      </c>
      <c r="AU99" s="70">
        <f t="shared" si="41"/>
        <v>0</v>
      </c>
    </row>
    <row r="100" spans="3:47" x14ac:dyDescent="0.25">
      <c r="C100" s="56"/>
      <c r="D100" s="56"/>
      <c r="E100" s="56"/>
      <c r="F100" s="67"/>
      <c r="G100" s="67"/>
      <c r="H100" s="68">
        <f t="shared" si="28"/>
        <v>1</v>
      </c>
      <c r="I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70">
        <f t="shared" si="29"/>
        <v>0</v>
      </c>
      <c r="AJ100" s="70">
        <f t="shared" si="30"/>
        <v>0</v>
      </c>
      <c r="AK100" s="70">
        <f t="shared" si="31"/>
        <v>0</v>
      </c>
      <c r="AL100" s="70">
        <f t="shared" si="32"/>
        <v>0</v>
      </c>
      <c r="AM100" s="70">
        <f t="shared" si="33"/>
        <v>0</v>
      </c>
      <c r="AN100" s="70">
        <f t="shared" si="34"/>
        <v>0</v>
      </c>
      <c r="AO100" s="70">
        <f t="shared" si="35"/>
        <v>0</v>
      </c>
      <c r="AP100" s="70">
        <f t="shared" si="36"/>
        <v>0</v>
      </c>
      <c r="AQ100" s="70">
        <f t="shared" si="37"/>
        <v>0</v>
      </c>
      <c r="AR100" s="70">
        <f t="shared" si="38"/>
        <v>0</v>
      </c>
      <c r="AS100" s="70">
        <f t="shared" si="39"/>
        <v>0</v>
      </c>
      <c r="AT100" s="70">
        <f t="shared" si="40"/>
        <v>0</v>
      </c>
      <c r="AU100" s="70">
        <f t="shared" si="41"/>
        <v>0</v>
      </c>
    </row>
    <row r="101" spans="3:47" x14ac:dyDescent="0.25">
      <c r="C101" s="56"/>
      <c r="D101" s="56"/>
      <c r="E101" s="56"/>
      <c r="F101" s="67"/>
      <c r="G101" s="67"/>
      <c r="H101" s="68">
        <f t="shared" si="28"/>
        <v>1</v>
      </c>
      <c r="I101" s="92"/>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70">
        <f t="shared" si="29"/>
        <v>0</v>
      </c>
      <c r="AJ101" s="70">
        <f t="shared" si="30"/>
        <v>0</v>
      </c>
      <c r="AK101" s="70">
        <f t="shared" si="31"/>
        <v>0</v>
      </c>
      <c r="AL101" s="70">
        <f t="shared" si="32"/>
        <v>0</v>
      </c>
      <c r="AM101" s="70">
        <f t="shared" si="33"/>
        <v>0</v>
      </c>
      <c r="AN101" s="70">
        <f t="shared" si="34"/>
        <v>0</v>
      </c>
      <c r="AO101" s="70">
        <f t="shared" si="35"/>
        <v>0</v>
      </c>
      <c r="AP101" s="70">
        <f t="shared" si="36"/>
        <v>0</v>
      </c>
      <c r="AQ101" s="70">
        <f t="shared" si="37"/>
        <v>0</v>
      </c>
      <c r="AR101" s="70">
        <f t="shared" si="38"/>
        <v>0</v>
      </c>
      <c r="AS101" s="70">
        <f t="shared" si="39"/>
        <v>0</v>
      </c>
      <c r="AT101" s="70">
        <f t="shared" si="40"/>
        <v>0</v>
      </c>
      <c r="AU101" s="70">
        <f t="shared" si="41"/>
        <v>0</v>
      </c>
    </row>
    <row r="102" spans="3:47" x14ac:dyDescent="0.25">
      <c r="C102" s="56"/>
      <c r="D102" s="56"/>
      <c r="E102" s="56"/>
      <c r="F102" s="67"/>
      <c r="G102" s="67"/>
      <c r="H102" s="68">
        <f t="shared" si="28"/>
        <v>1</v>
      </c>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70">
        <f t="shared" si="29"/>
        <v>0</v>
      </c>
      <c r="AJ102" s="70">
        <f t="shared" si="30"/>
        <v>0</v>
      </c>
      <c r="AK102" s="70">
        <f t="shared" si="31"/>
        <v>0</v>
      </c>
      <c r="AL102" s="70">
        <f t="shared" si="32"/>
        <v>0</v>
      </c>
      <c r="AM102" s="70">
        <f t="shared" si="33"/>
        <v>0</v>
      </c>
      <c r="AN102" s="70">
        <f t="shared" si="34"/>
        <v>0</v>
      </c>
      <c r="AO102" s="70">
        <f t="shared" si="35"/>
        <v>0</v>
      </c>
      <c r="AP102" s="70">
        <f t="shared" si="36"/>
        <v>0</v>
      </c>
      <c r="AQ102" s="70">
        <f t="shared" si="37"/>
        <v>0</v>
      </c>
      <c r="AR102" s="70">
        <f t="shared" si="38"/>
        <v>0</v>
      </c>
      <c r="AS102" s="70">
        <f t="shared" si="39"/>
        <v>0</v>
      </c>
      <c r="AT102" s="70">
        <f t="shared" si="40"/>
        <v>0</v>
      </c>
      <c r="AU102" s="70">
        <f t="shared" si="41"/>
        <v>0</v>
      </c>
    </row>
    <row r="103" spans="3:47" x14ac:dyDescent="0.25">
      <c r="C103" s="56"/>
      <c r="D103" s="56"/>
      <c r="E103" s="56"/>
      <c r="F103" s="67"/>
      <c r="G103" s="67"/>
      <c r="H103" s="68">
        <f t="shared" si="28"/>
        <v>1</v>
      </c>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70">
        <f t="shared" si="29"/>
        <v>0</v>
      </c>
      <c r="AJ103" s="70">
        <f t="shared" si="30"/>
        <v>0</v>
      </c>
      <c r="AK103" s="70">
        <f t="shared" si="31"/>
        <v>0</v>
      </c>
      <c r="AL103" s="70">
        <f t="shared" si="32"/>
        <v>0</v>
      </c>
      <c r="AM103" s="70">
        <f t="shared" si="33"/>
        <v>0</v>
      </c>
      <c r="AN103" s="70">
        <f t="shared" si="34"/>
        <v>0</v>
      </c>
      <c r="AO103" s="70">
        <f t="shared" si="35"/>
        <v>0</v>
      </c>
      <c r="AP103" s="70">
        <f t="shared" si="36"/>
        <v>0</v>
      </c>
      <c r="AQ103" s="70">
        <f t="shared" si="37"/>
        <v>0</v>
      </c>
      <c r="AR103" s="70">
        <f t="shared" si="38"/>
        <v>0</v>
      </c>
      <c r="AS103" s="70">
        <f t="shared" si="39"/>
        <v>0</v>
      </c>
      <c r="AT103" s="70">
        <f t="shared" si="40"/>
        <v>0</v>
      </c>
      <c r="AU103" s="70">
        <f t="shared" si="41"/>
        <v>0</v>
      </c>
    </row>
    <row r="104" spans="3:47" x14ac:dyDescent="0.25">
      <c r="C104" s="56"/>
      <c r="D104" s="56"/>
      <c r="E104" s="56"/>
      <c r="F104" s="67"/>
      <c r="G104" s="67"/>
      <c r="H104" s="68">
        <f t="shared" si="14"/>
        <v>1</v>
      </c>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70">
        <f t="shared" si="15"/>
        <v>0</v>
      </c>
      <c r="AJ104" s="70">
        <f t="shared" si="16"/>
        <v>0</v>
      </c>
      <c r="AK104" s="70">
        <f t="shared" si="17"/>
        <v>0</v>
      </c>
      <c r="AL104" s="70">
        <f t="shared" si="18"/>
        <v>0</v>
      </c>
      <c r="AM104" s="70">
        <f t="shared" si="19"/>
        <v>0</v>
      </c>
      <c r="AN104" s="70">
        <f t="shared" si="20"/>
        <v>0</v>
      </c>
      <c r="AO104" s="70">
        <f t="shared" si="21"/>
        <v>0</v>
      </c>
      <c r="AP104" s="70">
        <f t="shared" si="22"/>
        <v>0</v>
      </c>
      <c r="AQ104" s="70">
        <f t="shared" si="23"/>
        <v>0</v>
      </c>
      <c r="AR104" s="70">
        <f t="shared" si="24"/>
        <v>0</v>
      </c>
      <c r="AS104" s="70">
        <f t="shared" si="25"/>
        <v>0</v>
      </c>
      <c r="AT104" s="70">
        <f t="shared" si="26"/>
        <v>0</v>
      </c>
      <c r="AU104" s="70">
        <f t="shared" si="27"/>
        <v>0</v>
      </c>
    </row>
    <row r="105" spans="3:47" x14ac:dyDescent="0.25">
      <c r="C105" s="56"/>
      <c r="D105" s="56"/>
      <c r="E105" s="56"/>
      <c r="F105" s="67"/>
      <c r="G105" s="67"/>
      <c r="H105" s="68">
        <f t="shared" ref="H105" si="42">IF(F105=G105,1,0)</f>
        <v>1</v>
      </c>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70">
        <f t="shared" si="15"/>
        <v>0</v>
      </c>
      <c r="AJ105" s="70">
        <f t="shared" si="16"/>
        <v>0</v>
      </c>
      <c r="AK105" s="70">
        <f t="shared" si="17"/>
        <v>0</v>
      </c>
      <c r="AL105" s="70">
        <f t="shared" si="18"/>
        <v>0</v>
      </c>
      <c r="AM105" s="70">
        <f t="shared" si="19"/>
        <v>0</v>
      </c>
      <c r="AN105" s="70">
        <f t="shared" si="20"/>
        <v>0</v>
      </c>
      <c r="AO105" s="70">
        <f t="shared" si="21"/>
        <v>0</v>
      </c>
      <c r="AP105" s="70">
        <f t="shared" si="22"/>
        <v>0</v>
      </c>
      <c r="AQ105" s="70">
        <f t="shared" si="23"/>
        <v>0</v>
      </c>
      <c r="AR105" s="70">
        <f t="shared" si="24"/>
        <v>0</v>
      </c>
      <c r="AS105" s="70">
        <f t="shared" si="25"/>
        <v>0</v>
      </c>
      <c r="AT105" s="70">
        <f t="shared" si="26"/>
        <v>0</v>
      </c>
      <c r="AU105" s="70">
        <f t="shared" si="27"/>
        <v>0</v>
      </c>
    </row>
    <row r="106" spans="3:47" x14ac:dyDescent="0.25">
      <c r="F106" s="38"/>
      <c r="G106" s="38"/>
      <c r="H106" s="38"/>
      <c r="I106" s="38"/>
      <c r="J106" s="38"/>
      <c r="K106" s="38"/>
      <c r="L106" s="38"/>
      <c r="M106" s="38"/>
      <c r="N106" s="38"/>
      <c r="O106" s="38"/>
      <c r="P106" s="38"/>
      <c r="Q106" s="38"/>
      <c r="R106" s="38"/>
      <c r="S106" s="38"/>
      <c r="T106" s="38"/>
      <c r="U106" s="38"/>
      <c r="V106" s="38"/>
    </row>
    <row r="107" spans="3:47" x14ac:dyDescent="0.25">
      <c r="F107" s="38"/>
      <c r="G107" s="38"/>
      <c r="H107" s="38"/>
      <c r="I107" s="38"/>
      <c r="J107" s="38"/>
      <c r="K107" s="38"/>
      <c r="L107" s="38"/>
      <c r="M107" s="38"/>
      <c r="N107" s="38"/>
      <c r="O107" s="38"/>
      <c r="P107" s="38"/>
      <c r="Q107" s="38"/>
      <c r="R107" s="38"/>
      <c r="S107" s="38"/>
      <c r="T107" s="38"/>
      <c r="U107" s="38"/>
      <c r="V107" s="38"/>
    </row>
    <row r="108" spans="3:47" x14ac:dyDescent="0.25">
      <c r="F108" s="38"/>
      <c r="G108" s="38"/>
      <c r="H108" s="38"/>
      <c r="I108" s="38"/>
      <c r="J108" s="38"/>
      <c r="K108" s="38"/>
      <c r="L108" s="38"/>
      <c r="M108" s="38"/>
      <c r="N108" s="38"/>
      <c r="O108" s="38"/>
      <c r="P108" s="38"/>
      <c r="Q108" s="38"/>
      <c r="R108" s="38"/>
      <c r="S108" s="38"/>
      <c r="T108" s="38"/>
      <c r="U108" s="38"/>
      <c r="V108" s="38"/>
    </row>
  </sheetData>
  <autoFilter ref="A5:AU105">
    <sortState ref="A6:AU70">
      <sortCondition ref="B5:B70"/>
    </sortState>
  </autoFilter>
  <mergeCells count="5">
    <mergeCell ref="V3:AH3"/>
    <mergeCell ref="AI3:AU3"/>
    <mergeCell ref="C4:E4"/>
    <mergeCell ref="F4:H4"/>
    <mergeCell ref="I3:U3"/>
  </mergeCells>
  <conditionalFormatting sqref="H6:H105">
    <cfRule type="cellIs" dxfId="1" priority="37" operator="equal">
      <formula>1</formula>
    </cfRule>
  </conditionalFormatting>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3"/>
  <sheetViews>
    <sheetView zoomScale="60" zoomScaleNormal="60" workbookViewId="0">
      <pane ySplit="3" topLeftCell="A4" activePane="bottomLeft" state="frozenSplit"/>
      <selection pane="bottomLeft"/>
    </sheetView>
  </sheetViews>
  <sheetFormatPr baseColWidth="10" defaultRowHeight="15" x14ac:dyDescent="0.25"/>
  <cols>
    <col min="1" max="1" width="28" customWidth="1"/>
    <col min="2" max="2" width="20.85546875" customWidth="1"/>
    <col min="3" max="3" width="10.42578125" bestFit="1" customWidth="1"/>
    <col min="4" max="4" width="13.7109375" customWidth="1"/>
    <col min="5" max="5" width="11.140625" bestFit="1" customWidth="1"/>
    <col min="6" max="6" width="15.140625" customWidth="1"/>
    <col min="7" max="7" width="14.7109375" bestFit="1" customWidth="1"/>
    <col min="8" max="8" width="15.140625" customWidth="1"/>
    <col min="9" max="9" width="14.42578125" customWidth="1"/>
    <col min="10" max="17" width="14.85546875" customWidth="1"/>
    <col min="18" max="18" width="15.85546875" customWidth="1"/>
    <col min="19" max="19" width="18" customWidth="1"/>
    <col min="20" max="20" width="15.140625" customWidth="1"/>
    <col min="21" max="21" width="14.7109375" bestFit="1" customWidth="1"/>
    <col min="22" max="22" width="15.140625" customWidth="1"/>
    <col min="23" max="23" width="24.140625" bestFit="1" customWidth="1"/>
    <col min="24" max="24" width="33.42578125" customWidth="1"/>
    <col min="25" max="25" width="15.140625" bestFit="1" customWidth="1"/>
    <col min="26" max="26" width="14.7109375" bestFit="1" customWidth="1"/>
    <col min="27" max="27" width="15.140625" bestFit="1" customWidth="1"/>
    <col min="28" max="28" width="14.42578125" customWidth="1"/>
    <col min="29" max="36" width="14.85546875" customWidth="1"/>
    <col min="37" max="37" width="39.42578125" customWidth="1"/>
  </cols>
  <sheetData>
    <row r="1" spans="1:37" x14ac:dyDescent="0.25">
      <c r="A1" s="1"/>
      <c r="B1" s="1"/>
      <c r="C1" s="1"/>
      <c r="D1" s="1"/>
      <c r="E1" s="1"/>
      <c r="F1" s="74"/>
      <c r="G1" s="75"/>
      <c r="H1" s="75"/>
      <c r="I1" s="75"/>
      <c r="J1" s="75"/>
      <c r="K1" s="75"/>
      <c r="L1" s="75"/>
      <c r="M1" s="75"/>
      <c r="N1" s="75"/>
      <c r="O1" s="75"/>
      <c r="P1" s="75"/>
      <c r="Q1" s="75"/>
      <c r="R1" s="76"/>
      <c r="S1" s="1"/>
      <c r="T1" s="114" t="s">
        <v>114</v>
      </c>
      <c r="U1" s="114"/>
      <c r="V1" s="114"/>
      <c r="W1" s="1"/>
      <c r="X1" s="1"/>
      <c r="Y1" s="114" t="s">
        <v>122</v>
      </c>
      <c r="Z1" s="114"/>
      <c r="AA1" s="114"/>
      <c r="AB1" s="114"/>
      <c r="AC1" s="114"/>
      <c r="AD1" s="114"/>
      <c r="AE1" s="114"/>
      <c r="AF1" s="114"/>
      <c r="AG1" s="114"/>
      <c r="AH1" s="114"/>
      <c r="AI1" s="114"/>
      <c r="AJ1" s="114"/>
    </row>
    <row r="2" spans="1:37" x14ac:dyDescent="0.25">
      <c r="A2" s="1"/>
      <c r="B2" s="1"/>
      <c r="C2" s="114" t="s">
        <v>165</v>
      </c>
      <c r="D2" s="114"/>
      <c r="E2" s="114"/>
      <c r="F2" s="57">
        <v>2017</v>
      </c>
      <c r="G2" s="1">
        <v>2016</v>
      </c>
      <c r="H2" s="1">
        <v>2015</v>
      </c>
      <c r="I2" s="37">
        <v>2014</v>
      </c>
      <c r="J2" s="37">
        <v>2013</v>
      </c>
      <c r="K2" s="37">
        <v>2012</v>
      </c>
      <c r="L2" s="37">
        <v>2011</v>
      </c>
      <c r="M2" s="37">
        <v>2010</v>
      </c>
      <c r="N2" s="37">
        <v>2009</v>
      </c>
      <c r="O2" s="37">
        <v>2008</v>
      </c>
      <c r="P2" s="37">
        <v>2007</v>
      </c>
      <c r="Q2" s="37">
        <v>2006</v>
      </c>
      <c r="R2" s="58">
        <v>2005</v>
      </c>
      <c r="S2" s="1"/>
      <c r="T2" s="1">
        <f>F2</f>
        <v>2017</v>
      </c>
      <c r="U2" s="1">
        <f>G2</f>
        <v>2016</v>
      </c>
      <c r="V2" s="1">
        <f>H2</f>
        <v>2015</v>
      </c>
      <c r="W2" s="1"/>
      <c r="X2" s="1"/>
      <c r="Y2" s="1">
        <f t="shared" ref="Y2:AJ2" si="0">F2</f>
        <v>2017</v>
      </c>
      <c r="Z2" s="1">
        <f t="shared" si="0"/>
        <v>2016</v>
      </c>
      <c r="AA2" s="1">
        <f t="shared" si="0"/>
        <v>2015</v>
      </c>
      <c r="AB2" s="1">
        <f t="shared" si="0"/>
        <v>2014</v>
      </c>
      <c r="AC2" s="1">
        <f t="shared" si="0"/>
        <v>2013</v>
      </c>
      <c r="AD2" s="1">
        <f t="shared" si="0"/>
        <v>2012</v>
      </c>
      <c r="AE2" s="1">
        <f t="shared" si="0"/>
        <v>2011</v>
      </c>
      <c r="AF2" s="1">
        <f t="shared" si="0"/>
        <v>2010</v>
      </c>
      <c r="AG2" s="1">
        <f t="shared" si="0"/>
        <v>2009</v>
      </c>
      <c r="AH2" s="1">
        <f t="shared" si="0"/>
        <v>2008</v>
      </c>
      <c r="AI2" s="1">
        <f t="shared" si="0"/>
        <v>2007</v>
      </c>
      <c r="AJ2" s="1">
        <f t="shared" si="0"/>
        <v>2006</v>
      </c>
    </row>
    <row r="3" spans="1:37" x14ac:dyDescent="0.25">
      <c r="A3" s="1" t="s">
        <v>0</v>
      </c>
      <c r="B3" s="1" t="s">
        <v>1</v>
      </c>
      <c r="C3" s="1" t="s">
        <v>166</v>
      </c>
      <c r="D3" s="1" t="s">
        <v>167</v>
      </c>
      <c r="E3" s="1" t="s">
        <v>137</v>
      </c>
      <c r="F3" s="57" t="s">
        <v>168</v>
      </c>
      <c r="G3" s="1" t="s">
        <v>111</v>
      </c>
      <c r="H3" s="1" t="s">
        <v>112</v>
      </c>
      <c r="I3" s="37" t="s">
        <v>101</v>
      </c>
      <c r="J3" s="37" t="s">
        <v>102</v>
      </c>
      <c r="K3" s="37" t="s">
        <v>103</v>
      </c>
      <c r="L3" s="37" t="s">
        <v>104</v>
      </c>
      <c r="M3" s="37" t="s">
        <v>105</v>
      </c>
      <c r="N3" s="37" t="s">
        <v>106</v>
      </c>
      <c r="O3" s="37" t="s">
        <v>107</v>
      </c>
      <c r="P3" s="37" t="s">
        <v>108</v>
      </c>
      <c r="Q3" s="37" t="s">
        <v>109</v>
      </c>
      <c r="R3" s="58" t="s">
        <v>110</v>
      </c>
      <c r="S3" s="1" t="s">
        <v>120</v>
      </c>
      <c r="T3" s="1" t="s">
        <v>168</v>
      </c>
      <c r="U3" s="1" t="s">
        <v>111</v>
      </c>
      <c r="V3" s="1" t="s">
        <v>112</v>
      </c>
      <c r="W3" s="1" t="s">
        <v>160</v>
      </c>
      <c r="X3" s="1" t="s">
        <v>121</v>
      </c>
      <c r="Y3" s="37" t="s">
        <v>168</v>
      </c>
      <c r="Z3" s="1" t="s">
        <v>111</v>
      </c>
      <c r="AA3" s="1" t="s">
        <v>112</v>
      </c>
      <c r="AB3" s="1" t="s">
        <v>101</v>
      </c>
      <c r="AC3" s="1" t="s">
        <v>102</v>
      </c>
      <c r="AD3" s="1" t="s">
        <v>103</v>
      </c>
      <c r="AE3" s="1" t="s">
        <v>104</v>
      </c>
      <c r="AF3" s="1" t="s">
        <v>105</v>
      </c>
      <c r="AG3" s="1" t="s">
        <v>106</v>
      </c>
      <c r="AH3" s="1" t="s">
        <v>107</v>
      </c>
      <c r="AI3" s="1" t="s">
        <v>108</v>
      </c>
      <c r="AJ3" s="1" t="s">
        <v>109</v>
      </c>
      <c r="AK3" s="1" t="s">
        <v>123</v>
      </c>
    </row>
    <row r="4" spans="1:37" x14ac:dyDescent="0.25">
      <c r="A4" t="s">
        <v>80</v>
      </c>
      <c r="B4" t="s">
        <v>164</v>
      </c>
      <c r="C4" s="56">
        <v>31</v>
      </c>
      <c r="D4" s="56">
        <v>12</v>
      </c>
      <c r="E4" s="56">
        <v>2015</v>
      </c>
      <c r="F4" s="65">
        <v>116</v>
      </c>
      <c r="G4" s="77">
        <v>107</v>
      </c>
      <c r="H4" s="77">
        <v>101</v>
      </c>
      <c r="I4" s="59">
        <v>96.98</v>
      </c>
      <c r="J4" s="59">
        <v>103.44</v>
      </c>
      <c r="K4" s="59">
        <v>95.32</v>
      </c>
      <c r="L4" s="59">
        <v>82.12</v>
      </c>
      <c r="M4" s="59">
        <v>80.680000000000007</v>
      </c>
      <c r="N4" s="59">
        <v>75.489999999999995</v>
      </c>
      <c r="O4" s="59">
        <v>60.72</v>
      </c>
      <c r="P4" s="59">
        <v>59.74</v>
      </c>
      <c r="Q4" s="59">
        <v>54.48</v>
      </c>
      <c r="R4" s="60">
        <v>50.78</v>
      </c>
      <c r="S4" s="13">
        <f t="shared" ref="S4:S35" si="1">AVERAGE(F4:R4)</f>
        <v>83.365384615384613</v>
      </c>
      <c r="T4" s="4">
        <f t="shared" ref="T4:T35" ca="1" si="2">IF(DAYS360(TODAY(),DATE(E4+2,D4,C4))&gt;=720,0,360-U4)</f>
        <v>0</v>
      </c>
      <c r="U4" s="4">
        <f t="shared" ref="U4:U35" ca="1" si="3">IF(DAYS360(TODAY(),DATE(E4+1,D4,C4))&lt;=360,DAYS360(TODAY(),DATE(E4+1,D4,C4)),360-V4)</f>
        <v>122</v>
      </c>
      <c r="V4" s="4">
        <f t="shared" ref="V4:V35" ca="1" si="4">IF(DATE(E4,D4,C4)&lt;=TODAY(),0,DAYS360(TODAY(),DATE(E4,D4,C4)))</f>
        <v>238</v>
      </c>
      <c r="W4" s="13">
        <f t="shared" ref="W4:W35" ca="1" si="5">(F4/360*T4)+(G4/360*U4)+(H4/360*V4)</f>
        <v>103.03333333333333</v>
      </c>
      <c r="X4" s="5">
        <f ca="1">IF(W4&lt;0,IF(S4&lt;0,((W4/S4)-1)*-1,(W4/S4)-1),IF(S4&lt;0,ABS((W4/S4)-1),(W4/S4)-1))</f>
        <v>0.2359246443675509</v>
      </c>
      <c r="Y4" s="15">
        <f t="shared" ref="Y4:Y35" si="6">IF(F4&lt;&gt;"",IF(G4&lt;&gt;"",IF(F4&lt;0,IF(G4&lt;0,((F4/G4)-1)*-1,(F4/G4)-1),IF(G4&lt;0,ABS((F4/G4)-1),(F4/G4)-1))),99.99999)</f>
        <v>8.4112149532710179E-2</v>
      </c>
      <c r="Z4" s="15">
        <f t="shared" ref="Z4:Z35" si="7">IF(H4&lt;&gt;"",IF(G4&lt;0,IF(H4&lt;0,((G4/H4)-1)*-1,(G4/H4)-1),IF(H4&lt;0,ABS((G4/H4)-1),(G4/H4)-1)),99.99999)</f>
        <v>5.9405940594059459E-2</v>
      </c>
      <c r="AA4" s="15">
        <f t="shared" ref="AA4:AA35" si="8">IF(I4&lt;&gt;"",IF(H4&lt;0,IF(I4&lt;0,((H4/I4)-1)*-1,(H4/I4)-1),IF(I4&lt;0,ABS((H4/I4)-1),(H4/I4)-1)),99.99999)</f>
        <v>4.1451845741389937E-2</v>
      </c>
      <c r="AB4" s="15">
        <f t="shared" ref="AB4:AB35" si="9">IF(J4&lt;&gt;"",IF(I4&lt;0,IF(J4&lt;0,((I4/J4)-1)*-1,(I4/J4)-1),IF(J4&lt;0,ABS((I4/J4)-1),(I4/J4)-1)),99.99999)</f>
        <v>-6.245166279969061E-2</v>
      </c>
      <c r="AC4" s="15">
        <f t="shared" ref="AC4:AC35" si="10">IF(K4&lt;&gt;"",IF(J4&lt;0,IF(K4&lt;0,((J4/K4)-1)*-1,(J4/K4)-1),IF(K4&lt;0,ABS((J4/K4)-1),(J4/K4)-1)),99.99999)</f>
        <v>8.5186739404112588E-2</v>
      </c>
      <c r="AD4" s="15">
        <f t="shared" ref="AD4:AD35" si="11">IF(L4&lt;&gt;"",IF(K4&lt;0,IF(L4&lt;0,((K4/L4)-1)*-1,(K4/L4)-1),IF(L4&lt;0,ABS((K4/L4)-1),(K4/L4)-1)),99.99999)</f>
        <v>0.16074037993180701</v>
      </c>
      <c r="AE4" s="15">
        <f t="shared" ref="AE4:AE35" si="12">IF(M4&lt;&gt;"",IF(L4&lt;0,IF(M4&lt;0,((L4/M4)-1)*-1,(L4/M4)-1),IF(M4&lt;0,ABS((L4/M4)-1),(L4/M4)-1)),99.99999)</f>
        <v>1.7848289538919149E-2</v>
      </c>
      <c r="AF4" s="15">
        <f t="shared" ref="AF4:AF35" si="13">IF(N4&lt;&gt;"",IF(M4&lt;0,IF(N4&lt;0,((M4/N4)-1)*-1,(M4/N4)-1),IF(N4&lt;0,ABS((M4/N4)-1),(M4/N4)-1)),99.99999)</f>
        <v>6.8750827924228597E-2</v>
      </c>
      <c r="AG4" s="15">
        <f t="shared" ref="AG4:AG35" si="14">IF(O4&lt;&gt;"",IF(N4&lt;0,IF(O4&lt;0,((N4/O4)-1)*-1,(N4/O4)-1),IF(O4&lt;0,ABS((N4/O4)-1),(N4/O4)-1)),99.99999)</f>
        <v>0.24324769433465088</v>
      </c>
      <c r="AH4" s="15">
        <f t="shared" ref="AH4:AH35" si="15">IF(P4&lt;&gt;"",IF(O4&lt;0,IF(P4&lt;0,((O4/P4)-1)*-1,(O4/P4)-1),IF(P4&lt;0,ABS((O4/P4)-1),(O4/P4)-1)),99.99999)</f>
        <v>1.6404419149648408E-2</v>
      </c>
      <c r="AI4" s="15">
        <f t="shared" ref="AI4:AI35" si="16">IF(Q4&lt;&gt;"",IF(P4&lt;0,IF(Q4&lt;0,((P4/Q4)-1)*-1,(P4/Q4)-1),IF(Q4&lt;0,ABS((P4/Q4)-1),(P4/Q4)-1)),99.99999)</f>
        <v>9.6549192364170366E-2</v>
      </c>
      <c r="AJ4" s="15">
        <f t="shared" ref="AJ4:AJ35" si="17">IF(R4&lt;&gt;"",IF(Q4&lt;0,IF(R4&lt;0,((Q4/R4)-1)*-1,(Q4/R4)-1),IF(R4&lt;0,ABS((Q4/R4)-1),(Q4/R4)-1)),99.99999)</f>
        <v>7.2863332020480343E-2</v>
      </c>
      <c r="AK4" s="5">
        <f t="shared" ref="AK4:AK35" si="18">MIN(Y4:AJ4)</f>
        <v>-6.245166279969061E-2</v>
      </c>
    </row>
    <row r="5" spans="1:37" x14ac:dyDescent="0.25">
      <c r="A5" t="s">
        <v>2</v>
      </c>
      <c r="B5" t="s">
        <v>3</v>
      </c>
      <c r="C5" s="56">
        <v>31</v>
      </c>
      <c r="D5" s="56">
        <v>12</v>
      </c>
      <c r="E5" s="56">
        <v>2015</v>
      </c>
      <c r="F5" s="65">
        <v>32.700000000000003</v>
      </c>
      <c r="G5" s="77">
        <v>32.4</v>
      </c>
      <c r="H5" s="77">
        <v>31.3</v>
      </c>
      <c r="I5" s="59">
        <v>29.5</v>
      </c>
      <c r="J5" s="59">
        <v>30.64</v>
      </c>
      <c r="K5" s="59">
        <v>25.53</v>
      </c>
      <c r="L5" s="59">
        <v>23.98</v>
      </c>
      <c r="M5" s="59">
        <v>23.96</v>
      </c>
      <c r="N5" s="59">
        <v>21.76</v>
      </c>
      <c r="O5" s="59">
        <v>19.02</v>
      </c>
      <c r="P5" s="59">
        <v>18.04</v>
      </c>
      <c r="Q5" s="59">
        <v>15.06</v>
      </c>
      <c r="R5" s="60">
        <v>12.04</v>
      </c>
      <c r="S5" s="13">
        <f t="shared" si="1"/>
        <v>24.302307692307693</v>
      </c>
      <c r="T5" s="4">
        <f t="shared" ca="1" si="2"/>
        <v>0</v>
      </c>
      <c r="U5" s="4">
        <f t="shared" ca="1" si="3"/>
        <v>122</v>
      </c>
      <c r="V5" s="4">
        <f t="shared" ca="1" si="4"/>
        <v>238</v>
      </c>
      <c r="W5" s="13">
        <f t="shared" ca="1" si="5"/>
        <v>31.672777777777778</v>
      </c>
      <c r="X5" s="5">
        <f t="shared" ref="X5:X68" ca="1" si="19">IF(W5&lt;0,IF(S5&lt;0,((W5/S5)-1)*-1,(W5/S5)-1),IF(S5&lt;0,ABS((W5/S5)-1),(W5/S5)-1))</f>
        <v>0.30328272437283932</v>
      </c>
      <c r="Y5" s="15">
        <f t="shared" si="6"/>
        <v>9.2592592592593004E-3</v>
      </c>
      <c r="Z5" s="15">
        <f t="shared" si="7"/>
        <v>3.514376996805102E-2</v>
      </c>
      <c r="AA5" s="15">
        <f t="shared" si="8"/>
        <v>6.1016949152542299E-2</v>
      </c>
      <c r="AB5" s="15">
        <f t="shared" si="9"/>
        <v>-3.7206266318537851E-2</v>
      </c>
      <c r="AC5" s="15">
        <f t="shared" si="10"/>
        <v>0.20015667841754792</v>
      </c>
      <c r="AD5" s="15">
        <f t="shared" si="11"/>
        <v>6.4637197664720647E-2</v>
      </c>
      <c r="AE5" s="15">
        <f t="shared" si="12"/>
        <v>8.3472454090149917E-4</v>
      </c>
      <c r="AF5" s="15">
        <f t="shared" si="13"/>
        <v>0.10110294117647056</v>
      </c>
      <c r="AG5" s="15">
        <f t="shared" si="14"/>
        <v>0.14405888538380673</v>
      </c>
      <c r="AH5" s="15">
        <f t="shared" si="15"/>
        <v>5.4323725055432481E-2</v>
      </c>
      <c r="AI5" s="15">
        <f t="shared" si="16"/>
        <v>0.19787516600265587</v>
      </c>
      <c r="AJ5" s="15">
        <f t="shared" si="17"/>
        <v>0.25083056478405319</v>
      </c>
      <c r="AK5" s="5">
        <f t="shared" si="18"/>
        <v>-3.7206266318537851E-2</v>
      </c>
    </row>
    <row r="6" spans="1:37" x14ac:dyDescent="0.25">
      <c r="A6" t="s">
        <v>4</v>
      </c>
      <c r="B6" t="s">
        <v>5</v>
      </c>
      <c r="C6" s="56">
        <v>31</v>
      </c>
      <c r="D6" s="56">
        <v>12</v>
      </c>
      <c r="E6" s="56">
        <v>2015</v>
      </c>
      <c r="F6" s="65">
        <v>45.1</v>
      </c>
      <c r="G6" s="77">
        <v>38.1</v>
      </c>
      <c r="H6" s="77">
        <v>31.2</v>
      </c>
      <c r="I6" s="59">
        <v>22.71</v>
      </c>
      <c r="J6" s="59">
        <v>22.37</v>
      </c>
      <c r="K6" s="59">
        <v>16.8</v>
      </c>
      <c r="L6" s="59">
        <v>14.02</v>
      </c>
      <c r="M6" s="59">
        <v>10.98</v>
      </c>
      <c r="N6" s="59">
        <v>8.5399999999999991</v>
      </c>
      <c r="O6" s="61"/>
      <c r="P6" s="61"/>
      <c r="Q6" s="61"/>
      <c r="R6" s="62"/>
      <c r="S6" s="13">
        <f t="shared" si="1"/>
        <v>23.313333333333336</v>
      </c>
      <c r="T6" s="4">
        <f t="shared" ca="1" si="2"/>
        <v>0</v>
      </c>
      <c r="U6" s="4">
        <f t="shared" ca="1" si="3"/>
        <v>122</v>
      </c>
      <c r="V6" s="4">
        <f t="shared" ca="1" si="4"/>
        <v>238</v>
      </c>
      <c r="W6" s="13">
        <f t="shared" ca="1" si="5"/>
        <v>33.538333333333334</v>
      </c>
      <c r="X6" s="5">
        <f t="shared" ca="1" si="19"/>
        <v>0.43859022018873306</v>
      </c>
      <c r="Y6" s="15">
        <f t="shared" si="6"/>
        <v>0.18372703412073488</v>
      </c>
      <c r="Z6" s="15">
        <f t="shared" si="7"/>
        <v>0.22115384615384626</v>
      </c>
      <c r="AA6" s="15">
        <f t="shared" si="8"/>
        <v>0.37384412153236446</v>
      </c>
      <c r="AB6" s="15">
        <f t="shared" si="9"/>
        <v>1.5198927134555174E-2</v>
      </c>
      <c r="AC6" s="15">
        <f t="shared" si="10"/>
        <v>0.33154761904761898</v>
      </c>
      <c r="AD6" s="15">
        <f t="shared" si="11"/>
        <v>0.19828815977175474</v>
      </c>
      <c r="AE6" s="15">
        <f t="shared" si="12"/>
        <v>0.27686703096539156</v>
      </c>
      <c r="AF6" s="15">
        <f t="shared" si="13"/>
        <v>0.28571428571428581</v>
      </c>
      <c r="AG6" s="15">
        <f t="shared" si="14"/>
        <v>99.999989999999997</v>
      </c>
      <c r="AH6" s="15">
        <f t="shared" si="15"/>
        <v>99.999989999999997</v>
      </c>
      <c r="AI6" s="15">
        <f t="shared" si="16"/>
        <v>99.999989999999997</v>
      </c>
      <c r="AJ6" s="15">
        <f t="shared" si="17"/>
        <v>99.999989999999997</v>
      </c>
      <c r="AK6" s="5">
        <f t="shared" si="18"/>
        <v>1.5198927134555174E-2</v>
      </c>
    </row>
    <row r="7" spans="1:37" x14ac:dyDescent="0.25">
      <c r="A7" t="s">
        <v>6</v>
      </c>
      <c r="B7" t="s">
        <v>7</v>
      </c>
      <c r="C7" s="56">
        <v>31</v>
      </c>
      <c r="D7" s="56">
        <v>12</v>
      </c>
      <c r="E7" s="56">
        <v>2015</v>
      </c>
      <c r="F7" s="65">
        <v>25.2</v>
      </c>
      <c r="G7" s="77">
        <v>23.8</v>
      </c>
      <c r="H7" s="77">
        <v>22.5</v>
      </c>
      <c r="I7" s="59">
        <v>21.75</v>
      </c>
      <c r="J7" s="59">
        <v>19.399999999999999</v>
      </c>
      <c r="K7" s="59">
        <v>18.899999999999999</v>
      </c>
      <c r="L7" s="59">
        <v>17.21</v>
      </c>
      <c r="M7" s="59">
        <v>17.850000000000001</v>
      </c>
      <c r="N7" s="61"/>
      <c r="O7" s="61"/>
      <c r="P7" s="61"/>
      <c r="Q7" s="61"/>
      <c r="R7" s="62"/>
      <c r="S7" s="13">
        <f t="shared" si="1"/>
        <v>20.826250000000002</v>
      </c>
      <c r="T7" s="4">
        <f t="shared" ca="1" si="2"/>
        <v>0</v>
      </c>
      <c r="U7" s="4">
        <f t="shared" ca="1" si="3"/>
        <v>122</v>
      </c>
      <c r="V7" s="4">
        <f t="shared" ca="1" si="4"/>
        <v>238</v>
      </c>
      <c r="W7" s="13">
        <f t="shared" ca="1" si="5"/>
        <v>22.940555555555555</v>
      </c>
      <c r="X7" s="5">
        <f t="shared" ca="1" si="19"/>
        <v>0.10152118386918207</v>
      </c>
      <c r="Y7" s="15">
        <f t="shared" si="6"/>
        <v>5.8823529411764719E-2</v>
      </c>
      <c r="Z7" s="15">
        <f t="shared" si="7"/>
        <v>5.7777777777777706E-2</v>
      </c>
      <c r="AA7" s="15">
        <f t="shared" si="8"/>
        <v>3.4482758620689724E-2</v>
      </c>
      <c r="AB7" s="15">
        <f t="shared" si="9"/>
        <v>0.12113402061855671</v>
      </c>
      <c r="AC7" s="15">
        <f t="shared" si="10"/>
        <v>2.6455026455026509E-2</v>
      </c>
      <c r="AD7" s="15">
        <f t="shared" si="11"/>
        <v>9.8198721673445455E-2</v>
      </c>
      <c r="AE7" s="15">
        <f t="shared" si="12"/>
        <v>-3.5854341736694662E-2</v>
      </c>
      <c r="AF7" s="15">
        <f t="shared" si="13"/>
        <v>99.999989999999997</v>
      </c>
      <c r="AG7" s="15">
        <f t="shared" si="14"/>
        <v>99.999989999999997</v>
      </c>
      <c r="AH7" s="15">
        <f t="shared" si="15"/>
        <v>99.999989999999997</v>
      </c>
      <c r="AI7" s="15">
        <f t="shared" si="16"/>
        <v>99.999989999999997</v>
      </c>
      <c r="AJ7" s="15">
        <f t="shared" si="17"/>
        <v>99.999989999999997</v>
      </c>
      <c r="AK7" s="5">
        <f t="shared" si="18"/>
        <v>-3.5854341736694662E-2</v>
      </c>
    </row>
    <row r="8" spans="1:37" x14ac:dyDescent="0.25">
      <c r="A8" t="s">
        <v>8</v>
      </c>
      <c r="B8" t="s">
        <v>9</v>
      </c>
      <c r="C8" s="56">
        <v>31</v>
      </c>
      <c r="D8" s="56">
        <v>12</v>
      </c>
      <c r="E8" s="56">
        <v>2015</v>
      </c>
      <c r="F8" s="65">
        <v>22.2</v>
      </c>
      <c r="G8" s="77">
        <v>20</v>
      </c>
      <c r="H8" s="77">
        <v>17.899999999999999</v>
      </c>
      <c r="I8" s="64">
        <v>16</v>
      </c>
      <c r="J8" s="59">
        <v>13.51</v>
      </c>
      <c r="K8" s="59">
        <v>13.04</v>
      </c>
      <c r="L8" s="59">
        <v>11.97</v>
      </c>
      <c r="M8" s="59">
        <v>11.59</v>
      </c>
      <c r="N8" s="59">
        <v>10.46</v>
      </c>
      <c r="O8" s="59">
        <v>9.76</v>
      </c>
      <c r="P8" s="59">
        <v>8.2100000000000009</v>
      </c>
      <c r="Q8" s="59">
        <v>7.1</v>
      </c>
      <c r="R8" s="60">
        <v>5.13</v>
      </c>
      <c r="S8" s="13">
        <f t="shared" si="1"/>
        <v>12.836153846153847</v>
      </c>
      <c r="T8" s="4">
        <f t="shared" ca="1" si="2"/>
        <v>0</v>
      </c>
      <c r="U8" s="4">
        <f t="shared" ca="1" si="3"/>
        <v>122</v>
      </c>
      <c r="V8" s="4">
        <f t="shared" ca="1" si="4"/>
        <v>238</v>
      </c>
      <c r="W8" s="13">
        <f t="shared" ca="1" si="5"/>
        <v>18.611666666666665</v>
      </c>
      <c r="X8" s="5">
        <f t="shared" ca="1" si="19"/>
        <v>0.44994107189229116</v>
      </c>
      <c r="Y8" s="15">
        <f t="shared" si="6"/>
        <v>0.10999999999999988</v>
      </c>
      <c r="Z8" s="15">
        <f t="shared" si="7"/>
        <v>0.1173184357541901</v>
      </c>
      <c r="AA8" s="15">
        <f t="shared" si="8"/>
        <v>0.11874999999999991</v>
      </c>
      <c r="AB8" s="15">
        <f t="shared" si="9"/>
        <v>0.18430792005921548</v>
      </c>
      <c r="AC8" s="15">
        <f t="shared" si="10"/>
        <v>3.6042944785276143E-2</v>
      </c>
      <c r="AD8" s="15">
        <f t="shared" si="11"/>
        <v>8.9390142021720909E-2</v>
      </c>
      <c r="AE8" s="15">
        <f t="shared" si="12"/>
        <v>3.2786885245901676E-2</v>
      </c>
      <c r="AF8" s="15">
        <f t="shared" si="13"/>
        <v>0.10803059273422555</v>
      </c>
      <c r="AG8" s="15">
        <f t="shared" si="14"/>
        <v>7.1721311475410054E-2</v>
      </c>
      <c r="AH8" s="15">
        <f t="shared" si="15"/>
        <v>0.18879415347137618</v>
      </c>
      <c r="AI8" s="15">
        <f t="shared" si="16"/>
        <v>0.15633802816901432</v>
      </c>
      <c r="AJ8" s="15">
        <f t="shared" si="17"/>
        <v>0.38401559454191037</v>
      </c>
      <c r="AK8" s="5">
        <f t="shared" si="18"/>
        <v>3.2786885245901676E-2</v>
      </c>
    </row>
    <row r="9" spans="1:37" x14ac:dyDescent="0.25">
      <c r="A9" t="s">
        <v>10</v>
      </c>
      <c r="B9" t="s">
        <v>11</v>
      </c>
      <c r="C9" s="56">
        <v>31</v>
      </c>
      <c r="D9" s="56">
        <v>12</v>
      </c>
      <c r="E9" s="56">
        <v>2015</v>
      </c>
      <c r="F9" s="65">
        <v>10.9</v>
      </c>
      <c r="G9" s="77">
        <v>9.92</v>
      </c>
      <c r="H9" s="77">
        <v>8.89</v>
      </c>
      <c r="I9" s="59">
        <v>7.74</v>
      </c>
      <c r="J9" s="59">
        <v>8.15</v>
      </c>
      <c r="K9" s="59">
        <v>9.89</v>
      </c>
      <c r="L9" s="59">
        <v>9.11</v>
      </c>
      <c r="M9" s="59">
        <v>8.69</v>
      </c>
      <c r="N9" s="59">
        <v>6.76</v>
      </c>
      <c r="O9" s="59">
        <v>6.47</v>
      </c>
      <c r="P9" s="59">
        <v>9.16</v>
      </c>
      <c r="Q9" s="59">
        <v>9.33</v>
      </c>
      <c r="R9" s="60">
        <v>8.98</v>
      </c>
      <c r="S9" s="13">
        <f t="shared" si="1"/>
        <v>8.7684615384615388</v>
      </c>
      <c r="T9" s="4">
        <f t="shared" ca="1" si="2"/>
        <v>0</v>
      </c>
      <c r="U9" s="4">
        <f t="shared" ca="1" si="3"/>
        <v>122</v>
      </c>
      <c r="V9" s="4">
        <f t="shared" ca="1" si="4"/>
        <v>238</v>
      </c>
      <c r="W9" s="13">
        <f t="shared" ca="1" si="5"/>
        <v>9.2390555555555558</v>
      </c>
      <c r="X9" s="5">
        <f t="shared" ca="1" si="19"/>
        <v>5.3668937821056417E-2</v>
      </c>
      <c r="Y9" s="15">
        <f t="shared" si="6"/>
        <v>9.879032258064524E-2</v>
      </c>
      <c r="Z9" s="15">
        <f t="shared" si="7"/>
        <v>0.11586051743532044</v>
      </c>
      <c r="AA9" s="15">
        <f t="shared" si="8"/>
        <v>0.14857881136950901</v>
      </c>
      <c r="AB9" s="15">
        <f t="shared" si="9"/>
        <v>-5.0306748466257711E-2</v>
      </c>
      <c r="AC9" s="15">
        <f t="shared" si="10"/>
        <v>-0.17593528816986859</v>
      </c>
      <c r="AD9" s="15">
        <f t="shared" si="11"/>
        <v>8.5620197585071445E-2</v>
      </c>
      <c r="AE9" s="15">
        <f t="shared" si="12"/>
        <v>4.833141542002295E-2</v>
      </c>
      <c r="AF9" s="15">
        <f t="shared" si="13"/>
        <v>0.28550295857988162</v>
      </c>
      <c r="AG9" s="15">
        <f t="shared" si="14"/>
        <v>4.4822256568779029E-2</v>
      </c>
      <c r="AH9" s="15">
        <f t="shared" si="15"/>
        <v>-0.29366812227074235</v>
      </c>
      <c r="AI9" s="15">
        <f t="shared" si="16"/>
        <v>-1.8220793140407254E-2</v>
      </c>
      <c r="AJ9" s="15">
        <f t="shared" si="17"/>
        <v>3.897550111358572E-2</v>
      </c>
      <c r="AK9" s="5">
        <f t="shared" si="18"/>
        <v>-0.29366812227074235</v>
      </c>
    </row>
    <row r="10" spans="1:37" x14ac:dyDescent="0.25">
      <c r="A10" t="s">
        <v>12</v>
      </c>
      <c r="B10" t="s">
        <v>13</v>
      </c>
      <c r="C10" s="56">
        <v>31</v>
      </c>
      <c r="D10" s="56">
        <v>12</v>
      </c>
      <c r="E10" s="56">
        <v>2015</v>
      </c>
      <c r="F10" s="65">
        <v>6.69</v>
      </c>
      <c r="G10" s="77">
        <v>6.31</v>
      </c>
      <c r="H10" s="77">
        <v>6.24</v>
      </c>
      <c r="I10" s="59">
        <v>7.51</v>
      </c>
      <c r="J10" s="59">
        <v>7.2</v>
      </c>
      <c r="K10" s="59">
        <v>7.07</v>
      </c>
      <c r="L10" s="59">
        <v>9.24</v>
      </c>
      <c r="M10" s="59">
        <v>9.9600000000000009</v>
      </c>
      <c r="N10" s="59">
        <v>9.6199999999999992</v>
      </c>
      <c r="O10" s="59">
        <v>9.89</v>
      </c>
      <c r="P10" s="59">
        <v>10.37</v>
      </c>
      <c r="Q10" s="59">
        <v>11.39</v>
      </c>
      <c r="R10" s="60">
        <v>11.81</v>
      </c>
      <c r="S10" s="13">
        <f t="shared" si="1"/>
        <v>8.7153846153846164</v>
      </c>
      <c r="T10" s="4">
        <f t="shared" ca="1" si="2"/>
        <v>0</v>
      </c>
      <c r="U10" s="4">
        <f t="shared" ca="1" si="3"/>
        <v>122</v>
      </c>
      <c r="V10" s="4">
        <f t="shared" ca="1" si="4"/>
        <v>238</v>
      </c>
      <c r="W10" s="13">
        <f t="shared" ca="1" si="5"/>
        <v>6.2637222222222215</v>
      </c>
      <c r="X10" s="5">
        <f t="shared" ca="1" si="19"/>
        <v>-0.28130283416691204</v>
      </c>
      <c r="Y10" s="15">
        <f t="shared" si="6"/>
        <v>6.0221870047543646E-2</v>
      </c>
      <c r="Z10" s="15">
        <f t="shared" si="7"/>
        <v>1.1217948717948678E-2</v>
      </c>
      <c r="AA10" s="15">
        <f t="shared" si="8"/>
        <v>-0.16910785619174429</v>
      </c>
      <c r="AB10" s="15">
        <f t="shared" si="9"/>
        <v>4.3055555555555403E-2</v>
      </c>
      <c r="AC10" s="15">
        <f t="shared" si="10"/>
        <v>1.8387553041018467E-2</v>
      </c>
      <c r="AD10" s="15">
        <f t="shared" si="11"/>
        <v>-0.23484848484848486</v>
      </c>
      <c r="AE10" s="15">
        <f t="shared" si="12"/>
        <v>-7.2289156626506035E-2</v>
      </c>
      <c r="AF10" s="15">
        <f t="shared" si="13"/>
        <v>3.5343035343035512E-2</v>
      </c>
      <c r="AG10" s="15">
        <f t="shared" si="14"/>
        <v>-2.7300303336703857E-2</v>
      </c>
      <c r="AH10" s="15">
        <f t="shared" si="15"/>
        <v>-4.6287367405978608E-2</v>
      </c>
      <c r="AI10" s="15">
        <f t="shared" si="16"/>
        <v>-8.9552238805970297E-2</v>
      </c>
      <c r="AJ10" s="15">
        <f t="shared" si="17"/>
        <v>-3.5563082133784896E-2</v>
      </c>
      <c r="AK10" s="5">
        <f t="shared" si="18"/>
        <v>-0.23484848484848486</v>
      </c>
    </row>
    <row r="11" spans="1:37" x14ac:dyDescent="0.25">
      <c r="A11" t="s">
        <v>14</v>
      </c>
      <c r="B11" t="s">
        <v>15</v>
      </c>
      <c r="C11" s="56">
        <v>31</v>
      </c>
      <c r="D11" s="56">
        <v>12</v>
      </c>
      <c r="E11" s="56">
        <v>2015</v>
      </c>
      <c r="F11" s="65">
        <v>22.7</v>
      </c>
      <c r="G11" s="77">
        <v>20.2</v>
      </c>
      <c r="H11" s="77">
        <v>18</v>
      </c>
      <c r="I11" s="59">
        <v>15.88</v>
      </c>
      <c r="J11" s="59">
        <v>13.06</v>
      </c>
      <c r="K11" s="59">
        <v>11.53</v>
      </c>
      <c r="L11" s="59">
        <v>10.34</v>
      </c>
      <c r="M11" s="59">
        <v>7.99</v>
      </c>
      <c r="N11" s="59">
        <v>6.91</v>
      </c>
      <c r="O11" s="59">
        <v>5.86</v>
      </c>
      <c r="P11" s="59">
        <v>5.22</v>
      </c>
      <c r="Q11" s="59">
        <v>4.84</v>
      </c>
      <c r="R11" s="60">
        <v>4.57</v>
      </c>
      <c r="S11" s="13">
        <f t="shared" si="1"/>
        <v>11.315384615384614</v>
      </c>
      <c r="T11" s="4">
        <f t="shared" ca="1" si="2"/>
        <v>0</v>
      </c>
      <c r="U11" s="4">
        <f t="shared" ca="1" si="3"/>
        <v>122</v>
      </c>
      <c r="V11" s="4">
        <f t="shared" ca="1" si="4"/>
        <v>238</v>
      </c>
      <c r="W11" s="13">
        <f t="shared" ca="1" si="5"/>
        <v>18.745555555555555</v>
      </c>
      <c r="X11" s="5">
        <f t="shared" ca="1" si="19"/>
        <v>0.65664325100083087</v>
      </c>
      <c r="Y11" s="15">
        <f t="shared" si="6"/>
        <v>0.12376237623762387</v>
      </c>
      <c r="Z11" s="15">
        <f t="shared" si="7"/>
        <v>0.12222222222222223</v>
      </c>
      <c r="AA11" s="15">
        <f t="shared" si="8"/>
        <v>0.13350125944584379</v>
      </c>
      <c r="AB11" s="15">
        <f t="shared" si="9"/>
        <v>0.21592649310872902</v>
      </c>
      <c r="AC11" s="15">
        <f t="shared" si="10"/>
        <v>0.1326973113616654</v>
      </c>
      <c r="AD11" s="15">
        <f t="shared" si="11"/>
        <v>0.11508704061895547</v>
      </c>
      <c r="AE11" s="15">
        <f t="shared" si="12"/>
        <v>0.29411764705882337</v>
      </c>
      <c r="AF11" s="15">
        <f t="shared" si="13"/>
        <v>0.15629522431259035</v>
      </c>
      <c r="AG11" s="15">
        <f t="shared" si="14"/>
        <v>0.17918088737201354</v>
      </c>
      <c r="AH11" s="15">
        <f t="shared" si="15"/>
        <v>0.12260536398467448</v>
      </c>
      <c r="AI11" s="15">
        <f t="shared" si="16"/>
        <v>7.8512396694214948E-2</v>
      </c>
      <c r="AJ11" s="15">
        <f t="shared" si="17"/>
        <v>5.908096280087527E-2</v>
      </c>
      <c r="AK11" s="5">
        <f t="shared" si="18"/>
        <v>5.908096280087527E-2</v>
      </c>
    </row>
    <row r="12" spans="1:37" x14ac:dyDescent="0.25">
      <c r="A12" t="s">
        <v>16</v>
      </c>
      <c r="B12" t="s">
        <v>17</v>
      </c>
      <c r="C12" s="56">
        <v>30</v>
      </c>
      <c r="D12" s="56">
        <v>9</v>
      </c>
      <c r="E12" s="56">
        <v>2015</v>
      </c>
      <c r="F12" s="65">
        <v>46</v>
      </c>
      <c r="G12" s="77">
        <v>42.3</v>
      </c>
      <c r="H12" s="77">
        <v>39</v>
      </c>
      <c r="I12" s="59">
        <v>35.14</v>
      </c>
      <c r="J12" s="59">
        <v>31.91</v>
      </c>
      <c r="K12" s="59">
        <v>34.880000000000003</v>
      </c>
      <c r="L12" s="59">
        <v>34.49</v>
      </c>
      <c r="M12" s="59">
        <v>31.01</v>
      </c>
      <c r="N12" s="59">
        <v>29.15</v>
      </c>
      <c r="O12" s="59">
        <v>29.29</v>
      </c>
      <c r="P12" s="59">
        <v>31.72</v>
      </c>
      <c r="Q12" s="59">
        <v>32.89</v>
      </c>
      <c r="R12" s="60">
        <v>30.6</v>
      </c>
      <c r="S12" s="13">
        <f t="shared" si="1"/>
        <v>34.490769230769232</v>
      </c>
      <c r="T12" s="4">
        <f t="shared" ca="1" si="2"/>
        <v>0</v>
      </c>
      <c r="U12" s="4">
        <f t="shared" ca="1" si="3"/>
        <v>213</v>
      </c>
      <c r="V12" s="4">
        <f t="shared" ca="1" si="4"/>
        <v>147</v>
      </c>
      <c r="W12" s="13">
        <f t="shared" ca="1" si="5"/>
        <v>40.952500000000001</v>
      </c>
      <c r="X12" s="5">
        <f t="shared" ca="1" si="19"/>
        <v>0.18734667023506857</v>
      </c>
      <c r="Y12" s="15">
        <f t="shared" si="6"/>
        <v>8.7470449172576847E-2</v>
      </c>
      <c r="Z12" s="15">
        <f t="shared" si="7"/>
        <v>8.4615384615384537E-2</v>
      </c>
      <c r="AA12" s="15">
        <f t="shared" si="8"/>
        <v>0.10984632896983504</v>
      </c>
      <c r="AB12" s="15">
        <f t="shared" si="9"/>
        <v>0.10122218740206823</v>
      </c>
      <c r="AC12" s="15">
        <f t="shared" si="10"/>
        <v>-8.5149082568807377E-2</v>
      </c>
      <c r="AD12" s="15">
        <f t="shared" si="11"/>
        <v>1.1307625398666366E-2</v>
      </c>
      <c r="AE12" s="15">
        <f t="shared" si="12"/>
        <v>0.11222186391486622</v>
      </c>
      <c r="AF12" s="15">
        <f t="shared" si="13"/>
        <v>6.3807890222984609E-2</v>
      </c>
      <c r="AG12" s="15">
        <f t="shared" si="14"/>
        <v>-4.7797883236599947E-3</v>
      </c>
      <c r="AH12" s="15">
        <f t="shared" si="15"/>
        <v>-7.6607818411097095E-2</v>
      </c>
      <c r="AI12" s="15">
        <f t="shared" si="16"/>
        <v>-3.5573122529644285E-2</v>
      </c>
      <c r="AJ12" s="15">
        <f t="shared" si="17"/>
        <v>7.4836601307189499E-2</v>
      </c>
      <c r="AK12" s="5">
        <f t="shared" si="18"/>
        <v>-8.5149082568807377E-2</v>
      </c>
    </row>
    <row r="13" spans="1:37" x14ac:dyDescent="0.25">
      <c r="A13" t="s">
        <v>18</v>
      </c>
      <c r="B13" t="s">
        <v>19</v>
      </c>
      <c r="C13" s="56">
        <v>31</v>
      </c>
      <c r="D13" s="56">
        <v>12</v>
      </c>
      <c r="E13" s="56">
        <v>2015</v>
      </c>
      <c r="F13" s="65">
        <v>147</v>
      </c>
      <c r="G13" s="77">
        <v>142</v>
      </c>
      <c r="H13" s="77">
        <v>136</v>
      </c>
      <c r="I13" s="59">
        <v>132.82</v>
      </c>
      <c r="J13" s="59">
        <v>109.71</v>
      </c>
      <c r="K13" s="59">
        <v>117.45</v>
      </c>
      <c r="L13" s="59">
        <v>98.65</v>
      </c>
      <c r="M13" s="59">
        <v>97.89</v>
      </c>
      <c r="N13" s="59">
        <v>88.49</v>
      </c>
      <c r="O13" s="59">
        <v>74.349999999999994</v>
      </c>
      <c r="P13" s="59">
        <v>106.07</v>
      </c>
      <c r="Q13" s="59">
        <v>116.8</v>
      </c>
      <c r="R13" s="60">
        <v>97.26</v>
      </c>
      <c r="S13" s="13">
        <f t="shared" si="1"/>
        <v>112.65307692307691</v>
      </c>
      <c r="T13" s="4">
        <f t="shared" ca="1" si="2"/>
        <v>0</v>
      </c>
      <c r="U13" s="4">
        <f t="shared" ca="1" si="3"/>
        <v>122</v>
      </c>
      <c r="V13" s="4">
        <f t="shared" ca="1" si="4"/>
        <v>238</v>
      </c>
      <c r="W13" s="13">
        <f t="shared" ca="1" si="5"/>
        <v>138.03333333333333</v>
      </c>
      <c r="X13" s="5">
        <f t="shared" ca="1" si="19"/>
        <v>0.22529572297068157</v>
      </c>
      <c r="Y13" s="15">
        <f t="shared" si="6"/>
        <v>3.5211267605633756E-2</v>
      </c>
      <c r="Z13" s="15">
        <f t="shared" si="7"/>
        <v>4.4117647058823595E-2</v>
      </c>
      <c r="AA13" s="15">
        <f t="shared" si="8"/>
        <v>2.3942177382924257E-2</v>
      </c>
      <c r="AB13" s="15">
        <f t="shared" si="9"/>
        <v>0.21064624920244279</v>
      </c>
      <c r="AC13" s="15">
        <f t="shared" si="10"/>
        <v>-6.5900383141762497E-2</v>
      </c>
      <c r="AD13" s="15">
        <f t="shared" si="11"/>
        <v>0.19057273188038515</v>
      </c>
      <c r="AE13" s="15">
        <f t="shared" si="12"/>
        <v>7.7638165287567951E-3</v>
      </c>
      <c r="AF13" s="15">
        <f t="shared" si="13"/>
        <v>0.10622669228161374</v>
      </c>
      <c r="AG13" s="15">
        <f t="shared" si="14"/>
        <v>0.19018157363819777</v>
      </c>
      <c r="AH13" s="15">
        <f t="shared" si="15"/>
        <v>-0.29904779862355046</v>
      </c>
      <c r="AI13" s="15">
        <f t="shared" si="16"/>
        <v>-9.186643835616437E-2</v>
      </c>
      <c r="AJ13" s="15">
        <f t="shared" si="17"/>
        <v>0.20090479128110217</v>
      </c>
      <c r="AK13" s="5">
        <f t="shared" si="18"/>
        <v>-0.29904779862355046</v>
      </c>
    </row>
    <row r="14" spans="1:37" x14ac:dyDescent="0.25">
      <c r="A14" t="s">
        <v>20</v>
      </c>
      <c r="B14" t="s">
        <v>21</v>
      </c>
      <c r="C14" s="56">
        <v>31</v>
      </c>
      <c r="D14" s="56">
        <v>12</v>
      </c>
      <c r="E14" s="56">
        <v>2015</v>
      </c>
      <c r="F14" s="65">
        <v>199</v>
      </c>
      <c r="G14" s="77">
        <v>191</v>
      </c>
      <c r="H14" s="77">
        <v>185</v>
      </c>
      <c r="I14" s="59">
        <v>173.66</v>
      </c>
      <c r="J14" s="59">
        <v>144.88</v>
      </c>
      <c r="K14" s="59">
        <v>151.56</v>
      </c>
      <c r="L14" s="59">
        <v>128.62</v>
      </c>
      <c r="M14" s="59">
        <v>120.86</v>
      </c>
      <c r="N14" s="59">
        <v>111.7</v>
      </c>
      <c r="O14" s="59">
        <v>101.58</v>
      </c>
      <c r="P14" s="59">
        <v>114.53</v>
      </c>
      <c r="Q14" s="59">
        <v>113.01</v>
      </c>
      <c r="R14" s="60">
        <v>105.36</v>
      </c>
      <c r="S14" s="13">
        <f t="shared" si="1"/>
        <v>141.59692307692305</v>
      </c>
      <c r="T14" s="4">
        <f t="shared" ca="1" si="2"/>
        <v>0</v>
      </c>
      <c r="U14" s="4">
        <f t="shared" ca="1" si="3"/>
        <v>122</v>
      </c>
      <c r="V14" s="4">
        <f t="shared" ca="1" si="4"/>
        <v>238</v>
      </c>
      <c r="W14" s="13">
        <f t="shared" ca="1" si="5"/>
        <v>187.0333333333333</v>
      </c>
      <c r="X14" s="5">
        <f t="shared" ca="1" si="19"/>
        <v>0.32088557624749203</v>
      </c>
      <c r="Y14" s="15">
        <f t="shared" si="6"/>
        <v>4.1884816753926746E-2</v>
      </c>
      <c r="Z14" s="15">
        <f t="shared" si="7"/>
        <v>3.2432432432432323E-2</v>
      </c>
      <c r="AA14" s="15">
        <f t="shared" si="8"/>
        <v>6.5300011516756795E-2</v>
      </c>
      <c r="AB14" s="15">
        <f t="shared" si="9"/>
        <v>0.1986471562672556</v>
      </c>
      <c r="AC14" s="15">
        <f t="shared" si="10"/>
        <v>-4.4074953813671214E-2</v>
      </c>
      <c r="AD14" s="15">
        <f t="shared" si="11"/>
        <v>0.17835484372570365</v>
      </c>
      <c r="AE14" s="15">
        <f t="shared" si="12"/>
        <v>6.420651994042692E-2</v>
      </c>
      <c r="AF14" s="15">
        <f t="shared" si="13"/>
        <v>8.2005371530886162E-2</v>
      </c>
      <c r="AG14" s="15">
        <f t="shared" si="14"/>
        <v>9.9625910612325397E-2</v>
      </c>
      <c r="AH14" s="15">
        <f t="shared" si="15"/>
        <v>-0.11307081114118578</v>
      </c>
      <c r="AI14" s="15">
        <f t="shared" si="16"/>
        <v>1.345013715600385E-2</v>
      </c>
      <c r="AJ14" s="15">
        <f t="shared" si="17"/>
        <v>7.2608200455581029E-2</v>
      </c>
      <c r="AK14" s="5">
        <f t="shared" si="18"/>
        <v>-0.11307081114118578</v>
      </c>
    </row>
    <row r="15" spans="1:37" x14ac:dyDescent="0.25">
      <c r="A15" t="s">
        <v>22</v>
      </c>
      <c r="B15" t="s">
        <v>23</v>
      </c>
      <c r="C15" s="56">
        <v>31</v>
      </c>
      <c r="D15" s="56">
        <v>12</v>
      </c>
      <c r="E15" s="56">
        <v>2015</v>
      </c>
      <c r="F15" s="65">
        <v>35.5</v>
      </c>
      <c r="G15" s="77">
        <v>33.6</v>
      </c>
      <c r="H15" s="77">
        <v>31.2</v>
      </c>
      <c r="I15" s="59">
        <v>30.7</v>
      </c>
      <c r="J15" s="59">
        <v>30.25</v>
      </c>
      <c r="K15" s="59">
        <v>28.09</v>
      </c>
      <c r="L15" s="59">
        <v>27.64</v>
      </c>
      <c r="M15" s="59">
        <v>24.67</v>
      </c>
      <c r="N15" s="59">
        <v>20.260000000000002</v>
      </c>
      <c r="O15" s="59">
        <v>20.38</v>
      </c>
      <c r="P15" s="59">
        <v>21.01</v>
      </c>
      <c r="Q15" s="59">
        <v>18.59</v>
      </c>
      <c r="R15" s="60">
        <v>17.03</v>
      </c>
      <c r="S15" s="13">
        <f t="shared" si="1"/>
        <v>26.070769230769226</v>
      </c>
      <c r="T15" s="4">
        <f t="shared" ca="1" si="2"/>
        <v>0</v>
      </c>
      <c r="U15" s="4">
        <f t="shared" ca="1" si="3"/>
        <v>122</v>
      </c>
      <c r="V15" s="4">
        <f t="shared" ca="1" si="4"/>
        <v>238</v>
      </c>
      <c r="W15" s="13">
        <f t="shared" ca="1" si="5"/>
        <v>32.013333333333335</v>
      </c>
      <c r="X15" s="5">
        <f t="shared" ca="1" si="19"/>
        <v>0.22793973012313651</v>
      </c>
      <c r="Y15" s="15">
        <f t="shared" si="6"/>
        <v>5.6547619047619069E-2</v>
      </c>
      <c r="Z15" s="15">
        <f t="shared" si="7"/>
        <v>7.6923076923077094E-2</v>
      </c>
      <c r="AA15" s="15">
        <f t="shared" si="8"/>
        <v>1.6286644951140072E-2</v>
      </c>
      <c r="AB15" s="15">
        <f t="shared" si="9"/>
        <v>1.4876033057851235E-2</v>
      </c>
      <c r="AC15" s="15">
        <f t="shared" si="10"/>
        <v>7.6895692417230377E-2</v>
      </c>
      <c r="AD15" s="15">
        <f t="shared" si="11"/>
        <v>1.6280752532561449E-2</v>
      </c>
      <c r="AE15" s="15">
        <f t="shared" si="12"/>
        <v>0.12038913660316175</v>
      </c>
      <c r="AF15" s="15">
        <f t="shared" si="13"/>
        <v>0.21767028627838103</v>
      </c>
      <c r="AG15" s="15">
        <f t="shared" si="14"/>
        <v>-5.8881256133462845E-3</v>
      </c>
      <c r="AH15" s="15">
        <f t="shared" si="15"/>
        <v>-2.9985721085197592E-2</v>
      </c>
      <c r="AI15" s="15">
        <f t="shared" si="16"/>
        <v>0.13017751479289941</v>
      </c>
      <c r="AJ15" s="15">
        <f t="shared" si="17"/>
        <v>9.1603053435114434E-2</v>
      </c>
      <c r="AK15" s="5">
        <f t="shared" si="18"/>
        <v>-2.9985721085197592E-2</v>
      </c>
    </row>
    <row r="16" spans="1:37" x14ac:dyDescent="0.25">
      <c r="A16" t="s">
        <v>24</v>
      </c>
      <c r="B16" t="s">
        <v>25</v>
      </c>
      <c r="C16" s="56">
        <v>31</v>
      </c>
      <c r="D16" s="56">
        <v>12</v>
      </c>
      <c r="E16" s="56">
        <v>2015</v>
      </c>
      <c r="F16" s="65">
        <v>34.299999999999997</v>
      </c>
      <c r="G16" s="77">
        <v>31.7</v>
      </c>
      <c r="H16" s="77">
        <v>27.9</v>
      </c>
      <c r="I16" s="59">
        <v>24.45</v>
      </c>
      <c r="J16" s="59">
        <v>25.16</v>
      </c>
      <c r="K16" s="59">
        <v>22.45</v>
      </c>
      <c r="L16" s="59">
        <v>23.3</v>
      </c>
      <c r="M16" s="59">
        <v>22.85</v>
      </c>
      <c r="N16" s="59">
        <v>22.92</v>
      </c>
      <c r="O16" s="59">
        <v>21.38</v>
      </c>
      <c r="P16" s="59">
        <v>22.01</v>
      </c>
      <c r="Q16" s="61"/>
      <c r="R16" s="62"/>
      <c r="S16" s="13">
        <f t="shared" si="1"/>
        <v>25.310909090909092</v>
      </c>
      <c r="T16" s="4">
        <f t="shared" ca="1" si="2"/>
        <v>0</v>
      </c>
      <c r="U16" s="4">
        <f t="shared" ca="1" si="3"/>
        <v>122</v>
      </c>
      <c r="V16" s="4">
        <f t="shared" ca="1" si="4"/>
        <v>238</v>
      </c>
      <c r="W16" s="13">
        <f t="shared" ca="1" si="5"/>
        <v>29.187777777777779</v>
      </c>
      <c r="X16" s="5">
        <f t="shared" ca="1" si="19"/>
        <v>0.15316987125765236</v>
      </c>
      <c r="Y16" s="15">
        <f t="shared" si="6"/>
        <v>8.2018927444794887E-2</v>
      </c>
      <c r="Z16" s="15">
        <f t="shared" si="7"/>
        <v>0.13620071684587809</v>
      </c>
      <c r="AA16" s="15">
        <f t="shared" si="8"/>
        <v>0.14110429447852768</v>
      </c>
      <c r="AB16" s="15">
        <f t="shared" si="9"/>
        <v>-2.8219395866454722E-2</v>
      </c>
      <c r="AC16" s="15">
        <f t="shared" si="10"/>
        <v>0.12071269487750569</v>
      </c>
      <c r="AD16" s="15">
        <f t="shared" si="11"/>
        <v>-3.6480686695279041E-2</v>
      </c>
      <c r="AE16" s="15">
        <f t="shared" si="12"/>
        <v>1.9693654266958349E-2</v>
      </c>
      <c r="AF16" s="15">
        <f t="shared" si="13"/>
        <v>-3.054101221640515E-3</v>
      </c>
      <c r="AG16" s="15">
        <f t="shared" si="14"/>
        <v>7.2029934518241578E-2</v>
      </c>
      <c r="AH16" s="15">
        <f t="shared" si="15"/>
        <v>-2.8623353021353992E-2</v>
      </c>
      <c r="AI16" s="15">
        <f t="shared" si="16"/>
        <v>99.999989999999997</v>
      </c>
      <c r="AJ16" s="15">
        <f t="shared" si="17"/>
        <v>99.999989999999997</v>
      </c>
      <c r="AK16" s="5">
        <f t="shared" si="18"/>
        <v>-3.6480686695279041E-2</v>
      </c>
    </row>
    <row r="17" spans="1:37" x14ac:dyDescent="0.25">
      <c r="A17" t="s">
        <v>26</v>
      </c>
      <c r="B17" t="s">
        <v>27</v>
      </c>
      <c r="C17" s="56">
        <v>31</v>
      </c>
      <c r="D17" s="56">
        <v>12</v>
      </c>
      <c r="E17" s="56">
        <v>2015</v>
      </c>
      <c r="F17" s="65">
        <v>5.85</v>
      </c>
      <c r="G17" s="77">
        <v>5.45</v>
      </c>
      <c r="H17" s="77">
        <v>5.25</v>
      </c>
      <c r="I17" s="59">
        <v>4.53</v>
      </c>
      <c r="J17" s="59">
        <v>4.6500000000000004</v>
      </c>
      <c r="K17" s="59">
        <v>4.5</v>
      </c>
      <c r="L17" s="59">
        <v>4.8</v>
      </c>
      <c r="M17" s="59">
        <v>5.41</v>
      </c>
      <c r="N17" s="59">
        <v>4.7699999999999996</v>
      </c>
      <c r="O17" s="59">
        <v>3.66</v>
      </c>
      <c r="P17" s="59">
        <v>4.22</v>
      </c>
      <c r="Q17" s="59">
        <v>3.49</v>
      </c>
      <c r="R17" s="60">
        <v>2.59</v>
      </c>
      <c r="S17" s="13">
        <f t="shared" si="1"/>
        <v>4.5515384615384606</v>
      </c>
      <c r="T17" s="4">
        <f t="shared" ca="1" si="2"/>
        <v>0</v>
      </c>
      <c r="U17" s="4">
        <f t="shared" ca="1" si="3"/>
        <v>122</v>
      </c>
      <c r="V17" s="4">
        <f t="shared" ca="1" si="4"/>
        <v>238</v>
      </c>
      <c r="W17" s="13">
        <f t="shared" ca="1" si="5"/>
        <v>5.3177777777777777</v>
      </c>
      <c r="X17" s="5">
        <f t="shared" ca="1" si="19"/>
        <v>0.16834732315550327</v>
      </c>
      <c r="Y17" s="15">
        <f t="shared" si="6"/>
        <v>7.3394495412844041E-2</v>
      </c>
      <c r="Z17" s="15">
        <f t="shared" si="7"/>
        <v>3.8095238095238182E-2</v>
      </c>
      <c r="AA17" s="15">
        <f t="shared" si="8"/>
        <v>0.1589403973509933</v>
      </c>
      <c r="AB17" s="15">
        <f t="shared" si="9"/>
        <v>-2.5806451612903292E-2</v>
      </c>
      <c r="AC17" s="15">
        <f t="shared" si="10"/>
        <v>3.3333333333333437E-2</v>
      </c>
      <c r="AD17" s="15">
        <f t="shared" si="11"/>
        <v>-6.25E-2</v>
      </c>
      <c r="AE17" s="15">
        <f t="shared" si="12"/>
        <v>-0.11275415896487995</v>
      </c>
      <c r="AF17" s="15">
        <f t="shared" si="13"/>
        <v>0.13417190775681354</v>
      </c>
      <c r="AG17" s="15">
        <f t="shared" si="14"/>
        <v>0.30327868852458995</v>
      </c>
      <c r="AH17" s="15">
        <f t="shared" si="15"/>
        <v>-0.13270142180094779</v>
      </c>
      <c r="AI17" s="15">
        <f t="shared" si="16"/>
        <v>0.20916905444126055</v>
      </c>
      <c r="AJ17" s="15">
        <f t="shared" si="17"/>
        <v>0.34749034749034768</v>
      </c>
      <c r="AK17" s="5">
        <f t="shared" si="18"/>
        <v>-0.13270142180094779</v>
      </c>
    </row>
    <row r="18" spans="1:37" x14ac:dyDescent="0.25">
      <c r="A18" t="s">
        <v>28</v>
      </c>
      <c r="B18" t="s">
        <v>29</v>
      </c>
      <c r="C18" s="56">
        <v>31</v>
      </c>
      <c r="D18" s="56">
        <v>12</v>
      </c>
      <c r="E18" s="56">
        <v>2015</v>
      </c>
      <c r="F18" s="65">
        <v>23.7</v>
      </c>
      <c r="G18" s="77">
        <v>23</v>
      </c>
      <c r="H18" s="77">
        <v>20.9</v>
      </c>
      <c r="I18" s="59">
        <v>19.489999999999998</v>
      </c>
      <c r="J18" s="59">
        <v>18.239999999999998</v>
      </c>
      <c r="K18" s="59">
        <v>20.55</v>
      </c>
      <c r="L18" s="59">
        <v>20.149999999999999</v>
      </c>
      <c r="M18" s="59">
        <v>19.38</v>
      </c>
      <c r="N18" s="59">
        <v>21.61</v>
      </c>
      <c r="O18" s="59">
        <v>16.82</v>
      </c>
      <c r="P18" s="59">
        <v>17.59</v>
      </c>
      <c r="Q18" s="61"/>
      <c r="R18" s="62"/>
      <c r="S18" s="13">
        <f t="shared" si="1"/>
        <v>20.13</v>
      </c>
      <c r="T18" s="4">
        <f t="shared" ca="1" si="2"/>
        <v>0</v>
      </c>
      <c r="U18" s="4">
        <f t="shared" ca="1" si="3"/>
        <v>122</v>
      </c>
      <c r="V18" s="4">
        <f t="shared" ca="1" si="4"/>
        <v>238</v>
      </c>
      <c r="W18" s="13">
        <f t="shared" ca="1" si="5"/>
        <v>21.611666666666665</v>
      </c>
      <c r="X18" s="5">
        <f t="shared" ca="1" si="19"/>
        <v>7.360490147375387E-2</v>
      </c>
      <c r="Y18" s="15">
        <f t="shared" si="6"/>
        <v>3.0434782608695699E-2</v>
      </c>
      <c r="Z18" s="15">
        <f t="shared" si="7"/>
        <v>0.1004784688995215</v>
      </c>
      <c r="AA18" s="15">
        <f t="shared" si="8"/>
        <v>7.2344792201128882E-2</v>
      </c>
      <c r="AB18" s="15">
        <f t="shared" si="9"/>
        <v>6.8530701754385914E-2</v>
      </c>
      <c r="AC18" s="15">
        <f t="shared" si="10"/>
        <v>-0.11240875912408765</v>
      </c>
      <c r="AD18" s="15">
        <f t="shared" si="11"/>
        <v>1.9851116625310361E-2</v>
      </c>
      <c r="AE18" s="15">
        <f t="shared" si="12"/>
        <v>3.9731682146542768E-2</v>
      </c>
      <c r="AF18" s="15">
        <f t="shared" si="13"/>
        <v>-0.10319296621934293</v>
      </c>
      <c r="AG18" s="15">
        <f t="shared" si="14"/>
        <v>0.28478002378121281</v>
      </c>
      <c r="AH18" s="15">
        <f t="shared" si="15"/>
        <v>-4.3774872086412731E-2</v>
      </c>
      <c r="AI18" s="15">
        <f t="shared" si="16"/>
        <v>99.999989999999997</v>
      </c>
      <c r="AJ18" s="15">
        <f t="shared" si="17"/>
        <v>99.999989999999997</v>
      </c>
      <c r="AK18" s="5">
        <f t="shared" si="18"/>
        <v>-0.11240875912408765</v>
      </c>
    </row>
    <row r="19" spans="1:37" x14ac:dyDescent="0.25">
      <c r="A19" t="s">
        <v>30</v>
      </c>
      <c r="B19" t="s">
        <v>31</v>
      </c>
      <c r="C19" s="56">
        <v>31</v>
      </c>
      <c r="D19" s="56">
        <v>12</v>
      </c>
      <c r="E19" s="56">
        <v>2015</v>
      </c>
      <c r="F19" s="65">
        <v>4.32</v>
      </c>
      <c r="G19" s="77">
        <v>4.16</v>
      </c>
      <c r="H19" s="77">
        <v>3.79</v>
      </c>
      <c r="I19" s="59">
        <v>2.72</v>
      </c>
      <c r="J19" s="59">
        <v>3.27</v>
      </c>
      <c r="K19" s="59">
        <v>3.69</v>
      </c>
      <c r="L19" s="59">
        <v>4.03</v>
      </c>
      <c r="M19" s="59">
        <v>4.54</v>
      </c>
      <c r="N19" s="59">
        <v>3.76</v>
      </c>
      <c r="O19" s="59">
        <v>3.43</v>
      </c>
      <c r="P19" s="59">
        <v>3.39</v>
      </c>
      <c r="Q19" s="59"/>
      <c r="R19" s="60"/>
      <c r="S19" s="13">
        <f t="shared" si="1"/>
        <v>3.7363636363636363</v>
      </c>
      <c r="T19" s="4">
        <f t="shared" ca="1" si="2"/>
        <v>0</v>
      </c>
      <c r="U19" s="4">
        <f t="shared" ca="1" si="3"/>
        <v>122</v>
      </c>
      <c r="V19" s="4">
        <f t="shared" ca="1" si="4"/>
        <v>238</v>
      </c>
      <c r="W19" s="13">
        <f t="shared" ca="1" si="5"/>
        <v>3.9153888888888888</v>
      </c>
      <c r="X19" s="5">
        <f t="shared" ca="1" si="19"/>
        <v>4.7914301162476303E-2</v>
      </c>
      <c r="Y19" s="15">
        <f t="shared" si="6"/>
        <v>3.8461538461538547E-2</v>
      </c>
      <c r="Z19" s="15">
        <f t="shared" si="7"/>
        <v>9.7625329815303363E-2</v>
      </c>
      <c r="AA19" s="15">
        <f t="shared" si="8"/>
        <v>0.39338235294117641</v>
      </c>
      <c r="AB19" s="15">
        <f t="shared" si="9"/>
        <v>-0.16819571865443417</v>
      </c>
      <c r="AC19" s="15">
        <f t="shared" si="10"/>
        <v>-0.11382113821138207</v>
      </c>
      <c r="AD19" s="15">
        <f t="shared" si="11"/>
        <v>-8.4367245657568257E-2</v>
      </c>
      <c r="AE19" s="15">
        <f t="shared" si="12"/>
        <v>-0.11233480176211452</v>
      </c>
      <c r="AF19" s="15">
        <f t="shared" si="13"/>
        <v>0.20744680851063846</v>
      </c>
      <c r="AG19" s="15">
        <f t="shared" si="14"/>
        <v>9.6209912536443065E-2</v>
      </c>
      <c r="AH19" s="15">
        <f t="shared" si="15"/>
        <v>1.1799410029498469E-2</v>
      </c>
      <c r="AI19" s="15">
        <f t="shared" si="16"/>
        <v>99.999989999999997</v>
      </c>
      <c r="AJ19" s="15">
        <f t="shared" si="17"/>
        <v>99.999989999999997</v>
      </c>
      <c r="AK19" s="5">
        <f t="shared" si="18"/>
        <v>-0.16819571865443417</v>
      </c>
    </row>
    <row r="20" spans="1:37" x14ac:dyDescent="0.25">
      <c r="A20" t="s">
        <v>32</v>
      </c>
      <c r="B20" t="s">
        <v>33</v>
      </c>
      <c r="C20" s="56">
        <v>30</v>
      </c>
      <c r="D20" s="56">
        <v>9</v>
      </c>
      <c r="E20" s="56">
        <v>2015</v>
      </c>
      <c r="F20" s="65">
        <v>5.87</v>
      </c>
      <c r="G20" s="77">
        <v>5.65</v>
      </c>
      <c r="H20" s="77">
        <v>5.4</v>
      </c>
      <c r="I20" s="59">
        <v>4.8899999999999997</v>
      </c>
      <c r="J20" s="59">
        <v>5.24</v>
      </c>
      <c r="K20" s="59">
        <v>5.65</v>
      </c>
      <c r="L20" s="59">
        <v>7.17</v>
      </c>
      <c r="M20" s="59">
        <v>6.58</v>
      </c>
      <c r="N20" s="59">
        <v>6.12</v>
      </c>
      <c r="O20" s="59">
        <v>5.91</v>
      </c>
      <c r="P20" s="61"/>
      <c r="Q20" s="59"/>
      <c r="R20" s="60"/>
      <c r="S20" s="13">
        <f t="shared" si="1"/>
        <v>5.8480000000000008</v>
      </c>
      <c r="T20" s="4">
        <f t="shared" ca="1" si="2"/>
        <v>0</v>
      </c>
      <c r="U20" s="4">
        <f t="shared" ca="1" si="3"/>
        <v>213</v>
      </c>
      <c r="V20" s="4">
        <f t="shared" ca="1" si="4"/>
        <v>147</v>
      </c>
      <c r="W20" s="13">
        <f t="shared" ca="1" si="5"/>
        <v>5.5479166666666675</v>
      </c>
      <c r="X20" s="5">
        <f t="shared" ca="1" si="19"/>
        <v>-5.131383948928403E-2</v>
      </c>
      <c r="Y20" s="15">
        <f t="shared" si="6"/>
        <v>3.8938053097345104E-2</v>
      </c>
      <c r="Z20" s="15">
        <f t="shared" si="7"/>
        <v>4.629629629629628E-2</v>
      </c>
      <c r="AA20" s="15">
        <f t="shared" si="8"/>
        <v>0.10429447852760743</v>
      </c>
      <c r="AB20" s="15">
        <f t="shared" si="9"/>
        <v>-6.6793893129771131E-2</v>
      </c>
      <c r="AC20" s="15">
        <f t="shared" si="10"/>
        <v>-7.2566371681415998E-2</v>
      </c>
      <c r="AD20" s="15">
        <f t="shared" si="11"/>
        <v>-0.21199442119944212</v>
      </c>
      <c r="AE20" s="15">
        <f t="shared" si="12"/>
        <v>8.9665653495440756E-2</v>
      </c>
      <c r="AF20" s="15">
        <f t="shared" si="13"/>
        <v>7.5163398692810413E-2</v>
      </c>
      <c r="AG20" s="15">
        <f t="shared" si="14"/>
        <v>3.5532994923857864E-2</v>
      </c>
      <c r="AH20" s="15">
        <f t="shared" si="15"/>
        <v>99.999989999999997</v>
      </c>
      <c r="AI20" s="15">
        <f t="shared" si="16"/>
        <v>99.999989999999997</v>
      </c>
      <c r="AJ20" s="15">
        <f t="shared" si="17"/>
        <v>99.999989999999997</v>
      </c>
      <c r="AK20" s="5">
        <f t="shared" si="18"/>
        <v>-0.21199442119944212</v>
      </c>
    </row>
    <row r="21" spans="1:37" x14ac:dyDescent="0.25">
      <c r="A21" t="s">
        <v>34</v>
      </c>
      <c r="B21" t="s">
        <v>35</v>
      </c>
      <c r="C21" s="56">
        <v>31</v>
      </c>
      <c r="D21" s="56">
        <v>3</v>
      </c>
      <c r="E21" s="56">
        <v>2015</v>
      </c>
      <c r="F21" s="65">
        <v>2.65</v>
      </c>
      <c r="G21" s="77">
        <v>2.5100000000000002</v>
      </c>
      <c r="H21" s="77">
        <v>2.4700000000000002</v>
      </c>
      <c r="I21" s="59">
        <v>2.46</v>
      </c>
      <c r="J21" s="61"/>
      <c r="K21" s="61"/>
      <c r="L21" s="61"/>
      <c r="M21" s="61"/>
      <c r="N21" s="61"/>
      <c r="O21" s="61"/>
      <c r="P21" s="61"/>
      <c r="Q21" s="61"/>
      <c r="R21" s="62"/>
      <c r="S21" s="13">
        <f t="shared" si="1"/>
        <v>2.5225</v>
      </c>
      <c r="T21" s="4">
        <f t="shared" ca="1" si="2"/>
        <v>32</v>
      </c>
      <c r="U21" s="4">
        <f t="shared" ca="1" si="3"/>
        <v>328</v>
      </c>
      <c r="V21" s="4">
        <f t="shared" ca="1" si="4"/>
        <v>0</v>
      </c>
      <c r="W21" s="13">
        <f t="shared" ca="1" si="5"/>
        <v>2.5224444444444445</v>
      </c>
      <c r="X21" s="5">
        <f t="shared" ca="1" si="19"/>
        <v>-2.2024006166687649E-5</v>
      </c>
      <c r="Y21" s="15">
        <f t="shared" si="6"/>
        <v>5.5776892430278835E-2</v>
      </c>
      <c r="Z21" s="15">
        <f t="shared" si="7"/>
        <v>1.6194331983805599E-2</v>
      </c>
      <c r="AA21" s="15">
        <f t="shared" si="8"/>
        <v>4.0650406504065817E-3</v>
      </c>
      <c r="AB21" s="15">
        <f t="shared" si="9"/>
        <v>99.999989999999997</v>
      </c>
      <c r="AC21" s="15">
        <f t="shared" si="10"/>
        <v>99.999989999999997</v>
      </c>
      <c r="AD21" s="15">
        <f t="shared" si="11"/>
        <v>99.999989999999997</v>
      </c>
      <c r="AE21" s="15">
        <f t="shared" si="12"/>
        <v>99.999989999999997</v>
      </c>
      <c r="AF21" s="15">
        <f t="shared" si="13"/>
        <v>99.999989999999997</v>
      </c>
      <c r="AG21" s="15">
        <f t="shared" si="14"/>
        <v>99.999989999999997</v>
      </c>
      <c r="AH21" s="15">
        <f t="shared" si="15"/>
        <v>99.999989999999997</v>
      </c>
      <c r="AI21" s="15">
        <f t="shared" si="16"/>
        <v>99.999989999999997</v>
      </c>
      <c r="AJ21" s="15">
        <f t="shared" si="17"/>
        <v>99.999989999999997</v>
      </c>
      <c r="AK21" s="5">
        <f t="shared" si="18"/>
        <v>4.0650406504065817E-3</v>
      </c>
    </row>
    <row r="22" spans="1:37" x14ac:dyDescent="0.25">
      <c r="A22" t="s">
        <v>36</v>
      </c>
      <c r="B22" t="s">
        <v>37</v>
      </c>
      <c r="C22" s="56">
        <v>31</v>
      </c>
      <c r="D22" s="56">
        <v>12</v>
      </c>
      <c r="E22" s="56">
        <v>2015</v>
      </c>
      <c r="F22" s="65">
        <v>6.71</v>
      </c>
      <c r="G22" s="77">
        <v>6.07</v>
      </c>
      <c r="H22" s="77">
        <v>5.44</v>
      </c>
      <c r="I22" s="59">
        <v>4.55</v>
      </c>
      <c r="J22" s="59">
        <v>4.78</v>
      </c>
      <c r="K22" s="59">
        <v>5.05</v>
      </c>
      <c r="L22" s="59">
        <v>4.76</v>
      </c>
      <c r="M22" s="59">
        <v>4.83</v>
      </c>
      <c r="N22" s="59">
        <v>4.0199999999999996</v>
      </c>
      <c r="O22" s="59">
        <v>3.32</v>
      </c>
      <c r="P22" s="59">
        <v>4.13</v>
      </c>
      <c r="Q22" s="59">
        <v>3.74</v>
      </c>
      <c r="R22" s="60">
        <v>2.79</v>
      </c>
      <c r="S22" s="13">
        <f t="shared" si="1"/>
        <v>4.63</v>
      </c>
      <c r="T22" s="4">
        <f t="shared" ca="1" si="2"/>
        <v>0</v>
      </c>
      <c r="U22" s="4">
        <f t="shared" ca="1" si="3"/>
        <v>122</v>
      </c>
      <c r="V22" s="4">
        <f t="shared" ca="1" si="4"/>
        <v>238</v>
      </c>
      <c r="W22" s="13">
        <f t="shared" ca="1" si="5"/>
        <v>5.6535000000000002</v>
      </c>
      <c r="X22" s="5">
        <f t="shared" ca="1" si="19"/>
        <v>0.22105831533477338</v>
      </c>
      <c r="Y22" s="15">
        <f t="shared" si="6"/>
        <v>0.10543657331136735</v>
      </c>
      <c r="Z22" s="15">
        <f t="shared" si="7"/>
        <v>0.11580882352941169</v>
      </c>
      <c r="AA22" s="15">
        <f t="shared" si="8"/>
        <v>0.1956043956043958</v>
      </c>
      <c r="AB22" s="15">
        <f t="shared" si="9"/>
        <v>-4.8117154811715523E-2</v>
      </c>
      <c r="AC22" s="15">
        <f t="shared" si="10"/>
        <v>-5.3465346534653402E-2</v>
      </c>
      <c r="AD22" s="15">
        <f t="shared" si="11"/>
        <v>6.0924369747899165E-2</v>
      </c>
      <c r="AE22" s="15">
        <f t="shared" si="12"/>
        <v>-1.449275362318847E-2</v>
      </c>
      <c r="AF22" s="15">
        <f t="shared" si="13"/>
        <v>0.20149253731343308</v>
      </c>
      <c r="AG22" s="15">
        <f t="shared" si="14"/>
        <v>0.21084337349397586</v>
      </c>
      <c r="AH22" s="15">
        <f t="shared" si="15"/>
        <v>-0.19612590799031482</v>
      </c>
      <c r="AI22" s="15">
        <f t="shared" si="16"/>
        <v>0.10427807486631013</v>
      </c>
      <c r="AJ22" s="15">
        <f t="shared" si="17"/>
        <v>0.34050179211469533</v>
      </c>
      <c r="AK22" s="5">
        <f t="shared" si="18"/>
        <v>-0.19612590799031482</v>
      </c>
    </row>
    <row r="23" spans="1:37" x14ac:dyDescent="0.25">
      <c r="A23" t="s">
        <v>38</v>
      </c>
      <c r="B23" t="s">
        <v>39</v>
      </c>
      <c r="C23" s="56">
        <v>31</v>
      </c>
      <c r="D23" s="56">
        <v>12</v>
      </c>
      <c r="E23" s="56">
        <v>2015</v>
      </c>
      <c r="F23" s="65">
        <v>18.2</v>
      </c>
      <c r="G23" s="77">
        <v>17.600000000000001</v>
      </c>
      <c r="H23" s="77">
        <v>16.899999999999999</v>
      </c>
      <c r="I23" s="59">
        <v>16.760000000000002</v>
      </c>
      <c r="J23" s="59">
        <v>17.5</v>
      </c>
      <c r="K23" s="59">
        <v>16.61</v>
      </c>
      <c r="L23" s="59">
        <v>17.850000000000001</v>
      </c>
      <c r="M23" s="59">
        <v>18.940000000000001</v>
      </c>
      <c r="N23" s="59">
        <v>17.34</v>
      </c>
      <c r="O23" s="59">
        <v>16.350000000000001</v>
      </c>
      <c r="P23" s="59">
        <v>19.09</v>
      </c>
      <c r="Q23" s="59">
        <v>18.52</v>
      </c>
      <c r="R23" s="62"/>
      <c r="S23" s="13">
        <f t="shared" si="1"/>
        <v>17.638333333333332</v>
      </c>
      <c r="T23" s="4">
        <f t="shared" ca="1" si="2"/>
        <v>0</v>
      </c>
      <c r="U23" s="4">
        <f t="shared" ca="1" si="3"/>
        <v>122</v>
      </c>
      <c r="V23" s="4">
        <f t="shared" ca="1" si="4"/>
        <v>238</v>
      </c>
      <c r="W23" s="13">
        <f t="shared" ca="1" si="5"/>
        <v>17.137222222222221</v>
      </c>
      <c r="X23" s="5">
        <f t="shared" ca="1" si="19"/>
        <v>-2.8410343632870316E-2</v>
      </c>
      <c r="Y23" s="15">
        <f t="shared" si="6"/>
        <v>3.409090909090895E-2</v>
      </c>
      <c r="Z23" s="15">
        <f t="shared" si="7"/>
        <v>4.1420118343195478E-2</v>
      </c>
      <c r="AA23" s="15">
        <f t="shared" si="8"/>
        <v>8.3532219570403576E-3</v>
      </c>
      <c r="AB23" s="15">
        <f t="shared" si="9"/>
        <v>-4.2285714285714149E-2</v>
      </c>
      <c r="AC23" s="15">
        <f t="shared" si="10"/>
        <v>5.3582179409993991E-2</v>
      </c>
      <c r="AD23" s="15">
        <f t="shared" si="11"/>
        <v>-6.9467787114846025E-2</v>
      </c>
      <c r="AE23" s="15">
        <f t="shared" si="12"/>
        <v>-5.7550158394931383E-2</v>
      </c>
      <c r="AF23" s="15">
        <f t="shared" si="13"/>
        <v>9.2272202998846753E-2</v>
      </c>
      <c r="AG23" s="15">
        <f t="shared" si="14"/>
        <v>6.0550458715596278E-2</v>
      </c>
      <c r="AH23" s="15">
        <f t="shared" si="15"/>
        <v>-0.14353064431639595</v>
      </c>
      <c r="AI23" s="15">
        <f t="shared" si="16"/>
        <v>3.077753779697634E-2</v>
      </c>
      <c r="AJ23" s="15">
        <f t="shared" si="17"/>
        <v>99.999989999999997</v>
      </c>
      <c r="AK23" s="5">
        <f t="shared" si="18"/>
        <v>-0.14353064431639595</v>
      </c>
    </row>
    <row r="24" spans="1:37" x14ac:dyDescent="0.25">
      <c r="A24" t="s">
        <v>95</v>
      </c>
      <c r="B24" t="s">
        <v>199</v>
      </c>
      <c r="C24" s="56">
        <v>31</v>
      </c>
      <c r="D24" s="56">
        <v>12</v>
      </c>
      <c r="E24" s="56">
        <v>2015</v>
      </c>
      <c r="F24" s="65">
        <v>190</v>
      </c>
      <c r="G24" s="77">
        <v>180</v>
      </c>
      <c r="H24" s="77">
        <v>170</v>
      </c>
      <c r="I24" s="59">
        <v>166.79</v>
      </c>
      <c r="J24" s="59">
        <v>158.83000000000001</v>
      </c>
      <c r="K24" s="59">
        <v>147.43</v>
      </c>
      <c r="L24" s="59">
        <v>140.47999999999999</v>
      </c>
      <c r="M24" s="59">
        <v>136.47999999999999</v>
      </c>
      <c r="N24" s="59">
        <v>128.85</v>
      </c>
      <c r="O24" s="59">
        <v>102.13</v>
      </c>
      <c r="P24" s="59">
        <v>98.87</v>
      </c>
      <c r="Q24" s="59">
        <v>92.6</v>
      </c>
      <c r="R24" s="60">
        <v>14.41</v>
      </c>
      <c r="S24" s="13">
        <f t="shared" si="1"/>
        <v>132.83615384615382</v>
      </c>
      <c r="T24" s="4">
        <f t="shared" ca="1" si="2"/>
        <v>0</v>
      </c>
      <c r="U24" s="4">
        <f t="shared" ca="1" si="3"/>
        <v>122</v>
      </c>
      <c r="V24" s="4">
        <f t="shared" ca="1" si="4"/>
        <v>238</v>
      </c>
      <c r="W24" s="13">
        <f t="shared" ca="1" si="5"/>
        <v>173.38888888888889</v>
      </c>
      <c r="X24" s="5">
        <f t="shared" ca="1" si="19"/>
        <v>0.30528386940276686</v>
      </c>
      <c r="Y24" s="15">
        <f t="shared" si="6"/>
        <v>5.555555555555558E-2</v>
      </c>
      <c r="Z24" s="15">
        <f t="shared" si="7"/>
        <v>5.8823529411764719E-2</v>
      </c>
      <c r="AA24" s="15">
        <f t="shared" si="8"/>
        <v>1.9245758138977109E-2</v>
      </c>
      <c r="AB24" s="15">
        <f t="shared" si="9"/>
        <v>5.0116476736132842E-2</v>
      </c>
      <c r="AC24" s="15">
        <f t="shared" si="10"/>
        <v>7.7324832123719656E-2</v>
      </c>
      <c r="AD24" s="15">
        <f t="shared" si="11"/>
        <v>4.947323462414599E-2</v>
      </c>
      <c r="AE24" s="15">
        <f t="shared" si="12"/>
        <v>2.9308323563892236E-2</v>
      </c>
      <c r="AF24" s="15">
        <f t="shared" si="13"/>
        <v>5.9216142801707283E-2</v>
      </c>
      <c r="AG24" s="15">
        <f t="shared" si="14"/>
        <v>0.26162733770684432</v>
      </c>
      <c r="AH24" s="15">
        <f t="shared" si="15"/>
        <v>3.2972590270051505E-2</v>
      </c>
      <c r="AI24" s="15">
        <f t="shared" si="16"/>
        <v>6.771058315334777E-2</v>
      </c>
      <c r="AJ24" s="15">
        <f t="shared" si="17"/>
        <v>5.4260929909784865</v>
      </c>
      <c r="AK24" s="5">
        <f t="shared" si="18"/>
        <v>1.9245758138977109E-2</v>
      </c>
    </row>
    <row r="25" spans="1:37" x14ac:dyDescent="0.25">
      <c r="A25" t="s">
        <v>40</v>
      </c>
      <c r="B25" t="s">
        <v>41</v>
      </c>
      <c r="C25" s="56">
        <v>31</v>
      </c>
      <c r="D25" s="56">
        <v>12</v>
      </c>
      <c r="E25" s="56">
        <v>2015</v>
      </c>
      <c r="F25" s="65">
        <v>6.65</v>
      </c>
      <c r="G25" s="77">
        <v>6.72</v>
      </c>
      <c r="H25" s="77">
        <v>6.64</v>
      </c>
      <c r="I25" s="59">
        <v>6.94</v>
      </c>
      <c r="J25" s="59">
        <v>7.54</v>
      </c>
      <c r="K25" s="59">
        <v>7.34</v>
      </c>
      <c r="L25" s="59">
        <v>6.99</v>
      </c>
      <c r="M25" s="59">
        <v>6.76</v>
      </c>
      <c r="N25" s="59">
        <v>5.38</v>
      </c>
      <c r="O25" s="59">
        <v>4.43</v>
      </c>
      <c r="P25" s="59">
        <v>4.6900000000000004</v>
      </c>
      <c r="Q25" s="59">
        <v>3.65</v>
      </c>
      <c r="R25" s="60">
        <v>3.45</v>
      </c>
      <c r="S25" s="13">
        <f t="shared" si="1"/>
        <v>5.9369230769230779</v>
      </c>
      <c r="T25" s="4">
        <f t="shared" ca="1" si="2"/>
        <v>0</v>
      </c>
      <c r="U25" s="4">
        <f t="shared" ca="1" si="3"/>
        <v>122</v>
      </c>
      <c r="V25" s="4">
        <f t="shared" ca="1" si="4"/>
        <v>238</v>
      </c>
      <c r="W25" s="13">
        <f t="shared" ca="1" si="5"/>
        <v>6.6671111111111108</v>
      </c>
      <c r="X25" s="5">
        <f t="shared" ca="1" si="19"/>
        <v>0.12299098787826424</v>
      </c>
      <c r="Y25" s="15">
        <f t="shared" si="6"/>
        <v>-1.041666666666663E-2</v>
      </c>
      <c r="Z25" s="15">
        <f t="shared" si="7"/>
        <v>1.2048192771084265E-2</v>
      </c>
      <c r="AA25" s="15">
        <f t="shared" si="8"/>
        <v>-4.3227665706051965E-2</v>
      </c>
      <c r="AB25" s="15">
        <f t="shared" si="9"/>
        <v>-7.9575596816976124E-2</v>
      </c>
      <c r="AC25" s="15">
        <f t="shared" si="10"/>
        <v>2.7247956403269713E-2</v>
      </c>
      <c r="AD25" s="15">
        <f t="shared" si="11"/>
        <v>5.0071530758226013E-2</v>
      </c>
      <c r="AE25" s="15">
        <f t="shared" si="12"/>
        <v>3.4023668639053373E-2</v>
      </c>
      <c r="AF25" s="15">
        <f t="shared" si="13"/>
        <v>0.25650557620817849</v>
      </c>
      <c r="AG25" s="15">
        <f t="shared" si="14"/>
        <v>0.21444695259593693</v>
      </c>
      <c r="AH25" s="15">
        <f t="shared" si="15"/>
        <v>-5.5437100213219792E-2</v>
      </c>
      <c r="AI25" s="15">
        <f t="shared" si="16"/>
        <v>0.28493150684931523</v>
      </c>
      <c r="AJ25" s="15">
        <f t="shared" si="17"/>
        <v>5.7971014492753437E-2</v>
      </c>
      <c r="AK25" s="5">
        <f t="shared" si="18"/>
        <v>-7.9575596816976124E-2</v>
      </c>
    </row>
    <row r="26" spans="1:37" x14ac:dyDescent="0.25">
      <c r="A26" t="s">
        <v>42</v>
      </c>
      <c r="B26" t="s">
        <v>43</v>
      </c>
      <c r="C26" s="56">
        <v>31</v>
      </c>
      <c r="D26" s="56">
        <v>12</v>
      </c>
      <c r="E26" s="56">
        <v>2015</v>
      </c>
      <c r="F26" s="65">
        <v>2.17</v>
      </c>
      <c r="G26" s="77">
        <v>1.85</v>
      </c>
      <c r="H26" s="77">
        <v>1.68</v>
      </c>
      <c r="I26" s="59">
        <v>1.53</v>
      </c>
      <c r="J26" s="59">
        <v>2.76</v>
      </c>
      <c r="K26" s="59">
        <v>2.56</v>
      </c>
      <c r="L26" s="59">
        <v>2.65</v>
      </c>
      <c r="M26" s="59">
        <v>2.85</v>
      </c>
      <c r="N26" s="59">
        <v>3.3</v>
      </c>
      <c r="O26" s="59">
        <v>1.92</v>
      </c>
      <c r="P26" s="59">
        <v>2.25</v>
      </c>
      <c r="Q26" s="59">
        <v>1.38</v>
      </c>
      <c r="R26" s="60">
        <v>1.31</v>
      </c>
      <c r="S26" s="13">
        <f t="shared" si="1"/>
        <v>2.17</v>
      </c>
      <c r="T26" s="4">
        <f t="shared" ca="1" si="2"/>
        <v>0</v>
      </c>
      <c r="U26" s="4">
        <f t="shared" ca="1" si="3"/>
        <v>122</v>
      </c>
      <c r="V26" s="4">
        <f t="shared" ca="1" si="4"/>
        <v>238</v>
      </c>
      <c r="W26" s="13">
        <f t="shared" ca="1" si="5"/>
        <v>1.7376111111111108</v>
      </c>
      <c r="X26" s="5">
        <f t="shared" ca="1" si="19"/>
        <v>-0.19925755248335908</v>
      </c>
      <c r="Y26" s="15">
        <f t="shared" si="6"/>
        <v>0.17297297297297298</v>
      </c>
      <c r="Z26" s="15">
        <f t="shared" si="7"/>
        <v>0.10119047619047628</v>
      </c>
      <c r="AA26" s="15">
        <f t="shared" si="8"/>
        <v>9.8039215686274384E-2</v>
      </c>
      <c r="AB26" s="15">
        <f t="shared" si="9"/>
        <v>-0.44565217391304346</v>
      </c>
      <c r="AC26" s="15">
        <f t="shared" si="10"/>
        <v>7.8125E-2</v>
      </c>
      <c r="AD26" s="15">
        <f t="shared" si="11"/>
        <v>-3.3962264150943389E-2</v>
      </c>
      <c r="AE26" s="15">
        <f t="shared" si="12"/>
        <v>-7.0175438596491335E-2</v>
      </c>
      <c r="AF26" s="15">
        <f t="shared" si="13"/>
        <v>-0.13636363636363624</v>
      </c>
      <c r="AG26" s="15">
        <f t="shared" si="14"/>
        <v>0.71875</v>
      </c>
      <c r="AH26" s="15">
        <f t="shared" si="15"/>
        <v>-0.14666666666666672</v>
      </c>
      <c r="AI26" s="15">
        <f t="shared" si="16"/>
        <v>0.63043478260869579</v>
      </c>
      <c r="AJ26" s="15">
        <f t="shared" si="17"/>
        <v>5.3435114503816772E-2</v>
      </c>
      <c r="AK26" s="5">
        <f t="shared" si="18"/>
        <v>-0.44565217391304346</v>
      </c>
    </row>
    <row r="27" spans="1:37" x14ac:dyDescent="0.25">
      <c r="A27" t="s">
        <v>44</v>
      </c>
      <c r="B27" t="s">
        <v>45</v>
      </c>
      <c r="C27" s="56">
        <v>31</v>
      </c>
      <c r="D27" s="56">
        <v>12</v>
      </c>
      <c r="E27" s="56">
        <v>2015</v>
      </c>
      <c r="F27" s="65">
        <v>9.64</v>
      </c>
      <c r="G27" s="77">
        <v>10.7</v>
      </c>
      <c r="H27" s="77">
        <v>10.9</v>
      </c>
      <c r="I27" s="59">
        <v>12.74</v>
      </c>
      <c r="J27" s="59">
        <v>12.98</v>
      </c>
      <c r="K27" s="59">
        <v>11.82</v>
      </c>
      <c r="L27" s="59">
        <v>11.01</v>
      </c>
      <c r="M27" s="59">
        <v>11.2</v>
      </c>
      <c r="N27" s="59">
        <v>11</v>
      </c>
      <c r="O27" s="59">
        <v>9.93</v>
      </c>
      <c r="P27" s="59">
        <v>11.57</v>
      </c>
      <c r="Q27" s="59">
        <v>10.93</v>
      </c>
      <c r="R27" s="60">
        <v>10.43</v>
      </c>
      <c r="S27" s="13">
        <f t="shared" si="1"/>
        <v>11.142307692307694</v>
      </c>
      <c r="T27" s="4">
        <f t="shared" ca="1" si="2"/>
        <v>0</v>
      </c>
      <c r="U27" s="4">
        <f t="shared" ca="1" si="3"/>
        <v>122</v>
      </c>
      <c r="V27" s="4">
        <f t="shared" ca="1" si="4"/>
        <v>238</v>
      </c>
      <c r="W27" s="13">
        <f t="shared" ca="1" si="5"/>
        <v>10.832222222222223</v>
      </c>
      <c r="X27" s="5">
        <f t="shared" ca="1" si="19"/>
        <v>-2.7829555478848023E-2</v>
      </c>
      <c r="Y27" s="15">
        <f t="shared" si="6"/>
        <v>-9.9065420560747519E-2</v>
      </c>
      <c r="Z27" s="15">
        <f t="shared" si="7"/>
        <v>-1.8348623853211121E-2</v>
      </c>
      <c r="AA27" s="15">
        <f t="shared" si="8"/>
        <v>-0.14442700156985866</v>
      </c>
      <c r="AB27" s="15">
        <f t="shared" si="9"/>
        <v>-1.8489984591679498E-2</v>
      </c>
      <c r="AC27" s="15">
        <f t="shared" si="10"/>
        <v>9.8138747884940702E-2</v>
      </c>
      <c r="AD27" s="15">
        <f t="shared" si="11"/>
        <v>7.3569482288828425E-2</v>
      </c>
      <c r="AE27" s="15">
        <f t="shared" si="12"/>
        <v>-1.6964285714285654E-2</v>
      </c>
      <c r="AF27" s="15">
        <f t="shared" si="13"/>
        <v>1.8181818181818077E-2</v>
      </c>
      <c r="AG27" s="15">
        <f t="shared" si="14"/>
        <v>0.10775427995971798</v>
      </c>
      <c r="AH27" s="15">
        <f t="shared" si="15"/>
        <v>-0.1417458945548834</v>
      </c>
      <c r="AI27" s="15">
        <f t="shared" si="16"/>
        <v>5.855443732845389E-2</v>
      </c>
      <c r="AJ27" s="15">
        <f t="shared" si="17"/>
        <v>4.7938638542665446E-2</v>
      </c>
      <c r="AK27" s="5">
        <f t="shared" si="18"/>
        <v>-0.14442700156985866</v>
      </c>
    </row>
    <row r="28" spans="1:37" x14ac:dyDescent="0.25">
      <c r="A28" t="s">
        <v>46</v>
      </c>
      <c r="B28" t="s">
        <v>47</v>
      </c>
      <c r="C28" s="56">
        <v>31</v>
      </c>
      <c r="D28" s="56">
        <v>12</v>
      </c>
      <c r="E28" s="56">
        <v>2015</v>
      </c>
      <c r="F28" s="65">
        <v>32.299999999999997</v>
      </c>
      <c r="G28" s="77">
        <v>25.5</v>
      </c>
      <c r="H28" s="77">
        <v>19.2</v>
      </c>
      <c r="I28" s="59">
        <v>12.13</v>
      </c>
      <c r="J28" s="59">
        <v>21.75</v>
      </c>
      <c r="K28" s="59">
        <v>16.989999999999998</v>
      </c>
      <c r="L28" s="59">
        <v>17.399999999999999</v>
      </c>
      <c r="M28" s="59">
        <v>19</v>
      </c>
      <c r="N28" s="59">
        <v>17.43</v>
      </c>
      <c r="O28" s="59">
        <v>10.06</v>
      </c>
      <c r="P28" s="59">
        <v>20.55</v>
      </c>
      <c r="Q28" s="59">
        <v>18.920000000000002</v>
      </c>
      <c r="R28" s="60">
        <v>21.03</v>
      </c>
      <c r="S28" s="13">
        <f t="shared" si="1"/>
        <v>19.404615384615386</v>
      </c>
      <c r="T28" s="4">
        <f t="shared" ca="1" si="2"/>
        <v>0</v>
      </c>
      <c r="U28" s="4">
        <f t="shared" ca="1" si="3"/>
        <v>122</v>
      </c>
      <c r="V28" s="4">
        <f t="shared" ca="1" si="4"/>
        <v>238</v>
      </c>
      <c r="W28" s="13">
        <f t="shared" ca="1" si="5"/>
        <v>21.335000000000001</v>
      </c>
      <c r="X28" s="5">
        <f t="shared" ca="1" si="19"/>
        <v>9.9480694521525415E-2</v>
      </c>
      <c r="Y28" s="15">
        <f t="shared" si="6"/>
        <v>0.26666666666666661</v>
      </c>
      <c r="Z28" s="15">
        <f t="shared" si="7"/>
        <v>0.328125</v>
      </c>
      <c r="AA28" s="15">
        <f t="shared" si="8"/>
        <v>0.58285243198680936</v>
      </c>
      <c r="AB28" s="15">
        <f t="shared" si="9"/>
        <v>-0.44229885057471263</v>
      </c>
      <c r="AC28" s="15">
        <f t="shared" si="10"/>
        <v>0.28016480282519152</v>
      </c>
      <c r="AD28" s="15">
        <f t="shared" si="11"/>
        <v>-2.3563218390804552E-2</v>
      </c>
      <c r="AE28" s="15">
        <f t="shared" si="12"/>
        <v>-8.4210526315789513E-2</v>
      </c>
      <c r="AF28" s="15">
        <f t="shared" si="13"/>
        <v>9.0074584050487738E-2</v>
      </c>
      <c r="AG28" s="15">
        <f t="shared" si="14"/>
        <v>0.73260437375745524</v>
      </c>
      <c r="AH28" s="15">
        <f t="shared" si="15"/>
        <v>-0.51046228710462294</v>
      </c>
      <c r="AI28" s="15">
        <f t="shared" si="16"/>
        <v>8.6152219873150138E-2</v>
      </c>
      <c r="AJ28" s="15">
        <f t="shared" si="17"/>
        <v>-0.10033285782215884</v>
      </c>
      <c r="AK28" s="5">
        <f t="shared" si="18"/>
        <v>-0.51046228710462294</v>
      </c>
    </row>
    <row r="29" spans="1:37" x14ac:dyDescent="0.25">
      <c r="A29" t="s">
        <v>48</v>
      </c>
      <c r="B29" t="s">
        <v>49</v>
      </c>
      <c r="C29" s="56">
        <v>31</v>
      </c>
      <c r="D29" s="56">
        <v>12</v>
      </c>
      <c r="E29" s="56">
        <v>2015</v>
      </c>
      <c r="F29" s="65">
        <v>34.9</v>
      </c>
      <c r="G29" s="77">
        <v>29.8</v>
      </c>
      <c r="H29" s="77">
        <v>26.7</v>
      </c>
      <c r="I29" s="59">
        <v>25.06</v>
      </c>
      <c r="J29" s="59">
        <v>26.25</v>
      </c>
      <c r="K29" s="59">
        <v>23.33</v>
      </c>
      <c r="L29" s="59">
        <v>20.95</v>
      </c>
      <c r="M29" s="59">
        <v>20.66</v>
      </c>
      <c r="N29" s="59">
        <v>18.37</v>
      </c>
      <c r="O29" s="59">
        <v>15.35</v>
      </c>
      <c r="P29" s="59">
        <v>15.25</v>
      </c>
      <c r="Q29" s="59">
        <v>13.59</v>
      </c>
      <c r="R29" s="60">
        <v>12.73</v>
      </c>
      <c r="S29" s="13">
        <f t="shared" si="1"/>
        <v>21.764615384615386</v>
      </c>
      <c r="T29" s="4">
        <f t="shared" ca="1" si="2"/>
        <v>0</v>
      </c>
      <c r="U29" s="4">
        <f t="shared" ca="1" si="3"/>
        <v>122</v>
      </c>
      <c r="V29" s="4">
        <f t="shared" ca="1" si="4"/>
        <v>238</v>
      </c>
      <c r="W29" s="13">
        <f t="shared" ca="1" si="5"/>
        <v>27.750555555555554</v>
      </c>
      <c r="X29" s="5">
        <f t="shared" ca="1" si="19"/>
        <v>0.27503082710900606</v>
      </c>
      <c r="Y29" s="15">
        <f t="shared" si="6"/>
        <v>0.17114093959731536</v>
      </c>
      <c r="Z29" s="15">
        <f t="shared" si="7"/>
        <v>0.11610486891385774</v>
      </c>
      <c r="AA29" s="15">
        <f t="shared" si="8"/>
        <v>6.5442936951316755E-2</v>
      </c>
      <c r="AB29" s="15">
        <f t="shared" si="9"/>
        <v>-4.5333333333333337E-2</v>
      </c>
      <c r="AC29" s="15">
        <f t="shared" si="10"/>
        <v>0.12516073724817844</v>
      </c>
      <c r="AD29" s="15">
        <f t="shared" si="11"/>
        <v>0.11360381861575175</v>
      </c>
      <c r="AE29" s="15">
        <f t="shared" si="12"/>
        <v>1.4036786060019235E-2</v>
      </c>
      <c r="AF29" s="15">
        <f t="shared" si="13"/>
        <v>0.1246597713663582</v>
      </c>
      <c r="AG29" s="15">
        <f t="shared" si="14"/>
        <v>0.19674267100977216</v>
      </c>
      <c r="AH29" s="15">
        <f t="shared" si="15"/>
        <v>6.5573770491802463E-3</v>
      </c>
      <c r="AI29" s="15">
        <f t="shared" si="16"/>
        <v>0.1221486387049302</v>
      </c>
      <c r="AJ29" s="15">
        <f t="shared" si="17"/>
        <v>6.7556952081696764E-2</v>
      </c>
      <c r="AK29" s="5">
        <f t="shared" si="18"/>
        <v>-4.5333333333333337E-2</v>
      </c>
    </row>
    <row r="30" spans="1:37" x14ac:dyDescent="0.25">
      <c r="A30" t="s">
        <v>50</v>
      </c>
      <c r="B30" t="s">
        <v>51</v>
      </c>
      <c r="C30" s="56">
        <v>31</v>
      </c>
      <c r="D30" s="56">
        <v>12</v>
      </c>
      <c r="E30" s="56">
        <v>2015</v>
      </c>
      <c r="F30" s="65">
        <v>8.57</v>
      </c>
      <c r="G30" s="77">
        <v>8.4700000000000006</v>
      </c>
      <c r="H30" s="77">
        <v>7.7</v>
      </c>
      <c r="I30" s="59">
        <v>7.43</v>
      </c>
      <c r="J30" s="59">
        <v>8.6999999999999993</v>
      </c>
      <c r="K30" s="59">
        <v>6.02</v>
      </c>
      <c r="L30" s="61">
        <v>4.9800000000000004</v>
      </c>
      <c r="M30" s="61">
        <v>5.125</v>
      </c>
      <c r="N30" s="61">
        <v>4.3775000000000004</v>
      </c>
      <c r="O30" s="61">
        <v>3.7949999999999999</v>
      </c>
      <c r="P30" s="59"/>
      <c r="Q30" s="59"/>
      <c r="R30" s="60"/>
      <c r="S30" s="13">
        <f t="shared" si="1"/>
        <v>6.51675</v>
      </c>
      <c r="T30" s="4">
        <f t="shared" ca="1" si="2"/>
        <v>0</v>
      </c>
      <c r="U30" s="4">
        <f t="shared" ca="1" si="3"/>
        <v>122</v>
      </c>
      <c r="V30" s="4">
        <f t="shared" ca="1" si="4"/>
        <v>238</v>
      </c>
      <c r="W30" s="13">
        <f t="shared" ca="1" si="5"/>
        <v>7.9609444444444444</v>
      </c>
      <c r="X30" s="5">
        <f t="shared" ca="1" si="19"/>
        <v>0.22161268184976324</v>
      </c>
      <c r="Y30" s="15">
        <f t="shared" si="6"/>
        <v>1.1806375442739103E-2</v>
      </c>
      <c r="Z30" s="15">
        <f t="shared" si="7"/>
        <v>0.10000000000000009</v>
      </c>
      <c r="AA30" s="15">
        <f t="shared" si="8"/>
        <v>3.6339165545087537E-2</v>
      </c>
      <c r="AB30" s="15">
        <f t="shared" si="9"/>
        <v>-0.1459770114942528</v>
      </c>
      <c r="AC30" s="15">
        <f t="shared" si="10"/>
        <v>0.44518272425249172</v>
      </c>
      <c r="AD30" s="15">
        <f t="shared" si="11"/>
        <v>0.20883534136546156</v>
      </c>
      <c r="AE30" s="15">
        <f t="shared" si="12"/>
        <v>-2.8292682926829182E-2</v>
      </c>
      <c r="AF30" s="15">
        <f t="shared" si="13"/>
        <v>0.17075956596230712</v>
      </c>
      <c r="AG30" s="15">
        <f t="shared" si="14"/>
        <v>0.15349143610013183</v>
      </c>
      <c r="AH30" s="15">
        <f t="shared" si="15"/>
        <v>99.999989999999997</v>
      </c>
      <c r="AI30" s="15">
        <f t="shared" si="16"/>
        <v>99.999989999999997</v>
      </c>
      <c r="AJ30" s="15">
        <f t="shared" si="17"/>
        <v>99.999989999999997</v>
      </c>
      <c r="AK30" s="5">
        <f t="shared" si="18"/>
        <v>-0.1459770114942528</v>
      </c>
    </row>
    <row r="31" spans="1:37" x14ac:dyDescent="0.25">
      <c r="A31" t="s">
        <v>52</v>
      </c>
      <c r="B31" t="s">
        <v>53</v>
      </c>
      <c r="C31" s="56">
        <v>31</v>
      </c>
      <c r="D31" s="56">
        <v>12</v>
      </c>
      <c r="E31" s="56">
        <v>2015</v>
      </c>
      <c r="F31" s="65">
        <v>10.6</v>
      </c>
      <c r="G31" s="77">
        <v>11.3</v>
      </c>
      <c r="H31" s="77">
        <v>12</v>
      </c>
      <c r="I31" s="59">
        <v>13.35</v>
      </c>
      <c r="J31" s="59">
        <v>16.16</v>
      </c>
      <c r="K31" s="59">
        <v>15.25</v>
      </c>
      <c r="L31" s="59">
        <v>14.09</v>
      </c>
      <c r="M31" s="59">
        <v>13.89</v>
      </c>
      <c r="N31" s="59">
        <v>12.67</v>
      </c>
      <c r="O31" s="59">
        <v>12</v>
      </c>
      <c r="P31" s="59">
        <v>13.11</v>
      </c>
      <c r="Q31" s="59">
        <v>12.84</v>
      </c>
      <c r="R31" s="60">
        <v>11.99</v>
      </c>
      <c r="S31" s="13">
        <f t="shared" si="1"/>
        <v>13.019230769230772</v>
      </c>
      <c r="T31" s="4">
        <f t="shared" ca="1" si="2"/>
        <v>0</v>
      </c>
      <c r="U31" s="4">
        <f t="shared" ca="1" si="3"/>
        <v>122</v>
      </c>
      <c r="V31" s="4">
        <f t="shared" ca="1" si="4"/>
        <v>238</v>
      </c>
      <c r="W31" s="13">
        <f t="shared" ca="1" si="5"/>
        <v>11.762777777777778</v>
      </c>
      <c r="X31" s="5">
        <f t="shared" ca="1" si="19"/>
        <v>-9.6507467585754347E-2</v>
      </c>
      <c r="Y31" s="15">
        <f t="shared" si="6"/>
        <v>-6.1946902654867353E-2</v>
      </c>
      <c r="Z31" s="15">
        <f t="shared" si="7"/>
        <v>-5.8333333333333237E-2</v>
      </c>
      <c r="AA31" s="15">
        <f t="shared" si="8"/>
        <v>-0.101123595505618</v>
      </c>
      <c r="AB31" s="15">
        <f t="shared" si="9"/>
        <v>-0.17388613861386137</v>
      </c>
      <c r="AC31" s="15">
        <f t="shared" si="10"/>
        <v>5.9672131147540997E-2</v>
      </c>
      <c r="AD31" s="15">
        <f t="shared" si="11"/>
        <v>8.2327892122072477E-2</v>
      </c>
      <c r="AE31" s="15">
        <f t="shared" si="12"/>
        <v>1.4398848092152639E-2</v>
      </c>
      <c r="AF31" s="15">
        <f t="shared" si="13"/>
        <v>9.6290449881610174E-2</v>
      </c>
      <c r="AG31" s="15">
        <f t="shared" si="14"/>
        <v>5.5833333333333401E-2</v>
      </c>
      <c r="AH31" s="15">
        <f t="shared" si="15"/>
        <v>-8.4668192219679583E-2</v>
      </c>
      <c r="AI31" s="15">
        <f t="shared" si="16"/>
        <v>2.1028037383177489E-2</v>
      </c>
      <c r="AJ31" s="15">
        <f t="shared" si="17"/>
        <v>7.0892410341951706E-2</v>
      </c>
      <c r="AK31" s="5">
        <f t="shared" si="18"/>
        <v>-0.17388613861386137</v>
      </c>
    </row>
    <row r="32" spans="1:37" x14ac:dyDescent="0.25">
      <c r="A32" t="s">
        <v>54</v>
      </c>
      <c r="B32" t="s">
        <v>55</v>
      </c>
      <c r="C32" s="56">
        <v>31</v>
      </c>
      <c r="D32" s="56">
        <v>12</v>
      </c>
      <c r="E32" s="56">
        <v>2015</v>
      </c>
      <c r="F32" s="65">
        <v>16.600000000000001</v>
      </c>
      <c r="G32" s="77">
        <v>16.8</v>
      </c>
      <c r="H32" s="77">
        <v>16.8</v>
      </c>
      <c r="I32" s="59">
        <v>17.14</v>
      </c>
      <c r="J32" s="59">
        <v>17</v>
      </c>
      <c r="K32" s="59">
        <v>17.52</v>
      </c>
      <c r="L32" s="59">
        <v>17.93</v>
      </c>
      <c r="M32" s="59">
        <v>17.64</v>
      </c>
      <c r="N32" s="59">
        <v>19</v>
      </c>
      <c r="O32" s="61"/>
      <c r="P32" s="61"/>
      <c r="Q32" s="61"/>
      <c r="R32" s="62"/>
      <c r="S32" s="13">
        <f t="shared" si="1"/>
        <v>17.38111111111111</v>
      </c>
      <c r="T32" s="4">
        <f t="shared" ca="1" si="2"/>
        <v>0</v>
      </c>
      <c r="U32" s="4">
        <f t="shared" ca="1" si="3"/>
        <v>122</v>
      </c>
      <c r="V32" s="4">
        <f t="shared" ca="1" si="4"/>
        <v>238</v>
      </c>
      <c r="W32" s="13">
        <f t="shared" ca="1" si="5"/>
        <v>16.8</v>
      </c>
      <c r="X32" s="5">
        <f t="shared" ca="1" si="19"/>
        <v>-3.3433484625711052E-2</v>
      </c>
      <c r="Y32" s="15">
        <f t="shared" si="6"/>
        <v>-1.1904761904761862E-2</v>
      </c>
      <c r="Z32" s="15">
        <f t="shared" si="7"/>
        <v>0</v>
      </c>
      <c r="AA32" s="15">
        <f t="shared" si="8"/>
        <v>-1.9836639439906656E-2</v>
      </c>
      <c r="AB32" s="15">
        <f t="shared" si="9"/>
        <v>8.2352941176471184E-3</v>
      </c>
      <c r="AC32" s="15">
        <f t="shared" si="10"/>
        <v>-2.9680365296803624E-2</v>
      </c>
      <c r="AD32" s="15">
        <f t="shared" si="11"/>
        <v>-2.2866703848298919E-2</v>
      </c>
      <c r="AE32" s="15">
        <f t="shared" si="12"/>
        <v>1.6439909297052191E-2</v>
      </c>
      <c r="AF32" s="15">
        <f t="shared" si="13"/>
        <v>-7.1578947368421075E-2</v>
      </c>
      <c r="AG32" s="15">
        <f t="shared" si="14"/>
        <v>99.999989999999997</v>
      </c>
      <c r="AH32" s="15">
        <f t="shared" si="15"/>
        <v>99.999989999999997</v>
      </c>
      <c r="AI32" s="15">
        <f t="shared" si="16"/>
        <v>99.999989999999997</v>
      </c>
      <c r="AJ32" s="15">
        <f t="shared" si="17"/>
        <v>99.999989999999997</v>
      </c>
      <c r="AK32" s="5">
        <f t="shared" si="18"/>
        <v>-7.1578947368421075E-2</v>
      </c>
    </row>
    <row r="33" spans="1:37" x14ac:dyDescent="0.25">
      <c r="A33" t="s">
        <v>56</v>
      </c>
      <c r="B33" t="s">
        <v>57</v>
      </c>
      <c r="C33" s="56">
        <v>30</v>
      </c>
      <c r="D33" s="56">
        <v>6</v>
      </c>
      <c r="E33" s="56">
        <v>2015</v>
      </c>
      <c r="F33" s="65">
        <v>13.4</v>
      </c>
      <c r="G33" s="77">
        <v>12.8</v>
      </c>
      <c r="H33" s="77">
        <v>11.7</v>
      </c>
      <c r="I33" s="59">
        <v>10.9</v>
      </c>
      <c r="J33" s="59">
        <v>9.48</v>
      </c>
      <c r="K33" s="59">
        <v>7.92</v>
      </c>
      <c r="L33" s="59">
        <v>6.82</v>
      </c>
      <c r="M33" s="59">
        <v>5.33</v>
      </c>
      <c r="N33" s="59">
        <v>4.4400000000000004</v>
      </c>
      <c r="O33" s="59">
        <v>3.97</v>
      </c>
      <c r="P33" s="59">
        <v>3.32</v>
      </c>
      <c r="Q33" s="59">
        <v>3.99</v>
      </c>
      <c r="R33" s="60">
        <v>4.49</v>
      </c>
      <c r="S33" s="13">
        <f t="shared" si="1"/>
        <v>7.5815384615384609</v>
      </c>
      <c r="T33" s="4">
        <f t="shared" ca="1" si="2"/>
        <v>0</v>
      </c>
      <c r="U33" s="4">
        <f t="shared" ca="1" si="3"/>
        <v>303</v>
      </c>
      <c r="V33" s="4">
        <f t="shared" ca="1" si="4"/>
        <v>57</v>
      </c>
      <c r="W33" s="13">
        <f t="shared" ca="1" si="5"/>
        <v>12.625833333333333</v>
      </c>
      <c r="X33" s="5">
        <f t="shared" ca="1" si="19"/>
        <v>0.66533921807359309</v>
      </c>
      <c r="Y33" s="15">
        <f t="shared" si="6"/>
        <v>4.6875E-2</v>
      </c>
      <c r="Z33" s="15">
        <f t="shared" si="7"/>
        <v>9.4017094017094127E-2</v>
      </c>
      <c r="AA33" s="15">
        <f t="shared" si="8"/>
        <v>7.3394495412844041E-2</v>
      </c>
      <c r="AB33" s="15">
        <f t="shared" si="9"/>
        <v>0.14978902953586504</v>
      </c>
      <c r="AC33" s="15">
        <f t="shared" si="10"/>
        <v>0.19696969696969702</v>
      </c>
      <c r="AD33" s="15">
        <f t="shared" si="11"/>
        <v>0.16129032258064502</v>
      </c>
      <c r="AE33" s="15">
        <f t="shared" si="12"/>
        <v>0.27954971857410893</v>
      </c>
      <c r="AF33" s="15">
        <f t="shared" si="13"/>
        <v>0.20045045045045029</v>
      </c>
      <c r="AG33" s="15">
        <f t="shared" si="14"/>
        <v>0.1183879093198994</v>
      </c>
      <c r="AH33" s="15">
        <f t="shared" si="15"/>
        <v>0.1957831325301207</v>
      </c>
      <c r="AI33" s="15">
        <f t="shared" si="16"/>
        <v>-0.16791979949874691</v>
      </c>
      <c r="AJ33" s="15">
        <f t="shared" si="17"/>
        <v>-0.11135857461024501</v>
      </c>
      <c r="AK33" s="5">
        <f t="shared" si="18"/>
        <v>-0.16791979949874691</v>
      </c>
    </row>
    <row r="34" spans="1:37" x14ac:dyDescent="0.25">
      <c r="A34" t="s">
        <v>58</v>
      </c>
      <c r="B34" t="s">
        <v>59</v>
      </c>
      <c r="C34" s="56">
        <v>31</v>
      </c>
      <c r="D34" s="56">
        <v>12</v>
      </c>
      <c r="E34" s="56">
        <v>2015</v>
      </c>
      <c r="F34" s="65">
        <v>17.8</v>
      </c>
      <c r="G34" s="77">
        <v>17.2</v>
      </c>
      <c r="H34" s="77">
        <v>16.2</v>
      </c>
      <c r="I34" s="59">
        <v>16.68</v>
      </c>
      <c r="J34" s="59">
        <v>18.98</v>
      </c>
      <c r="K34" s="59">
        <v>18.12</v>
      </c>
      <c r="L34" s="61">
        <v>14.940000000000001</v>
      </c>
      <c r="M34" s="61">
        <v>15.375</v>
      </c>
      <c r="N34" s="61">
        <v>13.1325</v>
      </c>
      <c r="O34" s="61">
        <v>11.385</v>
      </c>
      <c r="P34" s="59"/>
      <c r="Q34" s="59"/>
      <c r="R34" s="60"/>
      <c r="S34" s="13">
        <f t="shared" si="1"/>
        <v>15.981249999999999</v>
      </c>
      <c r="T34" s="4">
        <f t="shared" ca="1" si="2"/>
        <v>0</v>
      </c>
      <c r="U34" s="4">
        <f t="shared" ca="1" si="3"/>
        <v>122</v>
      </c>
      <c r="V34" s="4">
        <f t="shared" ca="1" si="4"/>
        <v>238</v>
      </c>
      <c r="W34" s="13">
        <f t="shared" ca="1" si="5"/>
        <v>16.538888888888888</v>
      </c>
      <c r="X34" s="5">
        <f t="shared" ca="1" si="19"/>
        <v>3.4893321166297397E-2</v>
      </c>
      <c r="Y34" s="15">
        <f t="shared" si="6"/>
        <v>3.488372093023262E-2</v>
      </c>
      <c r="Z34" s="15">
        <f t="shared" si="7"/>
        <v>6.1728395061728447E-2</v>
      </c>
      <c r="AA34" s="15">
        <f t="shared" si="8"/>
        <v>-2.877697841726623E-2</v>
      </c>
      <c r="AB34" s="15">
        <f t="shared" si="9"/>
        <v>-0.12118018967334043</v>
      </c>
      <c r="AC34" s="15">
        <f t="shared" si="10"/>
        <v>4.7461368653421543E-2</v>
      </c>
      <c r="AD34" s="15">
        <f t="shared" si="11"/>
        <v>0.21285140562248994</v>
      </c>
      <c r="AE34" s="15">
        <f t="shared" si="12"/>
        <v>-2.8292682926829182E-2</v>
      </c>
      <c r="AF34" s="15">
        <f t="shared" si="13"/>
        <v>0.17075956596230712</v>
      </c>
      <c r="AG34" s="15">
        <f t="shared" si="14"/>
        <v>0.15349143610013183</v>
      </c>
      <c r="AH34" s="15">
        <f t="shared" si="15"/>
        <v>99.999989999999997</v>
      </c>
      <c r="AI34" s="15">
        <f t="shared" si="16"/>
        <v>99.999989999999997</v>
      </c>
      <c r="AJ34" s="15">
        <f t="shared" si="17"/>
        <v>99.999989999999997</v>
      </c>
      <c r="AK34" s="5">
        <f t="shared" si="18"/>
        <v>-0.12118018967334043</v>
      </c>
    </row>
    <row r="35" spans="1:37" x14ac:dyDescent="0.25">
      <c r="A35" t="s">
        <v>60</v>
      </c>
      <c r="B35" t="s">
        <v>61</v>
      </c>
      <c r="C35" s="56">
        <v>31</v>
      </c>
      <c r="D35" s="56">
        <v>8</v>
      </c>
      <c r="E35" s="56">
        <v>2015</v>
      </c>
      <c r="F35" s="65">
        <v>20.7</v>
      </c>
      <c r="G35" s="77">
        <v>17.5</v>
      </c>
      <c r="H35" s="77">
        <v>16.100000000000001</v>
      </c>
      <c r="I35" s="59">
        <v>16.23</v>
      </c>
      <c r="J35" s="59">
        <v>23.74</v>
      </c>
      <c r="K35" s="59">
        <v>22.14</v>
      </c>
      <c r="L35" s="59">
        <v>21.57</v>
      </c>
      <c r="M35" s="59">
        <v>18.690000000000001</v>
      </c>
      <c r="N35" s="59">
        <v>18.420000000000002</v>
      </c>
      <c r="O35" s="59">
        <v>17.09</v>
      </c>
      <c r="P35" s="59">
        <v>13.75</v>
      </c>
      <c r="Q35" s="59">
        <v>12.01</v>
      </c>
      <c r="R35" s="60">
        <v>10.46</v>
      </c>
      <c r="S35" s="13">
        <f t="shared" si="1"/>
        <v>17.569230769230767</v>
      </c>
      <c r="T35" s="4">
        <f t="shared" ca="1" si="2"/>
        <v>0</v>
      </c>
      <c r="U35" s="4">
        <f t="shared" ca="1" si="3"/>
        <v>242</v>
      </c>
      <c r="V35" s="4">
        <f t="shared" ca="1" si="4"/>
        <v>118</v>
      </c>
      <c r="W35" s="13">
        <f t="shared" ca="1" si="5"/>
        <v>17.041111111111114</v>
      </c>
      <c r="X35" s="5">
        <f t="shared" ca="1" si="19"/>
        <v>-3.0059350068106339E-2</v>
      </c>
      <c r="Y35" s="15">
        <f t="shared" si="6"/>
        <v>0.18285714285714283</v>
      </c>
      <c r="Z35" s="15">
        <f t="shared" si="7"/>
        <v>8.6956521739130377E-2</v>
      </c>
      <c r="AA35" s="15">
        <f t="shared" si="8"/>
        <v>-8.0098582871225288E-3</v>
      </c>
      <c r="AB35" s="15">
        <f t="shared" si="9"/>
        <v>-0.31634372367312547</v>
      </c>
      <c r="AC35" s="15">
        <f t="shared" si="10"/>
        <v>7.2267389340559873E-2</v>
      </c>
      <c r="AD35" s="15">
        <f t="shared" si="11"/>
        <v>2.6425591098748313E-2</v>
      </c>
      <c r="AE35" s="15">
        <f t="shared" si="12"/>
        <v>0.1540930979133226</v>
      </c>
      <c r="AF35" s="15">
        <f t="shared" si="13"/>
        <v>1.4657980456026065E-2</v>
      </c>
      <c r="AG35" s="15">
        <f t="shared" si="14"/>
        <v>7.7823288472791186E-2</v>
      </c>
      <c r="AH35" s="15">
        <f t="shared" si="15"/>
        <v>0.24290909090909096</v>
      </c>
      <c r="AI35" s="15">
        <f t="shared" si="16"/>
        <v>0.14487926727726896</v>
      </c>
      <c r="AJ35" s="15">
        <f t="shared" si="17"/>
        <v>0.14818355640535352</v>
      </c>
      <c r="AK35" s="5">
        <f t="shared" si="18"/>
        <v>-0.31634372367312547</v>
      </c>
    </row>
    <row r="36" spans="1:37" x14ac:dyDescent="0.25">
      <c r="A36" t="s">
        <v>62</v>
      </c>
      <c r="B36" t="s">
        <v>63</v>
      </c>
      <c r="C36" s="56">
        <v>31</v>
      </c>
      <c r="D36" s="56">
        <v>5</v>
      </c>
      <c r="E36" s="56">
        <v>2015</v>
      </c>
      <c r="F36" s="65">
        <v>13.8</v>
      </c>
      <c r="G36" s="77">
        <v>12.3</v>
      </c>
      <c r="H36" s="77">
        <v>11</v>
      </c>
      <c r="I36" s="59">
        <v>10.5</v>
      </c>
      <c r="J36" s="59">
        <v>9.61</v>
      </c>
      <c r="K36" s="59">
        <v>8.91</v>
      </c>
      <c r="L36" s="59">
        <v>7.85</v>
      </c>
      <c r="M36" s="59">
        <v>6.13</v>
      </c>
      <c r="N36" s="59">
        <v>5.01</v>
      </c>
      <c r="O36" s="59">
        <v>4.47</v>
      </c>
      <c r="P36" s="59">
        <v>3.31</v>
      </c>
      <c r="Q36" s="59">
        <v>2.87</v>
      </c>
      <c r="R36" s="60">
        <v>2.11</v>
      </c>
      <c r="S36" s="13">
        <f t="shared" ref="S36:S102" si="20">AVERAGE(F36:R36)</f>
        <v>7.5284615384615385</v>
      </c>
      <c r="T36" s="4">
        <f t="shared" ref="T36:T102" ca="1" si="21">IF(DAYS360(TODAY(),DATE(E36+2,D36,C36))&gt;=720,0,360-U36)</f>
        <v>0</v>
      </c>
      <c r="U36" s="4">
        <f t="shared" ref="U36:U102" ca="1" si="22">IF(DAYS360(TODAY(),DATE(E36+1,D36,C36))&lt;=360,DAYS360(TODAY(),DATE(E36+1,D36,C36)),360-V36)</f>
        <v>332</v>
      </c>
      <c r="V36" s="4">
        <f t="shared" ref="V36:V103" ca="1" si="23">IF(DATE(E36,D36,C36)&lt;=TODAY(),0,DAYS360(TODAY(),DATE(E36,D36,C36)))</f>
        <v>28</v>
      </c>
      <c r="W36" s="13">
        <f t="shared" ref="W36:W102" ca="1" si="24">(F36/360*T36)+(G36/360*U36)+(H36/360*V36)</f>
        <v>12.198888888888892</v>
      </c>
      <c r="X36" s="5">
        <f t="shared" ca="1" si="19"/>
        <v>0.62036942429299669</v>
      </c>
      <c r="Y36" s="15">
        <f t="shared" ref="Y36:Y103" si="25">IF(F36&lt;&gt;"",IF(G36&lt;&gt;"",IF(F36&lt;0,IF(G36&lt;0,((F36/G36)-1)*-1,(F36/G36)-1),IF(G36&lt;0,ABS((F36/G36)-1),(F36/G36)-1))),99.99999)</f>
        <v>0.12195121951219501</v>
      </c>
      <c r="Z36" s="15">
        <f t="shared" ref="Z36:Z103" si="26">IF(H36&lt;&gt;"",IF(G36&lt;0,IF(H36&lt;0,((G36/H36)-1)*-1,(G36/H36)-1),IF(H36&lt;0,ABS((G36/H36)-1),(G36/H36)-1)),99.99999)</f>
        <v>0.11818181818181817</v>
      </c>
      <c r="AA36" s="15">
        <f t="shared" ref="AA36:AA103" si="27">IF(I36&lt;&gt;"",IF(H36&lt;0,IF(I36&lt;0,((H36/I36)-1)*-1,(H36/I36)-1),IF(I36&lt;0,ABS((H36/I36)-1),(H36/I36)-1)),99.99999)</f>
        <v>4.7619047619047672E-2</v>
      </c>
      <c r="AB36" s="15">
        <f t="shared" ref="AB36:AB103" si="28">IF(J36&lt;&gt;"",IF(I36&lt;0,IF(J36&lt;0,((I36/J36)-1)*-1,(I36/J36)-1),IF(J36&lt;0,ABS((I36/J36)-1),(I36/J36)-1)),99.99999)</f>
        <v>9.26118626430803E-2</v>
      </c>
      <c r="AC36" s="15">
        <f t="shared" ref="AC36:AC103" si="29">IF(K36&lt;&gt;"",IF(J36&lt;0,IF(K36&lt;0,((J36/K36)-1)*-1,(J36/K36)-1),IF(K36&lt;0,ABS((J36/K36)-1),(J36/K36)-1)),99.99999)</f>
        <v>7.8563411896745095E-2</v>
      </c>
      <c r="AD36" s="15">
        <f t="shared" ref="AD36:AD103" si="30">IF(L36&lt;&gt;"",IF(K36&lt;0,IF(L36&lt;0,((K36/L36)-1)*-1,(K36/L36)-1),IF(L36&lt;0,ABS((K36/L36)-1),(K36/L36)-1)),99.99999)</f>
        <v>0.13503184713375793</v>
      </c>
      <c r="AE36" s="15">
        <f t="shared" ref="AE36:AE103" si="31">IF(M36&lt;&gt;"",IF(L36&lt;0,IF(M36&lt;0,((L36/M36)-1)*-1,(L36/M36)-1),IF(M36&lt;0,ABS((L36/M36)-1),(L36/M36)-1)),99.99999)</f>
        <v>0.28058727569331166</v>
      </c>
      <c r="AF36" s="15">
        <f t="shared" ref="AF36:AF103" si="32">IF(N36&lt;&gt;"",IF(M36&lt;0,IF(N36&lt;0,((M36/N36)-1)*-1,(M36/N36)-1),IF(N36&lt;0,ABS((M36/N36)-1),(M36/N36)-1)),99.99999)</f>
        <v>0.22355289421157698</v>
      </c>
      <c r="AG36" s="15">
        <f t="shared" ref="AG36:AG103" si="33">IF(O36&lt;&gt;"",IF(N36&lt;0,IF(O36&lt;0,((N36/O36)-1)*-1,(N36/O36)-1),IF(O36&lt;0,ABS((N36/O36)-1),(N36/O36)-1)),99.99999)</f>
        <v>0.12080536912751683</v>
      </c>
      <c r="AH36" s="15">
        <f t="shared" ref="AH36:AH103" si="34">IF(P36&lt;&gt;"",IF(O36&lt;0,IF(P36&lt;0,((O36/P36)-1)*-1,(O36/P36)-1),IF(P36&lt;0,ABS((O36/P36)-1),(O36/P36)-1)),99.99999)</f>
        <v>0.35045317220543803</v>
      </c>
      <c r="AI36" s="15">
        <f t="shared" ref="AI36:AI103" si="35">IF(Q36&lt;&gt;"",IF(P36&lt;0,IF(Q36&lt;0,((P36/Q36)-1)*-1,(P36/Q36)-1),IF(Q36&lt;0,ABS((P36/Q36)-1),(P36/Q36)-1)),99.99999)</f>
        <v>0.1533101045296168</v>
      </c>
      <c r="AJ36" s="15">
        <f t="shared" ref="AJ36:AJ103" si="36">IF(R36&lt;&gt;"",IF(Q36&lt;0,IF(R36&lt;0,((Q36/R36)-1)*-1,(Q36/R36)-1),IF(R36&lt;0,ABS((Q36/R36)-1),(Q36/R36)-1)),99.99999)</f>
        <v>0.36018957345971581</v>
      </c>
      <c r="AK36" s="5">
        <f t="shared" ref="AK36:AK102" si="37">MIN(Y36:AJ36)</f>
        <v>4.7619047619047672E-2</v>
      </c>
    </row>
    <row r="37" spans="1:37" x14ac:dyDescent="0.25">
      <c r="A37" t="s">
        <v>64</v>
      </c>
      <c r="B37" t="s">
        <v>65</v>
      </c>
      <c r="C37" s="56">
        <v>31</v>
      </c>
      <c r="D37" s="56">
        <v>12</v>
      </c>
      <c r="E37" s="56">
        <v>2015</v>
      </c>
      <c r="F37" s="65">
        <v>11.5</v>
      </c>
      <c r="G37" s="77">
        <v>10.9</v>
      </c>
      <c r="H37" s="77">
        <v>10.9</v>
      </c>
      <c r="I37" s="59">
        <v>11.93</v>
      </c>
      <c r="J37" s="59">
        <v>16.100000000000001</v>
      </c>
      <c r="K37" s="59">
        <v>14.6</v>
      </c>
      <c r="L37" s="59">
        <v>13.44</v>
      </c>
      <c r="M37" s="59">
        <v>13.65</v>
      </c>
      <c r="N37" s="59">
        <v>11.21</v>
      </c>
      <c r="O37" s="59">
        <v>7.86</v>
      </c>
      <c r="P37" s="59">
        <v>10.79</v>
      </c>
      <c r="Q37" s="59">
        <v>9.43</v>
      </c>
      <c r="R37" s="60">
        <v>8.65</v>
      </c>
      <c r="S37" s="13">
        <f t="shared" si="20"/>
        <v>11.612307692307693</v>
      </c>
      <c r="T37" s="4">
        <f t="shared" ca="1" si="21"/>
        <v>0</v>
      </c>
      <c r="U37" s="4">
        <f t="shared" ca="1" si="22"/>
        <v>122</v>
      </c>
      <c r="V37" s="4">
        <f t="shared" ca="1" si="23"/>
        <v>238</v>
      </c>
      <c r="W37" s="13">
        <f t="shared" ca="1" si="24"/>
        <v>10.9</v>
      </c>
      <c r="X37" s="5">
        <f t="shared" ca="1" si="19"/>
        <v>-6.1340752517223152E-2</v>
      </c>
      <c r="Y37" s="15">
        <f t="shared" si="25"/>
        <v>5.504587155963292E-2</v>
      </c>
      <c r="Z37" s="15">
        <f t="shared" si="26"/>
        <v>0</v>
      </c>
      <c r="AA37" s="15">
        <f t="shared" si="27"/>
        <v>-8.6336965632858309E-2</v>
      </c>
      <c r="AB37" s="15">
        <f t="shared" si="28"/>
        <v>-0.25900621118012435</v>
      </c>
      <c r="AC37" s="15">
        <f t="shared" si="29"/>
        <v>0.10273972602739745</v>
      </c>
      <c r="AD37" s="15">
        <f t="shared" si="30"/>
        <v>8.6309523809523725E-2</v>
      </c>
      <c r="AE37" s="15">
        <f t="shared" si="31"/>
        <v>-1.5384615384615441E-2</v>
      </c>
      <c r="AF37" s="15">
        <f t="shared" si="32"/>
        <v>0.21766280107047264</v>
      </c>
      <c r="AG37" s="15">
        <f t="shared" si="33"/>
        <v>0.42620865139949116</v>
      </c>
      <c r="AH37" s="15">
        <f t="shared" si="34"/>
        <v>-0.27154772937905458</v>
      </c>
      <c r="AI37" s="15">
        <f t="shared" si="35"/>
        <v>0.14422057264050903</v>
      </c>
      <c r="AJ37" s="15">
        <f t="shared" si="36"/>
        <v>9.0173410404624121E-2</v>
      </c>
      <c r="AK37" s="5">
        <f t="shared" si="37"/>
        <v>-0.27154772937905458</v>
      </c>
    </row>
    <row r="38" spans="1:37" x14ac:dyDescent="0.25">
      <c r="A38" t="s">
        <v>66</v>
      </c>
      <c r="B38" t="s">
        <v>67</v>
      </c>
      <c r="C38" s="56">
        <v>31</v>
      </c>
      <c r="D38" s="56">
        <v>12</v>
      </c>
      <c r="E38" s="56">
        <v>2015</v>
      </c>
      <c r="F38" s="65">
        <v>11.3</v>
      </c>
      <c r="G38" s="77">
        <v>11</v>
      </c>
      <c r="H38" s="77">
        <v>11</v>
      </c>
      <c r="I38" s="59">
        <v>11.33</v>
      </c>
      <c r="J38" s="59">
        <v>11.92</v>
      </c>
      <c r="K38" s="59">
        <v>11.17</v>
      </c>
      <c r="L38" s="59">
        <v>10.85</v>
      </c>
      <c r="M38" s="59">
        <v>10.96</v>
      </c>
      <c r="N38" s="59">
        <v>11.15</v>
      </c>
      <c r="O38" s="61"/>
      <c r="P38" s="61"/>
      <c r="Q38" s="61"/>
      <c r="R38" s="62"/>
      <c r="S38" s="13">
        <f t="shared" si="20"/>
        <v>11.186666666666667</v>
      </c>
      <c r="T38" s="4">
        <f t="shared" ca="1" si="21"/>
        <v>0</v>
      </c>
      <c r="U38" s="4">
        <f t="shared" ca="1" si="22"/>
        <v>122</v>
      </c>
      <c r="V38" s="4">
        <f t="shared" ca="1" si="23"/>
        <v>238</v>
      </c>
      <c r="W38" s="13">
        <f t="shared" ca="1" si="24"/>
        <v>11</v>
      </c>
      <c r="X38" s="5">
        <f t="shared" ca="1" si="19"/>
        <v>-1.6686531585220599E-2</v>
      </c>
      <c r="Y38" s="15">
        <f t="shared" si="25"/>
        <v>2.7272727272727337E-2</v>
      </c>
      <c r="Z38" s="15">
        <f t="shared" si="26"/>
        <v>0</v>
      </c>
      <c r="AA38" s="15">
        <f t="shared" si="27"/>
        <v>-2.9126213592232997E-2</v>
      </c>
      <c r="AB38" s="15">
        <f t="shared" si="28"/>
        <v>-4.9496644295301984E-2</v>
      </c>
      <c r="AC38" s="15">
        <f t="shared" si="29"/>
        <v>6.7144136078782557E-2</v>
      </c>
      <c r="AD38" s="15">
        <f t="shared" si="30"/>
        <v>2.9493087557603603E-2</v>
      </c>
      <c r="AE38" s="15">
        <f t="shared" si="31"/>
        <v>-1.0036496350365076E-2</v>
      </c>
      <c r="AF38" s="15">
        <f t="shared" si="32"/>
        <v>-1.7040358744394579E-2</v>
      </c>
      <c r="AG38" s="15">
        <f t="shared" si="33"/>
        <v>99.999989999999997</v>
      </c>
      <c r="AH38" s="15">
        <f t="shared" si="34"/>
        <v>99.999989999999997</v>
      </c>
      <c r="AI38" s="15">
        <f t="shared" si="35"/>
        <v>99.999989999999997</v>
      </c>
      <c r="AJ38" s="15">
        <f t="shared" si="36"/>
        <v>99.999989999999997</v>
      </c>
      <c r="AK38" s="5">
        <f t="shared" si="37"/>
        <v>-4.9496644295301984E-2</v>
      </c>
    </row>
    <row r="39" spans="1:37" x14ac:dyDescent="0.25">
      <c r="A39" t="s">
        <v>68</v>
      </c>
      <c r="B39" t="s">
        <v>69</v>
      </c>
      <c r="C39" s="56">
        <v>31</v>
      </c>
      <c r="D39" s="56">
        <v>12</v>
      </c>
      <c r="E39" s="56">
        <v>2015</v>
      </c>
      <c r="F39" s="65">
        <v>-3.29</v>
      </c>
      <c r="G39" s="77">
        <v>-3.07</v>
      </c>
      <c r="H39" s="77">
        <v>-3.19</v>
      </c>
      <c r="I39" s="59">
        <v>-8.16</v>
      </c>
      <c r="J39" s="59">
        <v>-4.8899999999999997</v>
      </c>
      <c r="K39" s="59">
        <v>-2.2200000000000002</v>
      </c>
      <c r="L39" s="59">
        <v>0.13</v>
      </c>
      <c r="M39" s="59">
        <v>1.95</v>
      </c>
      <c r="N39" s="59">
        <v>3.03</v>
      </c>
      <c r="O39" s="59"/>
      <c r="P39" s="59"/>
      <c r="Q39" s="59"/>
      <c r="R39" s="60"/>
      <c r="S39" s="13">
        <f t="shared" si="20"/>
        <v>-2.19</v>
      </c>
      <c r="T39" s="4">
        <f t="shared" ca="1" si="21"/>
        <v>0</v>
      </c>
      <c r="U39" s="4">
        <f t="shared" ca="1" si="22"/>
        <v>122</v>
      </c>
      <c r="V39" s="4">
        <f t="shared" ca="1" si="23"/>
        <v>238</v>
      </c>
      <c r="W39" s="13">
        <f t="shared" ca="1" si="24"/>
        <v>-3.1493333333333333</v>
      </c>
      <c r="X39" s="5">
        <f t="shared" ca="1" si="19"/>
        <v>-0.43805175038051747</v>
      </c>
      <c r="Y39" s="15">
        <f t="shared" si="25"/>
        <v>-7.1661237785016318E-2</v>
      </c>
      <c r="Z39" s="15">
        <f t="shared" si="26"/>
        <v>3.7617554858934255E-2</v>
      </c>
      <c r="AA39" s="15">
        <f t="shared" si="27"/>
        <v>0.60906862745098045</v>
      </c>
      <c r="AB39" s="15">
        <f t="shared" si="28"/>
        <v>-0.66871165644171793</v>
      </c>
      <c r="AC39" s="15">
        <f t="shared" si="29"/>
        <v>-1.2027027027027022</v>
      </c>
      <c r="AD39" s="15">
        <f t="shared" si="30"/>
        <v>-18.076923076923077</v>
      </c>
      <c r="AE39" s="15">
        <f t="shared" si="31"/>
        <v>-0.93333333333333335</v>
      </c>
      <c r="AF39" s="15">
        <f t="shared" si="32"/>
        <v>-0.35643564356435642</v>
      </c>
      <c r="AG39" s="15">
        <f t="shared" si="33"/>
        <v>99.999989999999997</v>
      </c>
      <c r="AH39" s="15">
        <f t="shared" si="34"/>
        <v>99.999989999999997</v>
      </c>
      <c r="AI39" s="15">
        <f t="shared" si="35"/>
        <v>99.999989999999997</v>
      </c>
      <c r="AJ39" s="15">
        <f t="shared" si="36"/>
        <v>99.999989999999997</v>
      </c>
      <c r="AK39" s="5">
        <f t="shared" si="37"/>
        <v>-18.076923076923077</v>
      </c>
    </row>
    <row r="40" spans="1:37" x14ac:dyDescent="0.25">
      <c r="A40" t="s">
        <v>70</v>
      </c>
      <c r="B40" t="s">
        <v>71</v>
      </c>
      <c r="C40" s="56">
        <v>30</v>
      </c>
      <c r="D40" s="56">
        <v>6</v>
      </c>
      <c r="E40" s="56">
        <v>2015</v>
      </c>
      <c r="F40" s="65">
        <v>23.8</v>
      </c>
      <c r="G40" s="77">
        <v>23.1</v>
      </c>
      <c r="H40" s="77">
        <v>23.2</v>
      </c>
      <c r="I40" s="59">
        <v>25.81</v>
      </c>
      <c r="J40" s="59">
        <v>25.06</v>
      </c>
      <c r="K40" s="59">
        <v>23.3</v>
      </c>
      <c r="L40" s="59">
        <v>24.59</v>
      </c>
      <c r="M40" s="59">
        <v>21.61</v>
      </c>
      <c r="N40" s="59">
        <v>21.65</v>
      </c>
      <c r="O40" s="59">
        <v>22.91</v>
      </c>
      <c r="P40" s="59">
        <v>21.32</v>
      </c>
      <c r="Q40" s="59">
        <v>19.79</v>
      </c>
      <c r="R40" s="62"/>
      <c r="S40" s="13">
        <f t="shared" si="20"/>
        <v>23.01166666666667</v>
      </c>
      <c r="T40" s="4">
        <f t="shared" ca="1" si="21"/>
        <v>0</v>
      </c>
      <c r="U40" s="4">
        <f t="shared" ca="1" si="22"/>
        <v>303</v>
      </c>
      <c r="V40" s="4">
        <f t="shared" ca="1" si="23"/>
        <v>57</v>
      </c>
      <c r="W40" s="13">
        <f t="shared" ca="1" si="24"/>
        <v>23.115833333333335</v>
      </c>
      <c r="X40" s="5">
        <f t="shared" ca="1" si="19"/>
        <v>4.5266893604691827E-3</v>
      </c>
      <c r="Y40" s="15">
        <f t="shared" si="25"/>
        <v>3.0303030303030276E-2</v>
      </c>
      <c r="Z40" s="15">
        <f t="shared" si="26"/>
        <v>-4.3103448275860767E-3</v>
      </c>
      <c r="AA40" s="15">
        <f t="shared" si="27"/>
        <v>-0.101123595505618</v>
      </c>
      <c r="AB40" s="15">
        <f t="shared" si="28"/>
        <v>2.9928172386272989E-2</v>
      </c>
      <c r="AC40" s="15">
        <f t="shared" si="29"/>
        <v>7.5536480686695162E-2</v>
      </c>
      <c r="AD40" s="15">
        <f t="shared" si="30"/>
        <v>-5.2460349735664824E-2</v>
      </c>
      <c r="AE40" s="15">
        <f t="shared" si="31"/>
        <v>0.13789912077741784</v>
      </c>
      <c r="AF40" s="15">
        <f t="shared" si="32"/>
        <v>-1.8475750577366945E-3</v>
      </c>
      <c r="AG40" s="15">
        <f t="shared" si="33"/>
        <v>-5.4997817546922789E-2</v>
      </c>
      <c r="AH40" s="15">
        <f t="shared" si="34"/>
        <v>7.4577861163227066E-2</v>
      </c>
      <c r="AI40" s="15">
        <f t="shared" si="35"/>
        <v>7.7311773623041979E-2</v>
      </c>
      <c r="AJ40" s="15">
        <f t="shared" si="36"/>
        <v>99.999989999999997</v>
      </c>
      <c r="AK40" s="5">
        <f t="shared" si="37"/>
        <v>-0.101123595505618</v>
      </c>
    </row>
    <row r="41" spans="1:37" x14ac:dyDescent="0.25">
      <c r="A41" t="s">
        <v>72</v>
      </c>
      <c r="B41" t="s">
        <v>73</v>
      </c>
      <c r="C41" s="56">
        <v>31</v>
      </c>
      <c r="D41" s="56">
        <v>12</v>
      </c>
      <c r="E41" s="56">
        <v>2015</v>
      </c>
      <c r="F41" s="65">
        <v>5.56</v>
      </c>
      <c r="G41" s="77">
        <v>5.44</v>
      </c>
      <c r="H41" s="77">
        <v>3.59</v>
      </c>
      <c r="I41" s="59">
        <v>2.96</v>
      </c>
      <c r="J41" s="61"/>
      <c r="K41" s="61"/>
      <c r="L41" s="61"/>
      <c r="M41" s="61"/>
      <c r="N41" s="61"/>
      <c r="O41" s="61"/>
      <c r="P41" s="61"/>
      <c r="Q41" s="61"/>
      <c r="R41" s="62"/>
      <c r="S41" s="13">
        <f t="shared" si="20"/>
        <v>4.3875000000000002</v>
      </c>
      <c r="T41" s="4">
        <f t="shared" ca="1" si="21"/>
        <v>0</v>
      </c>
      <c r="U41" s="4">
        <f t="shared" ca="1" si="22"/>
        <v>122</v>
      </c>
      <c r="V41" s="4">
        <f t="shared" ca="1" si="23"/>
        <v>238</v>
      </c>
      <c r="W41" s="13">
        <f t="shared" ca="1" si="24"/>
        <v>4.2169444444444446</v>
      </c>
      <c r="X41" s="5">
        <f t="shared" ca="1" si="19"/>
        <v>-3.8873061095283323E-2</v>
      </c>
      <c r="Y41" s="15">
        <f t="shared" si="25"/>
        <v>2.2058823529411686E-2</v>
      </c>
      <c r="Z41" s="15">
        <f t="shared" si="26"/>
        <v>0.51532033426183865</v>
      </c>
      <c r="AA41" s="15">
        <f t="shared" si="27"/>
        <v>0.21283783783783772</v>
      </c>
      <c r="AB41" s="15">
        <f t="shared" si="28"/>
        <v>99.999989999999997</v>
      </c>
      <c r="AC41" s="15">
        <f t="shared" si="29"/>
        <v>99.999989999999997</v>
      </c>
      <c r="AD41" s="15">
        <f t="shared" si="30"/>
        <v>99.999989999999997</v>
      </c>
      <c r="AE41" s="15">
        <f t="shared" si="31"/>
        <v>99.999989999999997</v>
      </c>
      <c r="AF41" s="15">
        <f t="shared" si="32"/>
        <v>99.999989999999997</v>
      </c>
      <c r="AG41" s="15">
        <f t="shared" si="33"/>
        <v>99.999989999999997</v>
      </c>
      <c r="AH41" s="15">
        <f t="shared" si="34"/>
        <v>99.999989999999997</v>
      </c>
      <c r="AI41" s="15">
        <f t="shared" si="35"/>
        <v>99.999989999999997</v>
      </c>
      <c r="AJ41" s="15">
        <f t="shared" si="36"/>
        <v>99.999989999999997</v>
      </c>
      <c r="AK41" s="5">
        <f t="shared" si="37"/>
        <v>2.2058823529411686E-2</v>
      </c>
    </row>
    <row r="42" spans="1:37" x14ac:dyDescent="0.25">
      <c r="A42" t="s">
        <v>74</v>
      </c>
      <c r="B42" t="s">
        <v>75</v>
      </c>
      <c r="C42" s="56">
        <v>31</v>
      </c>
      <c r="D42" s="56">
        <v>1</v>
      </c>
      <c r="E42" s="56">
        <v>2015</v>
      </c>
      <c r="F42" s="65">
        <v>29.3</v>
      </c>
      <c r="G42" s="77">
        <v>27.6</v>
      </c>
      <c r="H42" s="59">
        <v>25.21</v>
      </c>
      <c r="I42" s="59">
        <v>23.59</v>
      </c>
      <c r="J42" s="59">
        <v>23.04</v>
      </c>
      <c r="K42" s="59">
        <v>20.86</v>
      </c>
      <c r="L42" s="59">
        <v>19.489999999999998</v>
      </c>
      <c r="M42" s="59">
        <v>18.82</v>
      </c>
      <c r="N42" s="59">
        <v>16.63</v>
      </c>
      <c r="O42" s="59">
        <v>16.260000000000002</v>
      </c>
      <c r="P42" s="59">
        <v>14.91</v>
      </c>
      <c r="Q42" s="59">
        <v>12.77</v>
      </c>
      <c r="R42" s="60">
        <v>11.67</v>
      </c>
      <c r="S42" s="13">
        <f t="shared" si="20"/>
        <v>20.011538461538464</v>
      </c>
      <c r="T42" s="4">
        <f t="shared" ca="1" si="21"/>
        <v>92</v>
      </c>
      <c r="U42" s="4">
        <f t="shared" ca="1" si="22"/>
        <v>268</v>
      </c>
      <c r="V42" s="4">
        <f t="shared" ca="1" si="23"/>
        <v>0</v>
      </c>
      <c r="W42" s="13">
        <f t="shared" ca="1" si="24"/>
        <v>28.034444444444446</v>
      </c>
      <c r="X42" s="5">
        <f t="shared" ca="1" si="19"/>
        <v>0.40091400260533439</v>
      </c>
      <c r="Y42" s="15">
        <f t="shared" si="25"/>
        <v>6.1594202898550776E-2</v>
      </c>
      <c r="Z42" s="15">
        <f t="shared" si="26"/>
        <v>9.4803649345497787E-2</v>
      </c>
      <c r="AA42" s="15">
        <f t="shared" si="27"/>
        <v>6.8673166596015411E-2</v>
      </c>
      <c r="AB42" s="15">
        <f t="shared" si="28"/>
        <v>2.3871527777777901E-2</v>
      </c>
      <c r="AC42" s="15">
        <f t="shared" si="29"/>
        <v>0.10450623202301057</v>
      </c>
      <c r="AD42" s="15">
        <f t="shared" si="30"/>
        <v>7.0292457670600328E-2</v>
      </c>
      <c r="AE42" s="15">
        <f t="shared" si="31"/>
        <v>3.5600425079702402E-2</v>
      </c>
      <c r="AF42" s="15">
        <f t="shared" si="32"/>
        <v>0.1316897173782321</v>
      </c>
      <c r="AG42" s="15">
        <f t="shared" si="33"/>
        <v>2.2755227552275326E-2</v>
      </c>
      <c r="AH42" s="15">
        <f t="shared" si="34"/>
        <v>9.0543259557344102E-2</v>
      </c>
      <c r="AI42" s="15">
        <f t="shared" si="35"/>
        <v>0.16758026624902111</v>
      </c>
      <c r="AJ42" s="15">
        <f t="shared" si="36"/>
        <v>9.4258783204798524E-2</v>
      </c>
      <c r="AK42" s="5">
        <f t="shared" si="37"/>
        <v>2.2755227552275326E-2</v>
      </c>
    </row>
    <row r="43" spans="1:37" x14ac:dyDescent="0.25">
      <c r="A43" t="s">
        <v>76</v>
      </c>
      <c r="B43" t="s">
        <v>77</v>
      </c>
      <c r="C43" s="56">
        <v>31</v>
      </c>
      <c r="D43" s="56">
        <v>12</v>
      </c>
      <c r="E43" s="56">
        <v>2015</v>
      </c>
      <c r="F43" s="65">
        <v>35.700000000000003</v>
      </c>
      <c r="G43" s="77">
        <v>35</v>
      </c>
      <c r="H43" s="77">
        <v>33.4</v>
      </c>
      <c r="I43" s="59">
        <v>31.08</v>
      </c>
      <c r="J43" s="59">
        <v>31.32</v>
      </c>
      <c r="K43" s="59">
        <v>25.6</v>
      </c>
      <c r="L43" s="59">
        <v>23.34</v>
      </c>
      <c r="M43" s="59">
        <v>21.97</v>
      </c>
      <c r="N43" s="59">
        <v>18.899999999999999</v>
      </c>
      <c r="O43" s="59"/>
      <c r="P43" s="59"/>
      <c r="Q43" s="59"/>
      <c r="R43" s="60"/>
      <c r="S43" s="13">
        <f t="shared" si="20"/>
        <v>28.478888888888889</v>
      </c>
      <c r="T43" s="4">
        <f t="shared" ca="1" si="21"/>
        <v>0</v>
      </c>
      <c r="U43" s="4">
        <f t="shared" ca="1" si="22"/>
        <v>122</v>
      </c>
      <c r="V43" s="4">
        <f t="shared" ca="1" si="23"/>
        <v>238</v>
      </c>
      <c r="W43" s="13">
        <f t="shared" ca="1" si="24"/>
        <v>33.94222222222222</v>
      </c>
      <c r="X43" s="5">
        <f t="shared" ca="1" si="19"/>
        <v>0.19183800866138645</v>
      </c>
      <c r="Y43" s="15">
        <f t="shared" si="25"/>
        <v>2.0000000000000018E-2</v>
      </c>
      <c r="Z43" s="15">
        <f t="shared" si="26"/>
        <v>4.7904191616766401E-2</v>
      </c>
      <c r="AA43" s="15">
        <f t="shared" si="27"/>
        <v>7.4646074646074645E-2</v>
      </c>
      <c r="AB43" s="15">
        <f t="shared" si="28"/>
        <v>-7.6628352490422103E-3</v>
      </c>
      <c r="AC43" s="15">
        <f t="shared" si="29"/>
        <v>0.22343749999999996</v>
      </c>
      <c r="AD43" s="15">
        <f t="shared" si="30"/>
        <v>9.682947729220226E-2</v>
      </c>
      <c r="AE43" s="15">
        <f t="shared" si="31"/>
        <v>6.2357760582612665E-2</v>
      </c>
      <c r="AF43" s="15">
        <f t="shared" si="32"/>
        <v>0.16243386243386237</v>
      </c>
      <c r="AG43" s="15">
        <f t="shared" si="33"/>
        <v>99.999989999999997</v>
      </c>
      <c r="AH43" s="15">
        <f t="shared" si="34"/>
        <v>99.999989999999997</v>
      </c>
      <c r="AI43" s="15">
        <f t="shared" si="35"/>
        <v>99.999989999999997</v>
      </c>
      <c r="AJ43" s="15">
        <f t="shared" si="36"/>
        <v>99.999989999999997</v>
      </c>
      <c r="AK43" s="5">
        <f t="shared" si="37"/>
        <v>-7.6628352490422103E-3</v>
      </c>
    </row>
    <row r="44" spans="1:37" x14ac:dyDescent="0.25">
      <c r="A44" t="s">
        <v>78</v>
      </c>
      <c r="B44" t="s">
        <v>79</v>
      </c>
      <c r="C44" s="56">
        <v>31</v>
      </c>
      <c r="D44" s="56">
        <v>12</v>
      </c>
      <c r="E44" s="56">
        <v>2015</v>
      </c>
      <c r="F44" s="65">
        <v>15840</v>
      </c>
      <c r="G44" s="77">
        <v>15990</v>
      </c>
      <c r="H44" s="77">
        <v>15069</v>
      </c>
      <c r="I44" s="59">
        <v>22071</v>
      </c>
      <c r="J44" s="59">
        <v>19373</v>
      </c>
      <c r="K44" s="59">
        <v>12607</v>
      </c>
      <c r="L44" s="59">
        <v>11565</v>
      </c>
      <c r="M44" s="59">
        <v>11946</v>
      </c>
      <c r="N44" s="59">
        <v>16177</v>
      </c>
      <c r="O44" s="59">
        <v>14790</v>
      </c>
      <c r="P44" s="59">
        <v>13894</v>
      </c>
      <c r="Q44" s="59">
        <v>11558</v>
      </c>
      <c r="R44" s="60">
        <v>9711</v>
      </c>
      <c r="S44" s="13">
        <f t="shared" si="20"/>
        <v>14660.846153846154</v>
      </c>
      <c r="T44" s="4">
        <f t="shared" ca="1" si="21"/>
        <v>0</v>
      </c>
      <c r="U44" s="4">
        <f t="shared" ca="1" si="22"/>
        <v>122</v>
      </c>
      <c r="V44" s="4">
        <f t="shared" ca="1" si="23"/>
        <v>238</v>
      </c>
      <c r="W44" s="13">
        <f t="shared" ca="1" si="24"/>
        <v>15381.116666666665</v>
      </c>
      <c r="X44" s="5">
        <f t="shared" ca="1" si="19"/>
        <v>4.9128850085610853E-2</v>
      </c>
      <c r="Y44" s="15">
        <f t="shared" si="25"/>
        <v>-9.3808630393996673E-3</v>
      </c>
      <c r="Z44" s="15">
        <f t="shared" si="26"/>
        <v>6.1118853274935381E-2</v>
      </c>
      <c r="AA44" s="15">
        <f t="shared" si="27"/>
        <v>-0.31724887861900231</v>
      </c>
      <c r="AB44" s="15">
        <f t="shared" si="28"/>
        <v>0.13926598874722562</v>
      </c>
      <c r="AC44" s="15">
        <f t="shared" si="29"/>
        <v>0.53668596811295322</v>
      </c>
      <c r="AD44" s="15">
        <f t="shared" si="30"/>
        <v>9.009943795936004E-2</v>
      </c>
      <c r="AE44" s="15">
        <f t="shared" si="31"/>
        <v>-3.1893520843797041E-2</v>
      </c>
      <c r="AF44" s="15">
        <f t="shared" si="32"/>
        <v>-0.26154416764542254</v>
      </c>
      <c r="AG44" s="15">
        <f t="shared" si="33"/>
        <v>9.3779580797836326E-2</v>
      </c>
      <c r="AH44" s="15">
        <f t="shared" si="34"/>
        <v>6.4488268317259179E-2</v>
      </c>
      <c r="AI44" s="15">
        <f t="shared" si="35"/>
        <v>0.20211109188440912</v>
      </c>
      <c r="AJ44" s="15">
        <f t="shared" si="36"/>
        <v>0.19019668417258773</v>
      </c>
      <c r="AK44" s="5">
        <f t="shared" si="37"/>
        <v>-0.31724887861900231</v>
      </c>
    </row>
    <row r="45" spans="1:37" x14ac:dyDescent="0.25">
      <c r="A45" t="s">
        <v>81</v>
      </c>
      <c r="B45" t="s">
        <v>82</v>
      </c>
      <c r="C45" s="56">
        <v>31</v>
      </c>
      <c r="D45" s="56">
        <v>12</v>
      </c>
      <c r="E45" s="56">
        <v>2015</v>
      </c>
      <c r="F45" s="65">
        <v>40.200000000000003</v>
      </c>
      <c r="G45" s="77">
        <v>35.1</v>
      </c>
      <c r="H45" s="77">
        <v>32.799999999999997</v>
      </c>
      <c r="I45" s="59">
        <v>26.59</v>
      </c>
      <c r="J45" s="59">
        <v>23.19</v>
      </c>
      <c r="K45" s="59">
        <v>21.72</v>
      </c>
      <c r="L45" s="59">
        <v>20</v>
      </c>
      <c r="M45" s="59">
        <v>18.149999999999999</v>
      </c>
      <c r="N45" s="59">
        <v>14.94</v>
      </c>
      <c r="O45" s="59">
        <v>14.92</v>
      </c>
      <c r="P45" s="59">
        <v>13.03</v>
      </c>
      <c r="Q45" s="59">
        <v>12.66</v>
      </c>
      <c r="R45" s="60">
        <v>12.33</v>
      </c>
      <c r="S45" s="13">
        <f t="shared" si="20"/>
        <v>21.971538461538461</v>
      </c>
      <c r="T45" s="4">
        <f t="shared" ca="1" si="21"/>
        <v>0</v>
      </c>
      <c r="U45" s="4">
        <f t="shared" ca="1" si="22"/>
        <v>122</v>
      </c>
      <c r="V45" s="4">
        <f t="shared" ca="1" si="23"/>
        <v>238</v>
      </c>
      <c r="W45" s="13">
        <f t="shared" ca="1" si="24"/>
        <v>33.579444444444441</v>
      </c>
      <c r="X45" s="5">
        <f t="shared" ca="1" si="19"/>
        <v>0.52831557531694062</v>
      </c>
      <c r="Y45" s="15">
        <f t="shared" si="25"/>
        <v>0.14529914529914523</v>
      </c>
      <c r="Z45" s="15">
        <f t="shared" si="26"/>
        <v>7.0121951219512368E-2</v>
      </c>
      <c r="AA45" s="15">
        <f t="shared" si="27"/>
        <v>0.23354644603234287</v>
      </c>
      <c r="AB45" s="15">
        <f t="shared" si="28"/>
        <v>0.14661492022423461</v>
      </c>
      <c r="AC45" s="15">
        <f t="shared" si="29"/>
        <v>6.7679558011049856E-2</v>
      </c>
      <c r="AD45" s="15">
        <f t="shared" si="30"/>
        <v>8.5999999999999854E-2</v>
      </c>
      <c r="AE45" s="15">
        <f t="shared" si="31"/>
        <v>0.10192837465564741</v>
      </c>
      <c r="AF45" s="15">
        <f t="shared" si="32"/>
        <v>0.21485943775100402</v>
      </c>
      <c r="AG45" s="15">
        <f t="shared" si="33"/>
        <v>1.3404825737264314E-3</v>
      </c>
      <c r="AH45" s="15">
        <f t="shared" si="34"/>
        <v>0.14504988488104376</v>
      </c>
      <c r="AI45" s="15">
        <f t="shared" si="35"/>
        <v>2.922590837282768E-2</v>
      </c>
      <c r="AJ45" s="15">
        <f t="shared" si="36"/>
        <v>2.6763990267639981E-2</v>
      </c>
      <c r="AK45" s="5">
        <f t="shared" si="37"/>
        <v>1.3404825737264314E-3</v>
      </c>
    </row>
    <row r="46" spans="1:37" x14ac:dyDescent="0.25">
      <c r="A46" s="52" t="s">
        <v>273</v>
      </c>
      <c r="B46" s="52" t="s">
        <v>278</v>
      </c>
      <c r="C46" s="90">
        <v>31</v>
      </c>
      <c r="D46" s="90">
        <v>12</v>
      </c>
      <c r="E46" s="90">
        <v>2015</v>
      </c>
      <c r="F46" s="65">
        <v>74.7</v>
      </c>
      <c r="G46" s="77">
        <v>81.599999999999994</v>
      </c>
      <c r="H46" s="77">
        <v>76.599999999999994</v>
      </c>
      <c r="I46" s="59">
        <v>76.81</v>
      </c>
      <c r="J46" s="59">
        <v>73.180000000000007</v>
      </c>
      <c r="K46" s="59">
        <v>73.739999999999995</v>
      </c>
      <c r="L46" s="59">
        <v>70.98</v>
      </c>
      <c r="M46" s="59">
        <v>66.72</v>
      </c>
      <c r="N46" s="59">
        <v>54.39</v>
      </c>
      <c r="O46" s="59">
        <v>48.96</v>
      </c>
      <c r="P46" s="59">
        <v>55.38</v>
      </c>
      <c r="Q46" s="59">
        <v>51.18</v>
      </c>
      <c r="R46" s="60">
        <v>36.81</v>
      </c>
      <c r="S46" s="13">
        <f t="shared" si="20"/>
        <v>64.696153846153848</v>
      </c>
      <c r="T46" s="4">
        <f t="shared" ca="1" si="21"/>
        <v>0</v>
      </c>
      <c r="U46" s="4">
        <f t="shared" ca="1" si="22"/>
        <v>122</v>
      </c>
      <c r="V46" s="4">
        <f t="shared" ca="1" si="23"/>
        <v>238</v>
      </c>
      <c r="W46" s="13">
        <f t="shared" ca="1" si="24"/>
        <v>78.294444444444437</v>
      </c>
      <c r="X46" s="5">
        <f t="shared" ca="1" si="19"/>
        <v>0.21018700169761328</v>
      </c>
      <c r="Y46" s="15">
        <f t="shared" si="25"/>
        <v>-8.4558823529411686E-2</v>
      </c>
      <c r="Z46" s="15">
        <f t="shared" si="26"/>
        <v>6.5274151436031325E-2</v>
      </c>
      <c r="AA46" s="15">
        <f t="shared" si="27"/>
        <v>-2.7340190079417903E-3</v>
      </c>
      <c r="AB46" s="15">
        <f t="shared" si="28"/>
        <v>4.9603716862530733E-2</v>
      </c>
      <c r="AC46" s="15">
        <f t="shared" si="29"/>
        <v>-7.5942500678056746E-3</v>
      </c>
      <c r="AD46" s="15">
        <f t="shared" si="30"/>
        <v>3.888419273034649E-2</v>
      </c>
      <c r="AE46" s="15">
        <f t="shared" si="31"/>
        <v>6.3848920863309511E-2</v>
      </c>
      <c r="AF46" s="15">
        <f t="shared" si="32"/>
        <v>0.22669608383894091</v>
      </c>
      <c r="AG46" s="15">
        <f t="shared" si="33"/>
        <v>0.11090686274509798</v>
      </c>
      <c r="AH46" s="15">
        <f t="shared" si="34"/>
        <v>-0.11592632719393281</v>
      </c>
      <c r="AI46" s="15">
        <f t="shared" si="35"/>
        <v>8.2063305978897993E-2</v>
      </c>
      <c r="AJ46" s="15">
        <f t="shared" si="36"/>
        <v>0.39038304808475943</v>
      </c>
      <c r="AK46" s="5">
        <f t="shared" si="37"/>
        <v>-0.11592632719393281</v>
      </c>
    </row>
    <row r="47" spans="1:37" x14ac:dyDescent="0.25">
      <c r="A47" s="52" t="s">
        <v>275</v>
      </c>
      <c r="B47" s="52" t="s">
        <v>280</v>
      </c>
      <c r="C47" s="90">
        <v>31</v>
      </c>
      <c r="D47" s="90">
        <v>12</v>
      </c>
      <c r="E47" s="90">
        <v>2015</v>
      </c>
      <c r="F47" s="65">
        <v>25.6</v>
      </c>
      <c r="G47" s="77">
        <v>21.4</v>
      </c>
      <c r="H47" s="77">
        <v>17.899999999999999</v>
      </c>
      <c r="I47" s="59">
        <v>15.21</v>
      </c>
      <c r="J47" s="59">
        <v>15.48</v>
      </c>
      <c r="K47" s="59">
        <v>14.51</v>
      </c>
      <c r="L47" s="59">
        <v>13.47</v>
      </c>
      <c r="M47" s="59">
        <v>12.92</v>
      </c>
      <c r="N47" s="59">
        <v>12.15</v>
      </c>
      <c r="O47" s="59">
        <v>10.85</v>
      </c>
      <c r="P47" s="59">
        <v>9.9600000000000009</v>
      </c>
      <c r="Q47" s="59">
        <v>9.5</v>
      </c>
      <c r="R47" s="60">
        <v>8.52</v>
      </c>
      <c r="S47" s="13">
        <f t="shared" si="20"/>
        <v>14.420769230769233</v>
      </c>
      <c r="T47" s="4">
        <f t="shared" ca="1" si="21"/>
        <v>0</v>
      </c>
      <c r="U47" s="4">
        <f t="shared" ca="1" si="22"/>
        <v>122</v>
      </c>
      <c r="V47" s="4">
        <f t="shared" ca="1" si="23"/>
        <v>238</v>
      </c>
      <c r="W47" s="13">
        <f t="shared" ca="1" si="24"/>
        <v>19.086111111111109</v>
      </c>
      <c r="X47" s="5">
        <f t="shared" ca="1" si="19"/>
        <v>0.32351546617829174</v>
      </c>
      <c r="Y47" s="15">
        <f t="shared" si="25"/>
        <v>0.19626168224299079</v>
      </c>
      <c r="Z47" s="15">
        <f t="shared" si="26"/>
        <v>0.1955307262569832</v>
      </c>
      <c r="AA47" s="15">
        <f t="shared" si="27"/>
        <v>0.17685733070348442</v>
      </c>
      <c r="AB47" s="15">
        <f t="shared" si="28"/>
        <v>-1.7441860465116199E-2</v>
      </c>
      <c r="AC47" s="15">
        <f t="shared" si="29"/>
        <v>6.6850447966919413E-2</v>
      </c>
      <c r="AD47" s="15">
        <f t="shared" si="30"/>
        <v>7.7208611729769894E-2</v>
      </c>
      <c r="AE47" s="15">
        <f t="shared" si="31"/>
        <v>4.2569659442724506E-2</v>
      </c>
      <c r="AF47" s="15">
        <f t="shared" si="32"/>
        <v>6.3374485596707775E-2</v>
      </c>
      <c r="AG47" s="15">
        <f t="shared" si="33"/>
        <v>0.11981566820276512</v>
      </c>
      <c r="AH47" s="15">
        <f t="shared" si="34"/>
        <v>8.9357429718875281E-2</v>
      </c>
      <c r="AI47" s="15">
        <f t="shared" si="35"/>
        <v>4.8421052631579142E-2</v>
      </c>
      <c r="AJ47" s="15">
        <f t="shared" si="36"/>
        <v>0.11502347417840375</v>
      </c>
      <c r="AK47" s="5">
        <f t="shared" si="37"/>
        <v>-1.7441860465116199E-2</v>
      </c>
    </row>
    <row r="48" spans="1:37" x14ac:dyDescent="0.25">
      <c r="A48" t="s">
        <v>83</v>
      </c>
      <c r="B48" t="s">
        <v>84</v>
      </c>
      <c r="C48" s="56">
        <v>31</v>
      </c>
      <c r="D48" s="56">
        <v>12</v>
      </c>
      <c r="E48" s="56">
        <v>2015</v>
      </c>
      <c r="F48" s="65">
        <v>46.8</v>
      </c>
      <c r="G48" s="77">
        <v>43</v>
      </c>
      <c r="H48" s="77">
        <v>39.5</v>
      </c>
      <c r="I48" s="59">
        <v>35.97</v>
      </c>
      <c r="J48" s="59">
        <v>37.36</v>
      </c>
      <c r="K48" s="59">
        <v>34.380000000000003</v>
      </c>
      <c r="L48" s="59">
        <v>29.25</v>
      </c>
      <c r="M48" s="59">
        <v>24.73</v>
      </c>
      <c r="N48" s="59">
        <v>22.7</v>
      </c>
      <c r="O48" s="59">
        <v>19.63</v>
      </c>
      <c r="P48" s="59">
        <v>22.04</v>
      </c>
      <c r="Q48" s="59">
        <v>22.86</v>
      </c>
      <c r="R48" s="60">
        <v>22.25</v>
      </c>
      <c r="S48" s="13">
        <f t="shared" si="20"/>
        <v>30.805384615384618</v>
      </c>
      <c r="T48" s="4">
        <f t="shared" ca="1" si="21"/>
        <v>0</v>
      </c>
      <c r="U48" s="4">
        <f t="shared" ca="1" si="22"/>
        <v>122</v>
      </c>
      <c r="V48" s="4">
        <f t="shared" ca="1" si="23"/>
        <v>238</v>
      </c>
      <c r="W48" s="13">
        <f t="shared" ca="1" si="24"/>
        <v>40.68611111111111</v>
      </c>
      <c r="X48" s="5">
        <f t="shared" ca="1" si="19"/>
        <v>0.32074673369901463</v>
      </c>
      <c r="Y48" s="15">
        <f t="shared" si="25"/>
        <v>8.837209302325566E-2</v>
      </c>
      <c r="Z48" s="15">
        <f t="shared" si="26"/>
        <v>8.8607594936708889E-2</v>
      </c>
      <c r="AA48" s="15">
        <f t="shared" si="27"/>
        <v>9.8137336669446906E-2</v>
      </c>
      <c r="AB48" s="15">
        <f t="shared" si="28"/>
        <v>-3.7205567451820132E-2</v>
      </c>
      <c r="AC48" s="15">
        <f t="shared" si="29"/>
        <v>8.667830133798704E-2</v>
      </c>
      <c r="AD48" s="15">
        <f t="shared" si="30"/>
        <v>0.17538461538461547</v>
      </c>
      <c r="AE48" s="15">
        <f t="shared" si="31"/>
        <v>0.18277395875454916</v>
      </c>
      <c r="AF48" s="15">
        <f t="shared" si="32"/>
        <v>8.9427312775330448E-2</v>
      </c>
      <c r="AG48" s="15">
        <f t="shared" si="33"/>
        <v>0.15639327559857374</v>
      </c>
      <c r="AH48" s="15">
        <f t="shared" si="34"/>
        <v>-0.10934664246823955</v>
      </c>
      <c r="AI48" s="15">
        <f t="shared" si="35"/>
        <v>-3.5870516185476875E-2</v>
      </c>
      <c r="AJ48" s="15">
        <f t="shared" si="36"/>
        <v>2.7415730337078559E-2</v>
      </c>
      <c r="AK48" s="5">
        <f t="shared" si="37"/>
        <v>-0.10934664246823955</v>
      </c>
    </row>
    <row r="49" spans="1:37" x14ac:dyDescent="0.25">
      <c r="A49" t="s">
        <v>85</v>
      </c>
      <c r="B49" t="s">
        <v>86</v>
      </c>
      <c r="C49" s="56">
        <v>31</v>
      </c>
      <c r="D49" s="56">
        <v>12</v>
      </c>
      <c r="E49" s="56">
        <v>2015</v>
      </c>
      <c r="F49" s="65">
        <v>46.2</v>
      </c>
      <c r="G49" s="77">
        <v>45</v>
      </c>
      <c r="H49" s="77">
        <v>44.1</v>
      </c>
      <c r="I49" s="59">
        <v>42.54</v>
      </c>
      <c r="J49" s="59">
        <v>42.95</v>
      </c>
      <c r="K49" s="59">
        <v>43.23</v>
      </c>
      <c r="L49" s="59">
        <v>41.93</v>
      </c>
      <c r="M49" s="59">
        <v>40.5</v>
      </c>
      <c r="N49" s="59">
        <v>36.65</v>
      </c>
      <c r="O49" s="59">
        <v>34.11</v>
      </c>
      <c r="P49" s="59">
        <v>32.61</v>
      </c>
      <c r="Q49" s="59">
        <v>33.54</v>
      </c>
      <c r="R49" s="60">
        <v>33.42</v>
      </c>
      <c r="S49" s="13">
        <f t="shared" si="20"/>
        <v>39.752307692307696</v>
      </c>
      <c r="T49" s="4">
        <f t="shared" ca="1" si="21"/>
        <v>0</v>
      </c>
      <c r="U49" s="4">
        <f t="shared" ca="1" si="22"/>
        <v>122</v>
      </c>
      <c r="V49" s="4">
        <f t="shared" ca="1" si="23"/>
        <v>238</v>
      </c>
      <c r="W49" s="13">
        <f t="shared" ca="1" si="24"/>
        <v>44.405000000000001</v>
      </c>
      <c r="X49" s="5">
        <f t="shared" ca="1" si="19"/>
        <v>0.11704206819149343</v>
      </c>
      <c r="Y49" s="15">
        <f t="shared" si="25"/>
        <v>2.6666666666666838E-2</v>
      </c>
      <c r="Z49" s="15">
        <f t="shared" si="26"/>
        <v>2.0408163265306145E-2</v>
      </c>
      <c r="AA49" s="15">
        <f t="shared" si="27"/>
        <v>3.6671368124118642E-2</v>
      </c>
      <c r="AB49" s="15">
        <f t="shared" si="28"/>
        <v>-9.5459837019791216E-3</v>
      </c>
      <c r="AC49" s="15">
        <f t="shared" si="29"/>
        <v>-6.4769835762200634E-3</v>
      </c>
      <c r="AD49" s="15">
        <f t="shared" si="30"/>
        <v>3.1004054376341461E-2</v>
      </c>
      <c r="AE49" s="15">
        <f t="shared" si="31"/>
        <v>3.5308641975308586E-2</v>
      </c>
      <c r="AF49" s="15">
        <f t="shared" si="32"/>
        <v>0.10504774897680758</v>
      </c>
      <c r="AG49" s="15">
        <f t="shared" si="33"/>
        <v>7.4464966285546774E-2</v>
      </c>
      <c r="AH49" s="15">
        <f t="shared" si="34"/>
        <v>4.5998160073597028E-2</v>
      </c>
      <c r="AI49" s="15">
        <f t="shared" si="35"/>
        <v>-2.7728085867620766E-2</v>
      </c>
      <c r="AJ49" s="15">
        <f t="shared" si="36"/>
        <v>3.5906642728904536E-3</v>
      </c>
      <c r="AK49" s="5">
        <f t="shared" si="37"/>
        <v>-2.7728085867620766E-2</v>
      </c>
    </row>
    <row r="50" spans="1:37" x14ac:dyDescent="0.25">
      <c r="A50" t="s">
        <v>87</v>
      </c>
      <c r="B50" t="s">
        <v>88</v>
      </c>
      <c r="C50" s="56">
        <v>30</v>
      </c>
      <c r="D50" s="56">
        <v>6</v>
      </c>
      <c r="E50" s="56">
        <v>2015</v>
      </c>
      <c r="F50" s="65">
        <v>3.7800000000000002</v>
      </c>
      <c r="G50" s="77">
        <v>3.35</v>
      </c>
      <c r="H50" s="77">
        <v>2.98</v>
      </c>
      <c r="I50" s="59">
        <v>2.48</v>
      </c>
      <c r="J50" s="59">
        <v>2.5499999999999998</v>
      </c>
      <c r="K50" s="59">
        <v>2.0299999999999998</v>
      </c>
      <c r="L50" s="59">
        <v>1.9</v>
      </c>
      <c r="M50" s="59">
        <v>1.45</v>
      </c>
      <c r="N50" s="59">
        <v>1.1399999999999999</v>
      </c>
      <c r="O50" s="59">
        <v>1.25</v>
      </c>
      <c r="P50" s="59">
        <v>1.36</v>
      </c>
      <c r="Q50" s="59">
        <v>1.48</v>
      </c>
      <c r="R50" s="60">
        <v>1.19</v>
      </c>
      <c r="S50" s="13">
        <f t="shared" si="20"/>
        <v>2.0723076923076924</v>
      </c>
      <c r="T50" s="4">
        <f t="shared" ca="1" si="21"/>
        <v>0</v>
      </c>
      <c r="U50" s="4">
        <f t="shared" ca="1" si="22"/>
        <v>303</v>
      </c>
      <c r="V50" s="4">
        <f t="shared" ca="1" si="23"/>
        <v>57</v>
      </c>
      <c r="W50" s="13">
        <f t="shared" ca="1" si="24"/>
        <v>3.2914166666666667</v>
      </c>
      <c r="X50" s="5">
        <f t="shared" ca="1" si="19"/>
        <v>0.58828569660975005</v>
      </c>
      <c r="Y50" s="15">
        <f t="shared" si="25"/>
        <v>0.12835820895522398</v>
      </c>
      <c r="Z50" s="15">
        <f t="shared" si="26"/>
        <v>0.12416107382550345</v>
      </c>
      <c r="AA50" s="15">
        <f t="shared" si="27"/>
        <v>0.20161290322580649</v>
      </c>
      <c r="AB50" s="15">
        <f t="shared" si="28"/>
        <v>-2.7450980392156765E-2</v>
      </c>
      <c r="AC50" s="15">
        <f t="shared" si="29"/>
        <v>0.25615763546798043</v>
      </c>
      <c r="AD50" s="15">
        <f t="shared" si="30"/>
        <v>6.8421052631578938E-2</v>
      </c>
      <c r="AE50" s="15">
        <f t="shared" si="31"/>
        <v>0.31034482758620685</v>
      </c>
      <c r="AF50" s="15">
        <f t="shared" si="32"/>
        <v>0.27192982456140369</v>
      </c>
      <c r="AG50" s="15">
        <f t="shared" si="33"/>
        <v>-8.8000000000000078E-2</v>
      </c>
      <c r="AH50" s="15">
        <f t="shared" si="34"/>
        <v>-8.0882352941176516E-2</v>
      </c>
      <c r="AI50" s="15">
        <f t="shared" si="35"/>
        <v>-8.108108108108103E-2</v>
      </c>
      <c r="AJ50" s="15">
        <f t="shared" si="36"/>
        <v>0.24369747899159666</v>
      </c>
      <c r="AK50" s="5">
        <f t="shared" si="37"/>
        <v>-8.8000000000000078E-2</v>
      </c>
    </row>
    <row r="51" spans="1:37" x14ac:dyDescent="0.25">
      <c r="A51" t="s">
        <v>89</v>
      </c>
      <c r="B51" t="s">
        <v>90</v>
      </c>
      <c r="C51" s="56">
        <v>31</v>
      </c>
      <c r="D51" s="56">
        <v>3</v>
      </c>
      <c r="E51" s="56">
        <v>2015</v>
      </c>
      <c r="F51" s="65">
        <v>20.2</v>
      </c>
      <c r="G51" s="77">
        <v>18.899999999999999</v>
      </c>
      <c r="H51" s="77">
        <v>17.600000000000001</v>
      </c>
      <c r="I51" s="59">
        <v>15.74</v>
      </c>
      <c r="J51" s="59">
        <v>15.79</v>
      </c>
      <c r="K51" s="59">
        <v>15.07</v>
      </c>
      <c r="L51" s="59">
        <v>13.27</v>
      </c>
      <c r="M51" s="59">
        <v>12.13</v>
      </c>
      <c r="N51" s="59">
        <v>9.6999999999999993</v>
      </c>
      <c r="O51" s="59">
        <v>11.65</v>
      </c>
      <c r="P51" s="59">
        <v>9.57</v>
      </c>
      <c r="Q51" s="59"/>
      <c r="R51" s="60"/>
      <c r="S51" s="13">
        <f t="shared" si="20"/>
        <v>14.510909090909088</v>
      </c>
      <c r="T51" s="4">
        <f t="shared" ca="1" si="21"/>
        <v>32</v>
      </c>
      <c r="U51" s="4">
        <f t="shared" ca="1" si="22"/>
        <v>328</v>
      </c>
      <c r="V51" s="4">
        <f t="shared" ca="1" si="23"/>
        <v>0</v>
      </c>
      <c r="W51" s="13">
        <f t="shared" ca="1" si="24"/>
        <v>19.015555555555554</v>
      </c>
      <c r="X51" s="5">
        <f t="shared" ca="1" si="19"/>
        <v>0.31043171977891948</v>
      </c>
      <c r="Y51" s="15">
        <f t="shared" si="25"/>
        <v>6.8783068783068835E-2</v>
      </c>
      <c r="Z51" s="15">
        <f t="shared" si="26"/>
        <v>7.3863636363636243E-2</v>
      </c>
      <c r="AA51" s="15">
        <f t="shared" si="27"/>
        <v>0.11817026683608645</v>
      </c>
      <c r="AB51" s="15">
        <f t="shared" si="28"/>
        <v>-3.1665611146294292E-3</v>
      </c>
      <c r="AC51" s="15">
        <f t="shared" si="29"/>
        <v>4.7777040477770427E-2</v>
      </c>
      <c r="AD51" s="15">
        <f t="shared" si="30"/>
        <v>0.13564431047475511</v>
      </c>
      <c r="AE51" s="15">
        <f t="shared" si="31"/>
        <v>9.3981863149216638E-2</v>
      </c>
      <c r="AF51" s="15">
        <f t="shared" si="32"/>
        <v>0.25051546391752599</v>
      </c>
      <c r="AG51" s="15">
        <f t="shared" si="33"/>
        <v>-0.16738197424892709</v>
      </c>
      <c r="AH51" s="15">
        <f t="shared" si="34"/>
        <v>0.21734587251828641</v>
      </c>
      <c r="AI51" s="15">
        <f t="shared" si="35"/>
        <v>99.999989999999997</v>
      </c>
      <c r="AJ51" s="15">
        <f t="shared" si="36"/>
        <v>99.999989999999997</v>
      </c>
      <c r="AK51" s="5">
        <f t="shared" si="37"/>
        <v>-0.16738197424892709</v>
      </c>
    </row>
    <row r="52" spans="1:37" x14ac:dyDescent="0.25">
      <c r="A52" t="s">
        <v>91</v>
      </c>
      <c r="B52" t="s">
        <v>92</v>
      </c>
      <c r="C52" s="56">
        <v>31</v>
      </c>
      <c r="D52" s="56">
        <v>12</v>
      </c>
      <c r="E52" s="56">
        <v>2015</v>
      </c>
      <c r="F52" s="65">
        <v>22.62</v>
      </c>
      <c r="G52" s="77">
        <v>18.400000000000002</v>
      </c>
      <c r="H52" s="77">
        <v>16.64</v>
      </c>
      <c r="I52" s="64">
        <v>9.51</v>
      </c>
      <c r="J52" s="59">
        <v>8.6</v>
      </c>
      <c r="K52" s="59">
        <v>8.06</v>
      </c>
      <c r="L52" s="59">
        <v>7.84</v>
      </c>
      <c r="M52" s="59">
        <v>6.97</v>
      </c>
      <c r="N52" s="59">
        <v>5.55</v>
      </c>
      <c r="O52" s="59">
        <v>4.5599999999999996</v>
      </c>
      <c r="P52" s="59">
        <v>3.3</v>
      </c>
      <c r="Q52" s="59">
        <v>2.59</v>
      </c>
      <c r="R52" s="60">
        <v>2.57</v>
      </c>
      <c r="S52" s="13">
        <f t="shared" si="20"/>
        <v>9.0161538461538449</v>
      </c>
      <c r="T52" s="4">
        <f t="shared" ca="1" si="21"/>
        <v>0</v>
      </c>
      <c r="U52" s="4">
        <f t="shared" ca="1" si="22"/>
        <v>122</v>
      </c>
      <c r="V52" s="4">
        <f t="shared" ca="1" si="23"/>
        <v>238</v>
      </c>
      <c r="W52" s="13">
        <f t="shared" ca="1" si="24"/>
        <v>17.236444444444444</v>
      </c>
      <c r="X52" s="5">
        <f t="shared" ca="1" si="19"/>
        <v>0.91172918503351097</v>
      </c>
      <c r="Y52" s="15">
        <f t="shared" si="25"/>
        <v>0.22934782608695636</v>
      </c>
      <c r="Z52" s="15">
        <f t="shared" si="26"/>
        <v>0.10576923076923084</v>
      </c>
      <c r="AA52" s="15">
        <f t="shared" si="27"/>
        <v>0.74973711882229233</v>
      </c>
      <c r="AB52" s="15">
        <f t="shared" si="28"/>
        <v>0.10581395348837219</v>
      </c>
      <c r="AC52" s="15">
        <f t="shared" si="29"/>
        <v>6.6997518610421691E-2</v>
      </c>
      <c r="AD52" s="15">
        <f t="shared" si="30"/>
        <v>2.8061224489795977E-2</v>
      </c>
      <c r="AE52" s="15">
        <f t="shared" si="31"/>
        <v>0.12482065997130554</v>
      </c>
      <c r="AF52" s="15">
        <f t="shared" si="32"/>
        <v>0.25585585585585591</v>
      </c>
      <c r="AG52" s="15">
        <f t="shared" si="33"/>
        <v>0.21710526315789491</v>
      </c>
      <c r="AH52" s="15">
        <f t="shared" si="34"/>
        <v>0.38181818181818183</v>
      </c>
      <c r="AI52" s="15">
        <f t="shared" si="35"/>
        <v>0.27413127413127403</v>
      </c>
      <c r="AJ52" s="15">
        <f t="shared" si="36"/>
        <v>7.7821011673151474E-3</v>
      </c>
      <c r="AK52" s="5">
        <f t="shared" si="37"/>
        <v>7.7821011673151474E-3</v>
      </c>
    </row>
    <row r="53" spans="1:37" x14ac:dyDescent="0.25">
      <c r="A53" s="52" t="s">
        <v>288</v>
      </c>
      <c r="B53" s="52" t="s">
        <v>289</v>
      </c>
      <c r="C53" s="90">
        <v>31</v>
      </c>
      <c r="D53" s="90">
        <v>8</v>
      </c>
      <c r="E53" s="90">
        <v>2015</v>
      </c>
      <c r="F53" s="65">
        <v>11.4</v>
      </c>
      <c r="G53" s="77">
        <v>9.98</v>
      </c>
      <c r="H53" s="77">
        <v>9.5500000000000007</v>
      </c>
      <c r="I53" s="59">
        <v>8.73</v>
      </c>
      <c r="J53" s="59">
        <v>7.44</v>
      </c>
      <c r="K53" s="59">
        <v>6.13</v>
      </c>
      <c r="L53" s="59">
        <v>5.62</v>
      </c>
      <c r="M53" s="59">
        <v>4.07</v>
      </c>
      <c r="N53" s="59">
        <v>3.98</v>
      </c>
      <c r="O53" s="59">
        <v>3.47</v>
      </c>
      <c r="P53" s="59">
        <v>2.71</v>
      </c>
      <c r="Q53" s="59">
        <v>2.29</v>
      </c>
      <c r="R53" s="60">
        <v>1.97</v>
      </c>
      <c r="S53" s="13">
        <f t="shared" si="20"/>
        <v>5.9492307692307698</v>
      </c>
      <c r="T53" s="4">
        <f t="shared" ca="1" si="21"/>
        <v>0</v>
      </c>
      <c r="U53" s="4">
        <f t="shared" ca="1" si="22"/>
        <v>242</v>
      </c>
      <c r="V53" s="4">
        <f t="shared" ca="1" si="23"/>
        <v>118</v>
      </c>
      <c r="W53" s="13">
        <f t="shared" ca="1" si="24"/>
        <v>9.8390555555555572</v>
      </c>
      <c r="X53" s="5">
        <f t="shared" ca="1" si="19"/>
        <v>0.65383659454644727</v>
      </c>
      <c r="Y53" s="15">
        <f t="shared" si="25"/>
        <v>0.14228456913827658</v>
      </c>
      <c r="Z53" s="15">
        <f t="shared" si="26"/>
        <v>4.5026178010471263E-2</v>
      </c>
      <c r="AA53" s="15">
        <f t="shared" si="27"/>
        <v>9.3928980526918782E-2</v>
      </c>
      <c r="AB53" s="15">
        <f t="shared" si="28"/>
        <v>0.17338709677419351</v>
      </c>
      <c r="AC53" s="15">
        <f t="shared" si="29"/>
        <v>0.21370309951060373</v>
      </c>
      <c r="AD53" s="15">
        <f t="shared" si="30"/>
        <v>9.0747330960853967E-2</v>
      </c>
      <c r="AE53" s="15">
        <f t="shared" si="31"/>
        <v>0.38083538083538082</v>
      </c>
      <c r="AF53" s="15">
        <f t="shared" si="32"/>
        <v>2.2613065326633208E-2</v>
      </c>
      <c r="AG53" s="15">
        <f t="shared" si="33"/>
        <v>0.14697406340057628</v>
      </c>
      <c r="AH53" s="15">
        <f t="shared" si="34"/>
        <v>0.28044280442804448</v>
      </c>
      <c r="AI53" s="15">
        <f t="shared" si="35"/>
        <v>0.18340611353711789</v>
      </c>
      <c r="AJ53" s="15">
        <f t="shared" si="36"/>
        <v>0.1624365482233503</v>
      </c>
      <c r="AK53" s="5">
        <f t="shared" si="37"/>
        <v>2.2613065326633208E-2</v>
      </c>
    </row>
    <row r="54" spans="1:37" x14ac:dyDescent="0.25">
      <c r="A54" t="s">
        <v>257</v>
      </c>
      <c r="B54" t="s">
        <v>258</v>
      </c>
      <c r="C54" s="56">
        <v>30</v>
      </c>
      <c r="D54" s="56">
        <v>4</v>
      </c>
      <c r="E54" s="56">
        <v>2015</v>
      </c>
      <c r="F54" s="98">
        <v>24</v>
      </c>
      <c r="G54" s="97">
        <v>22.5</v>
      </c>
      <c r="H54" s="97">
        <v>21</v>
      </c>
      <c r="I54" s="59">
        <v>19.46</v>
      </c>
      <c r="J54" s="59">
        <v>18.38</v>
      </c>
      <c r="K54" s="59">
        <v>16.5</v>
      </c>
      <c r="L54" s="59">
        <v>14.92</v>
      </c>
      <c r="M54" s="59">
        <v>13.33</v>
      </c>
      <c r="N54" s="59">
        <v>11.78</v>
      </c>
      <c r="O54" s="59">
        <v>10.26</v>
      </c>
      <c r="P54" s="59">
        <v>9.6</v>
      </c>
      <c r="Q54" s="59">
        <v>8.1199999999999992</v>
      </c>
      <c r="R54" s="60">
        <v>8.6300000000000008</v>
      </c>
      <c r="S54" s="13">
        <f t="shared" si="20"/>
        <v>15.267692307692307</v>
      </c>
      <c r="T54" s="4">
        <f t="shared" ca="1" si="21"/>
        <v>3</v>
      </c>
      <c r="U54" s="4">
        <f t="shared" ca="1" si="22"/>
        <v>357</v>
      </c>
      <c r="V54" s="4">
        <f t="shared" ca="1" si="23"/>
        <v>0</v>
      </c>
      <c r="W54" s="13">
        <f t="shared" ca="1" si="24"/>
        <v>22.512499999999999</v>
      </c>
      <c r="X54" s="5">
        <f t="shared" ca="1" si="19"/>
        <v>0.47451884320838378</v>
      </c>
      <c r="Y54" s="15">
        <f t="shared" si="25"/>
        <v>6.6666666666666652E-2</v>
      </c>
      <c r="Z54" s="15">
        <f t="shared" si="26"/>
        <v>7.1428571428571397E-2</v>
      </c>
      <c r="AA54" s="15">
        <f t="shared" si="27"/>
        <v>7.9136690647481966E-2</v>
      </c>
      <c r="AB54" s="15">
        <f t="shared" si="28"/>
        <v>5.8759521218716193E-2</v>
      </c>
      <c r="AC54" s="15">
        <f t="shared" si="29"/>
        <v>0.11393939393939378</v>
      </c>
      <c r="AD54" s="15">
        <f t="shared" si="30"/>
        <v>0.10589812332439674</v>
      </c>
      <c r="AE54" s="15">
        <f t="shared" si="31"/>
        <v>0.11927981995498871</v>
      </c>
      <c r="AF54" s="15">
        <f t="shared" si="32"/>
        <v>0.13157894736842102</v>
      </c>
      <c r="AG54" s="15">
        <f t="shared" si="33"/>
        <v>0.14814814814814814</v>
      </c>
      <c r="AH54" s="15">
        <f t="shared" si="34"/>
        <v>6.8750000000000089E-2</v>
      </c>
      <c r="AI54" s="15">
        <f t="shared" si="35"/>
        <v>0.18226600985221686</v>
      </c>
      <c r="AJ54" s="15">
        <f t="shared" si="36"/>
        <v>-5.909617612978002E-2</v>
      </c>
      <c r="AK54" s="5">
        <f t="shared" si="37"/>
        <v>-5.909617612978002E-2</v>
      </c>
    </row>
    <row r="55" spans="1:37" x14ac:dyDescent="0.25">
      <c r="A55" t="s">
        <v>93</v>
      </c>
      <c r="B55" t="s">
        <v>94</v>
      </c>
      <c r="C55" s="56">
        <v>31</v>
      </c>
      <c r="D55" s="56">
        <v>12</v>
      </c>
      <c r="E55" s="56">
        <v>2015</v>
      </c>
      <c r="F55" s="65">
        <v>0.91</v>
      </c>
      <c r="G55" s="77">
        <v>1.39</v>
      </c>
      <c r="H55" s="77">
        <v>1.6</v>
      </c>
      <c r="I55" s="59">
        <v>1.53</v>
      </c>
      <c r="J55" s="59">
        <v>2.0699999999999998</v>
      </c>
      <c r="K55" s="59">
        <v>1.58</v>
      </c>
      <c r="L55" s="59">
        <v>1.8</v>
      </c>
      <c r="M55" s="59">
        <v>2.4900000000000002</v>
      </c>
      <c r="N55" s="59">
        <v>1.96</v>
      </c>
      <c r="O55" s="61"/>
      <c r="P55" s="61"/>
      <c r="Q55" s="61"/>
      <c r="R55" s="62"/>
      <c r="S55" s="13">
        <f t="shared" si="20"/>
        <v>1.7033333333333336</v>
      </c>
      <c r="T55" s="4">
        <f t="shared" ca="1" si="21"/>
        <v>0</v>
      </c>
      <c r="U55" s="4">
        <f t="shared" ca="1" si="22"/>
        <v>122</v>
      </c>
      <c r="V55" s="4">
        <f t="shared" ca="1" si="23"/>
        <v>238</v>
      </c>
      <c r="W55" s="13">
        <f t="shared" ca="1" si="24"/>
        <v>1.5288333333333333</v>
      </c>
      <c r="X55" s="5">
        <f t="shared" ca="1" si="19"/>
        <v>-0.1024461839530334</v>
      </c>
      <c r="Y55" s="15">
        <f t="shared" si="25"/>
        <v>-0.34532374100719421</v>
      </c>
      <c r="Z55" s="15">
        <f t="shared" si="26"/>
        <v>-0.13125000000000009</v>
      </c>
      <c r="AA55" s="15">
        <f t="shared" si="27"/>
        <v>4.5751633986928164E-2</v>
      </c>
      <c r="AB55" s="15">
        <f t="shared" si="28"/>
        <v>-0.26086956521739124</v>
      </c>
      <c r="AC55" s="15">
        <f t="shared" si="29"/>
        <v>0.31012658227848089</v>
      </c>
      <c r="AD55" s="15">
        <f t="shared" si="30"/>
        <v>-0.12222222222222223</v>
      </c>
      <c r="AE55" s="15">
        <f t="shared" si="31"/>
        <v>-0.27710843373493976</v>
      </c>
      <c r="AF55" s="15">
        <f t="shared" si="32"/>
        <v>0.27040816326530615</v>
      </c>
      <c r="AG55" s="15">
        <f t="shared" si="33"/>
        <v>99.999989999999997</v>
      </c>
      <c r="AH55" s="15">
        <f t="shared" si="34"/>
        <v>99.999989999999997</v>
      </c>
      <c r="AI55" s="15">
        <f t="shared" si="35"/>
        <v>99.999989999999997</v>
      </c>
      <c r="AJ55" s="15">
        <f t="shared" si="36"/>
        <v>99.999989999999997</v>
      </c>
      <c r="AK55" s="5">
        <f t="shared" si="37"/>
        <v>-0.34532374100719421</v>
      </c>
    </row>
    <row r="56" spans="1:37" x14ac:dyDescent="0.25">
      <c r="A56" s="52" t="s">
        <v>274</v>
      </c>
      <c r="B56" s="52" t="s">
        <v>279</v>
      </c>
      <c r="C56" s="90">
        <v>31</v>
      </c>
      <c r="D56" s="90">
        <v>12</v>
      </c>
      <c r="E56" s="90">
        <v>2015</v>
      </c>
      <c r="F56" s="65">
        <v>34.6</v>
      </c>
      <c r="G56" s="77">
        <v>33.4</v>
      </c>
      <c r="H56" s="77">
        <v>32.6</v>
      </c>
      <c r="I56" s="59">
        <v>33.299999999999997</v>
      </c>
      <c r="J56" s="59">
        <v>32.15</v>
      </c>
      <c r="K56" s="59">
        <v>30.62</v>
      </c>
      <c r="L56" s="59">
        <v>29.32</v>
      </c>
      <c r="M56" s="59">
        <v>27.66</v>
      </c>
      <c r="N56" s="59">
        <v>25.72</v>
      </c>
      <c r="O56" s="59">
        <v>24.03</v>
      </c>
      <c r="P56" s="59">
        <v>21.8</v>
      </c>
      <c r="Q56" s="61"/>
      <c r="R56" s="62"/>
      <c r="S56" s="13">
        <f t="shared" si="20"/>
        <v>29.563636363636363</v>
      </c>
      <c r="T56" s="4">
        <f t="shared" ca="1" si="21"/>
        <v>0</v>
      </c>
      <c r="U56" s="4">
        <f t="shared" ca="1" si="22"/>
        <v>122</v>
      </c>
      <c r="V56" s="4">
        <f t="shared" ca="1" si="23"/>
        <v>238</v>
      </c>
      <c r="W56" s="13">
        <f t="shared" ca="1" si="24"/>
        <v>32.871111111111112</v>
      </c>
      <c r="X56" s="5">
        <f t="shared" ca="1" si="19"/>
        <v>0.11187645209785435</v>
      </c>
      <c r="Y56" s="15">
        <f t="shared" si="25"/>
        <v>3.5928143712574911E-2</v>
      </c>
      <c r="Z56" s="15">
        <f t="shared" si="26"/>
        <v>2.4539877300613355E-2</v>
      </c>
      <c r="AA56" s="15">
        <f t="shared" si="27"/>
        <v>-2.102102102102088E-2</v>
      </c>
      <c r="AB56" s="15">
        <f t="shared" si="28"/>
        <v>3.5769828926905056E-2</v>
      </c>
      <c r="AC56" s="15">
        <f t="shared" si="29"/>
        <v>4.9967341606792948E-2</v>
      </c>
      <c r="AD56" s="15">
        <f t="shared" si="30"/>
        <v>4.4338335607094104E-2</v>
      </c>
      <c r="AE56" s="15">
        <f t="shared" si="31"/>
        <v>6.001446131597965E-2</v>
      </c>
      <c r="AF56" s="15">
        <f t="shared" si="32"/>
        <v>7.5427682737169599E-2</v>
      </c>
      <c r="AG56" s="15">
        <f t="shared" si="33"/>
        <v>7.0328755722014025E-2</v>
      </c>
      <c r="AH56" s="15">
        <f t="shared" si="34"/>
        <v>0.1022935779816514</v>
      </c>
      <c r="AI56" s="15">
        <f t="shared" si="35"/>
        <v>99.999989999999997</v>
      </c>
      <c r="AJ56" s="15">
        <f t="shared" si="36"/>
        <v>99.999989999999997</v>
      </c>
      <c r="AK56" s="5">
        <f t="shared" si="37"/>
        <v>-2.102102102102088E-2</v>
      </c>
    </row>
    <row r="57" spans="1:37" x14ac:dyDescent="0.25">
      <c r="A57" s="52" t="s">
        <v>291</v>
      </c>
      <c r="B57" s="52" t="s">
        <v>292</v>
      </c>
      <c r="C57" s="90">
        <v>31</v>
      </c>
      <c r="D57" s="90">
        <v>7</v>
      </c>
      <c r="E57" s="90">
        <v>2015</v>
      </c>
      <c r="F57" s="65">
        <v>13.1</v>
      </c>
      <c r="G57" s="77">
        <v>12.5</v>
      </c>
      <c r="H57" s="77">
        <v>10.9</v>
      </c>
      <c r="I57" s="77">
        <v>11.1</v>
      </c>
      <c r="J57" s="59">
        <v>10.97</v>
      </c>
      <c r="K57" s="59">
        <v>9.68</v>
      </c>
      <c r="L57" s="59">
        <v>8.69</v>
      </c>
      <c r="M57" s="59">
        <v>7.83</v>
      </c>
      <c r="N57" s="59">
        <v>6.68</v>
      </c>
      <c r="O57" s="59">
        <v>5.83</v>
      </c>
      <c r="P57" s="59">
        <v>5.2</v>
      </c>
      <c r="Q57" s="59">
        <v>3.95</v>
      </c>
      <c r="R57" s="60">
        <v>3.66</v>
      </c>
      <c r="S57" s="13">
        <f t="shared" si="20"/>
        <v>8.468461538461538</v>
      </c>
      <c r="T57" s="4">
        <f t="shared" ca="1" si="21"/>
        <v>0</v>
      </c>
      <c r="U57" s="4">
        <f t="shared" ca="1" si="22"/>
        <v>272</v>
      </c>
      <c r="V57" s="4">
        <f t="shared" ca="1" si="23"/>
        <v>88</v>
      </c>
      <c r="W57" s="13">
        <f t="shared" ca="1" si="24"/>
        <v>12.108888888888888</v>
      </c>
      <c r="X57" s="5">
        <f t="shared" ca="1" si="19"/>
        <v>0.42988060273917306</v>
      </c>
      <c r="Y57" s="15">
        <f t="shared" si="25"/>
        <v>4.8000000000000043E-2</v>
      </c>
      <c r="Z57" s="15">
        <f t="shared" si="26"/>
        <v>0.14678899082568808</v>
      </c>
      <c r="AA57" s="15">
        <f t="shared" si="27"/>
        <v>-1.8018018018017945E-2</v>
      </c>
      <c r="AB57" s="15">
        <f t="shared" si="28"/>
        <v>1.185050136736554E-2</v>
      </c>
      <c r="AC57" s="15">
        <f t="shared" si="29"/>
        <v>0.13326446280991755</v>
      </c>
      <c r="AD57" s="15">
        <f t="shared" si="30"/>
        <v>0.11392405063291133</v>
      </c>
      <c r="AE57" s="15">
        <f t="shared" si="31"/>
        <v>0.10983397190293731</v>
      </c>
      <c r="AF57" s="15">
        <f t="shared" si="32"/>
        <v>0.17215568862275465</v>
      </c>
      <c r="AG57" s="15">
        <f t="shared" si="33"/>
        <v>0.14579759862778729</v>
      </c>
      <c r="AH57" s="15">
        <f t="shared" si="34"/>
        <v>0.12115384615384617</v>
      </c>
      <c r="AI57" s="15">
        <f t="shared" si="35"/>
        <v>0.31645569620253156</v>
      </c>
      <c r="AJ57" s="15">
        <f t="shared" si="36"/>
        <v>7.9234972677595605E-2</v>
      </c>
      <c r="AK57" s="5">
        <f t="shared" si="37"/>
        <v>-1.8018018018017945E-2</v>
      </c>
    </row>
    <row r="58" spans="1:37" x14ac:dyDescent="0.25">
      <c r="A58" s="52" t="s">
        <v>272</v>
      </c>
      <c r="B58" s="52" t="s">
        <v>277</v>
      </c>
      <c r="C58" s="90">
        <v>31</v>
      </c>
      <c r="D58" s="90">
        <v>12</v>
      </c>
      <c r="E58" s="90">
        <v>2015</v>
      </c>
      <c r="F58" s="65">
        <v>15</v>
      </c>
      <c r="G58" s="77">
        <v>16.5</v>
      </c>
      <c r="H58" s="77">
        <v>14.4</v>
      </c>
      <c r="I58" s="59">
        <v>14.72</v>
      </c>
      <c r="J58" s="59">
        <v>17.510000000000002</v>
      </c>
      <c r="K58" s="59">
        <v>10.81</v>
      </c>
      <c r="L58" s="59">
        <v>9.2799999999999994</v>
      </c>
      <c r="M58" s="59">
        <v>10.11</v>
      </c>
      <c r="N58" s="59">
        <v>7.98</v>
      </c>
      <c r="O58" s="59">
        <v>7.9</v>
      </c>
      <c r="P58" s="59">
        <v>12.38</v>
      </c>
      <c r="Q58" s="59">
        <v>10.220000000000001</v>
      </c>
      <c r="R58" s="60">
        <v>9.69</v>
      </c>
      <c r="S58" s="13">
        <f t="shared" si="20"/>
        <v>12.038461538461538</v>
      </c>
      <c r="T58" s="4">
        <f t="shared" ca="1" si="21"/>
        <v>0</v>
      </c>
      <c r="U58" s="4">
        <f t="shared" ca="1" si="22"/>
        <v>122</v>
      </c>
      <c r="V58" s="4">
        <f t="shared" ca="1" si="23"/>
        <v>238</v>
      </c>
      <c r="W58" s="13">
        <f t="shared" ca="1" si="24"/>
        <v>15.111666666666665</v>
      </c>
      <c r="X58" s="5">
        <f t="shared" ca="1" si="19"/>
        <v>0.25528221512247051</v>
      </c>
      <c r="Y58" s="15">
        <f t="shared" si="25"/>
        <v>-9.0909090909090939E-2</v>
      </c>
      <c r="Z58" s="15">
        <f t="shared" si="26"/>
        <v>0.14583333333333326</v>
      </c>
      <c r="AA58" s="15">
        <f t="shared" si="27"/>
        <v>-2.1739130434782594E-2</v>
      </c>
      <c r="AB58" s="15">
        <f t="shared" si="28"/>
        <v>-0.15933752141633362</v>
      </c>
      <c r="AC58" s="15">
        <f t="shared" si="29"/>
        <v>0.61979648473635529</v>
      </c>
      <c r="AD58" s="15">
        <f t="shared" si="30"/>
        <v>0.1648706896551726</v>
      </c>
      <c r="AE58" s="15">
        <f t="shared" si="31"/>
        <v>-8.2096933728981192E-2</v>
      </c>
      <c r="AF58" s="15">
        <f t="shared" si="32"/>
        <v>0.26691729323308255</v>
      </c>
      <c r="AG58" s="15">
        <f t="shared" si="33"/>
        <v>1.0126582278481067E-2</v>
      </c>
      <c r="AH58" s="15">
        <f t="shared" si="34"/>
        <v>-0.36187399030694667</v>
      </c>
      <c r="AI58" s="15">
        <f t="shared" si="35"/>
        <v>0.21135029354207435</v>
      </c>
      <c r="AJ58" s="15">
        <f t="shared" si="36"/>
        <v>5.4695562435500555E-2</v>
      </c>
      <c r="AK58" s="5">
        <f t="shared" si="37"/>
        <v>-0.36187399030694667</v>
      </c>
    </row>
    <row r="59" spans="1:37" x14ac:dyDescent="0.25">
      <c r="A59" t="s">
        <v>97</v>
      </c>
      <c r="B59" t="s">
        <v>98</v>
      </c>
      <c r="C59" s="56">
        <v>31</v>
      </c>
      <c r="D59" s="56">
        <v>5</v>
      </c>
      <c r="E59" s="56">
        <v>2015</v>
      </c>
      <c r="F59" s="65">
        <v>10.4</v>
      </c>
      <c r="G59" s="77">
        <v>10.1</v>
      </c>
      <c r="H59" s="77">
        <v>10.1</v>
      </c>
      <c r="I59" s="59">
        <v>10.67</v>
      </c>
      <c r="J59" s="59">
        <v>10.41</v>
      </c>
      <c r="K59" s="59">
        <v>9.9</v>
      </c>
      <c r="L59" s="59">
        <v>9.8699999999999992</v>
      </c>
      <c r="M59" s="59">
        <v>8.3000000000000007</v>
      </c>
      <c r="N59" s="59">
        <v>7.95</v>
      </c>
      <c r="O59" s="59">
        <v>10.45</v>
      </c>
      <c r="P59" s="59">
        <v>7.82</v>
      </c>
      <c r="Q59" s="59">
        <v>8.11</v>
      </c>
      <c r="R59" s="60">
        <v>7.69</v>
      </c>
      <c r="S59" s="13">
        <f t="shared" si="20"/>
        <v>9.3669230769230758</v>
      </c>
      <c r="T59" s="4">
        <f t="shared" ca="1" si="21"/>
        <v>0</v>
      </c>
      <c r="U59" s="4">
        <f t="shared" ca="1" si="22"/>
        <v>332</v>
      </c>
      <c r="V59" s="4">
        <f t="shared" ca="1" si="23"/>
        <v>28</v>
      </c>
      <c r="W59" s="13">
        <f t="shared" ca="1" si="24"/>
        <v>10.1</v>
      </c>
      <c r="X59" s="5">
        <f t="shared" ca="1" si="19"/>
        <v>7.8262297774492895E-2</v>
      </c>
      <c r="Y59" s="15">
        <f t="shared" si="25"/>
        <v>2.9702970297029729E-2</v>
      </c>
      <c r="Z59" s="15">
        <f t="shared" si="26"/>
        <v>0</v>
      </c>
      <c r="AA59" s="15">
        <f t="shared" si="27"/>
        <v>-5.3420805998125598E-2</v>
      </c>
      <c r="AB59" s="15">
        <f t="shared" si="28"/>
        <v>2.4975984630163373E-2</v>
      </c>
      <c r="AC59" s="15">
        <f t="shared" si="29"/>
        <v>5.1515151515151514E-2</v>
      </c>
      <c r="AD59" s="15">
        <f t="shared" si="30"/>
        <v>3.0395136778116338E-3</v>
      </c>
      <c r="AE59" s="15">
        <f t="shared" si="31"/>
        <v>0.18915662650602383</v>
      </c>
      <c r="AF59" s="15">
        <f t="shared" si="32"/>
        <v>4.4025157232704393E-2</v>
      </c>
      <c r="AG59" s="15">
        <f t="shared" si="33"/>
        <v>-0.23923444976076547</v>
      </c>
      <c r="AH59" s="15">
        <f t="shared" si="34"/>
        <v>0.33631713554987197</v>
      </c>
      <c r="AI59" s="15">
        <f t="shared" si="35"/>
        <v>-3.5758323057953012E-2</v>
      </c>
      <c r="AJ59" s="15">
        <f t="shared" si="36"/>
        <v>5.4616384915474603E-2</v>
      </c>
      <c r="AK59" s="5">
        <f t="shared" si="37"/>
        <v>-0.23923444976076547</v>
      </c>
    </row>
    <row r="60" spans="1:37" x14ac:dyDescent="0.25">
      <c r="A60" t="s">
        <v>259</v>
      </c>
      <c r="B60" t="s">
        <v>260</v>
      </c>
      <c r="C60" s="56">
        <v>31</v>
      </c>
      <c r="D60" s="56">
        <v>12</v>
      </c>
      <c r="E60" s="56">
        <v>2015</v>
      </c>
      <c r="F60" s="65">
        <v>11</v>
      </c>
      <c r="G60" s="77">
        <v>10.1</v>
      </c>
      <c r="H60" s="77">
        <v>9.48</v>
      </c>
      <c r="I60" s="59">
        <v>7.83</v>
      </c>
      <c r="J60" s="59">
        <v>9.77</v>
      </c>
      <c r="K60" s="59">
        <v>6.7</v>
      </c>
      <c r="L60" s="59">
        <v>4.93</v>
      </c>
      <c r="M60" s="59">
        <v>5.91</v>
      </c>
      <c r="N60" s="59">
        <v>5.97</v>
      </c>
      <c r="O60" s="59">
        <v>3.79</v>
      </c>
      <c r="P60" s="59">
        <v>6.48</v>
      </c>
      <c r="Q60" s="59">
        <v>5.2</v>
      </c>
      <c r="R60" s="60">
        <v>5.63</v>
      </c>
      <c r="S60" s="13">
        <f t="shared" si="20"/>
        <v>7.1376923076923093</v>
      </c>
      <c r="T60" s="4">
        <f t="shared" ca="1" si="21"/>
        <v>0</v>
      </c>
      <c r="U60" s="4">
        <f t="shared" ca="1" si="22"/>
        <v>122</v>
      </c>
      <c r="V60" s="4">
        <f t="shared" ca="1" si="23"/>
        <v>238</v>
      </c>
      <c r="W60" s="13">
        <f t="shared" ca="1" si="24"/>
        <v>9.6901111111111113</v>
      </c>
      <c r="X60" s="5">
        <f t="shared" ca="1" si="19"/>
        <v>0.35759720276370754</v>
      </c>
      <c r="Y60" s="15">
        <f t="shared" si="25"/>
        <v>8.9108910891089188E-2</v>
      </c>
      <c r="Z60" s="15">
        <f t="shared" si="26"/>
        <v>6.5400843881856519E-2</v>
      </c>
      <c r="AA60" s="15">
        <f t="shared" si="27"/>
        <v>0.21072796934865901</v>
      </c>
      <c r="AB60" s="15">
        <f t="shared" si="28"/>
        <v>-0.19856704196519959</v>
      </c>
      <c r="AC60" s="15">
        <f t="shared" si="29"/>
        <v>0.45820895522388039</v>
      </c>
      <c r="AD60" s="15">
        <f t="shared" si="30"/>
        <v>0.35902636916835706</v>
      </c>
      <c r="AE60" s="15">
        <f t="shared" si="31"/>
        <v>-0.16582064297800347</v>
      </c>
      <c r="AF60" s="15">
        <f t="shared" si="32"/>
        <v>-1.005025125628134E-2</v>
      </c>
      <c r="AG60" s="15">
        <f t="shared" si="33"/>
        <v>0.57519788918205794</v>
      </c>
      <c r="AH60" s="15">
        <f t="shared" si="34"/>
        <v>-0.41512345679012352</v>
      </c>
      <c r="AI60" s="15">
        <f t="shared" si="35"/>
        <v>0.24615384615384617</v>
      </c>
      <c r="AJ60" s="15">
        <f t="shared" si="36"/>
        <v>-7.6376554174067413E-2</v>
      </c>
      <c r="AK60" s="5">
        <f t="shared" si="37"/>
        <v>-0.41512345679012352</v>
      </c>
    </row>
    <row r="61" spans="1:37" x14ac:dyDescent="0.25">
      <c r="A61" t="s">
        <v>99</v>
      </c>
      <c r="B61" t="s">
        <v>100</v>
      </c>
      <c r="C61" s="56">
        <v>31</v>
      </c>
      <c r="D61" s="56">
        <v>12</v>
      </c>
      <c r="E61" s="56">
        <v>2015</v>
      </c>
      <c r="F61" s="65">
        <v>2.79</v>
      </c>
      <c r="G61" s="77">
        <v>2.08</v>
      </c>
      <c r="H61" s="77">
        <v>1.52</v>
      </c>
      <c r="I61" s="59">
        <v>2</v>
      </c>
      <c r="J61" s="59">
        <v>12.75</v>
      </c>
      <c r="K61" s="59">
        <v>12.81</v>
      </c>
      <c r="L61" s="59">
        <v>13.27</v>
      </c>
      <c r="M61" s="59">
        <v>14.54</v>
      </c>
      <c r="N61" s="59">
        <v>12.99</v>
      </c>
      <c r="O61" s="59">
        <v>9.3800000000000008</v>
      </c>
      <c r="P61" s="59">
        <v>12.41</v>
      </c>
      <c r="Q61" s="59">
        <v>13.38</v>
      </c>
      <c r="R61" s="60">
        <v>12.04</v>
      </c>
      <c r="S61" s="13">
        <f t="shared" si="20"/>
        <v>9.3815384615384598</v>
      </c>
      <c r="T61" s="4">
        <f t="shared" ca="1" si="21"/>
        <v>0</v>
      </c>
      <c r="U61" s="4">
        <f t="shared" ca="1" si="22"/>
        <v>122</v>
      </c>
      <c r="V61" s="4">
        <f t="shared" ca="1" si="23"/>
        <v>238</v>
      </c>
      <c r="W61" s="13">
        <f t="shared" ca="1" si="24"/>
        <v>1.7097777777777781</v>
      </c>
      <c r="X61" s="5">
        <f t="shared" ca="1" si="19"/>
        <v>-0.81775081083050905</v>
      </c>
      <c r="Y61" s="15">
        <f t="shared" si="25"/>
        <v>0.34134615384615374</v>
      </c>
      <c r="Z61" s="15">
        <f t="shared" si="26"/>
        <v>0.36842105263157898</v>
      </c>
      <c r="AA61" s="15">
        <f t="shared" si="27"/>
        <v>-0.24</v>
      </c>
      <c r="AB61" s="15">
        <f t="shared" si="28"/>
        <v>-0.84313725490196079</v>
      </c>
      <c r="AC61" s="15">
        <f t="shared" si="29"/>
        <v>-4.6838407494145251E-3</v>
      </c>
      <c r="AD61" s="15">
        <f t="shared" si="30"/>
        <v>-3.466465712132627E-2</v>
      </c>
      <c r="AE61" s="15">
        <f t="shared" si="31"/>
        <v>-8.7345254470426403E-2</v>
      </c>
      <c r="AF61" s="15">
        <f t="shared" si="32"/>
        <v>0.11932255581216311</v>
      </c>
      <c r="AG61" s="15">
        <f t="shared" si="33"/>
        <v>0.38486140724946694</v>
      </c>
      <c r="AH61" s="15">
        <f t="shared" si="34"/>
        <v>-0.2441579371474617</v>
      </c>
      <c r="AI61" s="15">
        <f t="shared" si="35"/>
        <v>-7.2496263079222745E-2</v>
      </c>
      <c r="AJ61" s="15">
        <f t="shared" si="36"/>
        <v>0.11129568106312315</v>
      </c>
      <c r="AK61" s="5">
        <f t="shared" si="37"/>
        <v>-0.84313725490196079</v>
      </c>
    </row>
    <row r="62" spans="1:37" x14ac:dyDescent="0.25">
      <c r="A62" t="s">
        <v>261</v>
      </c>
      <c r="B62" t="s">
        <v>262</v>
      </c>
      <c r="C62" s="56">
        <v>31</v>
      </c>
      <c r="D62" s="56">
        <v>12</v>
      </c>
      <c r="E62" s="56">
        <v>2015</v>
      </c>
      <c r="F62" s="65">
        <v>12.8</v>
      </c>
      <c r="G62" s="77">
        <v>8.4700000000000006</v>
      </c>
      <c r="H62" s="77">
        <v>7.11</v>
      </c>
      <c r="I62" s="64">
        <v>5.89</v>
      </c>
      <c r="J62" s="59">
        <v>6.27</v>
      </c>
      <c r="K62" s="59">
        <v>5.61</v>
      </c>
      <c r="L62" s="59">
        <v>4.63</v>
      </c>
      <c r="M62" s="59">
        <v>3.98</v>
      </c>
      <c r="N62" s="59">
        <v>2.7</v>
      </c>
      <c r="O62" s="59"/>
      <c r="P62" s="59"/>
      <c r="Q62" s="59"/>
      <c r="R62" s="60"/>
      <c r="S62" s="13">
        <f t="shared" si="20"/>
        <v>6.384444444444445</v>
      </c>
      <c r="T62" s="4">
        <f t="shared" ca="1" si="21"/>
        <v>0</v>
      </c>
      <c r="U62" s="4">
        <f t="shared" ca="1" si="22"/>
        <v>122</v>
      </c>
      <c r="V62" s="4">
        <f t="shared" ca="1" si="23"/>
        <v>238</v>
      </c>
      <c r="W62" s="13">
        <f t="shared" ca="1" si="24"/>
        <v>7.5708888888888888</v>
      </c>
      <c r="X62" s="5">
        <f t="shared" ca="1" si="19"/>
        <v>0.18583362339018428</v>
      </c>
      <c r="Y62" s="15">
        <f t="shared" si="25"/>
        <v>0.5112160566706021</v>
      </c>
      <c r="Z62" s="15">
        <f t="shared" si="26"/>
        <v>0.19127988748241909</v>
      </c>
      <c r="AA62" s="15">
        <f t="shared" si="27"/>
        <v>0.20713073005093396</v>
      </c>
      <c r="AB62" s="15">
        <f t="shared" si="28"/>
        <v>-6.0606060606060552E-2</v>
      </c>
      <c r="AC62" s="15">
        <f t="shared" si="29"/>
        <v>0.11764705882352922</v>
      </c>
      <c r="AD62" s="15">
        <f t="shared" si="30"/>
        <v>0.21166306695464376</v>
      </c>
      <c r="AE62" s="15">
        <f t="shared" si="31"/>
        <v>0.16331658291457285</v>
      </c>
      <c r="AF62" s="15">
        <f t="shared" si="32"/>
        <v>0.47407407407407387</v>
      </c>
      <c r="AG62" s="15">
        <f t="shared" si="33"/>
        <v>99.999989999999997</v>
      </c>
      <c r="AH62" s="15">
        <f t="shared" si="34"/>
        <v>99.999989999999997</v>
      </c>
      <c r="AI62" s="15">
        <f t="shared" si="35"/>
        <v>99.999989999999997</v>
      </c>
      <c r="AJ62" s="15">
        <f t="shared" si="36"/>
        <v>99.999989999999997</v>
      </c>
      <c r="AK62" s="5">
        <f t="shared" si="37"/>
        <v>-6.0606060606060552E-2</v>
      </c>
    </row>
    <row r="63" spans="1:37" x14ac:dyDescent="0.25">
      <c r="A63" t="s">
        <v>263</v>
      </c>
      <c r="B63" t="s">
        <v>264</v>
      </c>
      <c r="C63" s="56">
        <v>31</v>
      </c>
      <c r="D63" s="56">
        <v>12</v>
      </c>
      <c r="E63" s="56">
        <v>2015</v>
      </c>
      <c r="F63" s="65">
        <v>-3.52</v>
      </c>
      <c r="G63" s="77">
        <v>-2.94</v>
      </c>
      <c r="H63" s="77">
        <v>-1.81</v>
      </c>
      <c r="I63" s="59">
        <v>-0.92</v>
      </c>
      <c r="J63" s="59">
        <v>1.58</v>
      </c>
      <c r="K63" s="59">
        <v>1.73</v>
      </c>
      <c r="L63" s="59">
        <v>-0.76</v>
      </c>
      <c r="M63" s="59">
        <v>-1.34</v>
      </c>
      <c r="N63" s="59">
        <v>-2.56</v>
      </c>
      <c r="O63" s="59">
        <v>-4.2300000000000004</v>
      </c>
      <c r="P63" s="59">
        <v>-3.12</v>
      </c>
      <c r="Q63" s="59">
        <v>0.6</v>
      </c>
      <c r="R63" s="60">
        <v>1.07</v>
      </c>
      <c r="S63" s="13">
        <f t="shared" si="20"/>
        <v>-1.2476923076923077</v>
      </c>
      <c r="T63" s="4">
        <f t="shared" ca="1" si="21"/>
        <v>0</v>
      </c>
      <c r="U63" s="4">
        <f t="shared" ca="1" si="22"/>
        <v>122</v>
      </c>
      <c r="V63" s="4">
        <f t="shared" ca="1" si="23"/>
        <v>238</v>
      </c>
      <c r="W63" s="13">
        <f t="shared" ca="1" si="24"/>
        <v>-2.1929444444444441</v>
      </c>
      <c r="X63" s="5">
        <f t="shared" ca="1" si="19"/>
        <v>-0.75760035621317967</v>
      </c>
      <c r="Y63" s="15">
        <f t="shared" si="25"/>
        <v>-0.19727891156462585</v>
      </c>
      <c r="Z63" s="15">
        <f t="shared" si="26"/>
        <v>-0.62430939226519322</v>
      </c>
      <c r="AA63" s="15">
        <f t="shared" si="27"/>
        <v>-0.96739130434782616</v>
      </c>
      <c r="AB63" s="15">
        <f t="shared" si="28"/>
        <v>-1.5822784810126582</v>
      </c>
      <c r="AC63" s="15">
        <f t="shared" si="29"/>
        <v>-8.6705202312138629E-2</v>
      </c>
      <c r="AD63" s="15">
        <f t="shared" si="30"/>
        <v>3.2763157894736841</v>
      </c>
      <c r="AE63" s="15">
        <f t="shared" si="31"/>
        <v>0.43283582089552242</v>
      </c>
      <c r="AF63" s="15">
        <f t="shared" si="32"/>
        <v>0.4765625</v>
      </c>
      <c r="AG63" s="15">
        <f t="shared" si="33"/>
        <v>0.39479905437352247</v>
      </c>
      <c r="AH63" s="15">
        <f t="shared" si="34"/>
        <v>-0.35576923076923084</v>
      </c>
      <c r="AI63" s="15">
        <f t="shared" si="35"/>
        <v>-6.2</v>
      </c>
      <c r="AJ63" s="15">
        <f t="shared" si="36"/>
        <v>-0.43925233644859818</v>
      </c>
      <c r="AK63" s="5">
        <f t="shared" si="37"/>
        <v>-6.2</v>
      </c>
    </row>
    <row r="64" spans="1:37" x14ac:dyDescent="0.25">
      <c r="A64" s="52" t="s">
        <v>276</v>
      </c>
      <c r="B64" s="52" t="s">
        <v>281</v>
      </c>
      <c r="C64" s="90">
        <v>31</v>
      </c>
      <c r="D64" s="90">
        <v>12</v>
      </c>
      <c r="E64" s="90">
        <v>2015</v>
      </c>
      <c r="F64" s="65">
        <v>45.2</v>
      </c>
      <c r="G64" s="77">
        <v>41.9</v>
      </c>
      <c r="H64" s="77">
        <v>37.1</v>
      </c>
      <c r="I64" s="59">
        <v>35.47</v>
      </c>
      <c r="J64" s="59">
        <v>33.729999999999997</v>
      </c>
      <c r="K64" s="59">
        <v>32.68</v>
      </c>
      <c r="L64" s="59">
        <v>27.23</v>
      </c>
      <c r="M64" s="59">
        <v>23.78</v>
      </c>
      <c r="N64" s="59">
        <v>20.58</v>
      </c>
      <c r="O64" s="59">
        <v>17.3</v>
      </c>
      <c r="P64" s="59">
        <v>16.010000000000002</v>
      </c>
      <c r="Q64" s="59">
        <v>15.47</v>
      </c>
      <c r="R64" s="60">
        <v>13.06</v>
      </c>
      <c r="S64" s="13">
        <f t="shared" si="20"/>
        <v>27.654615384615383</v>
      </c>
      <c r="T64" s="4">
        <f t="shared" ca="1" si="21"/>
        <v>0</v>
      </c>
      <c r="U64" s="4">
        <f t="shared" ca="1" si="22"/>
        <v>122</v>
      </c>
      <c r="V64" s="4">
        <f t="shared" ca="1" si="23"/>
        <v>238</v>
      </c>
      <c r="W64" s="13">
        <f t="shared" ca="1" si="24"/>
        <v>38.726666666666667</v>
      </c>
      <c r="X64" s="5">
        <f t="shared" ca="1" si="19"/>
        <v>0.40036902079682535</v>
      </c>
      <c r="Y64" s="15">
        <f t="shared" si="25"/>
        <v>7.875894988066845E-2</v>
      </c>
      <c r="Z64" s="15">
        <f t="shared" si="26"/>
        <v>0.12938005390835561</v>
      </c>
      <c r="AA64" s="15">
        <f t="shared" si="27"/>
        <v>4.5954327600789435E-2</v>
      </c>
      <c r="AB64" s="15">
        <f t="shared" si="28"/>
        <v>5.1586125111177106E-2</v>
      </c>
      <c r="AC64" s="15">
        <f t="shared" si="29"/>
        <v>3.2129742962056174E-2</v>
      </c>
      <c r="AD64" s="15">
        <f t="shared" si="30"/>
        <v>0.20014689680499442</v>
      </c>
      <c r="AE64" s="15">
        <f t="shared" si="31"/>
        <v>0.14507989907485275</v>
      </c>
      <c r="AF64" s="15">
        <f t="shared" si="32"/>
        <v>0.15549076773566584</v>
      </c>
      <c r="AG64" s="15">
        <f t="shared" si="33"/>
        <v>0.18959537572254326</v>
      </c>
      <c r="AH64" s="15">
        <f t="shared" si="34"/>
        <v>8.057464084946897E-2</v>
      </c>
      <c r="AI64" s="15">
        <f t="shared" si="35"/>
        <v>3.4906270200387945E-2</v>
      </c>
      <c r="AJ64" s="15">
        <f t="shared" si="36"/>
        <v>0.18453292496171514</v>
      </c>
      <c r="AK64" s="5">
        <f t="shared" si="37"/>
        <v>3.2129742962056174E-2</v>
      </c>
    </row>
    <row r="65" spans="1:37" x14ac:dyDescent="0.25">
      <c r="A65" t="s">
        <v>265</v>
      </c>
      <c r="B65" t="s">
        <v>266</v>
      </c>
      <c r="C65" s="56">
        <v>30</v>
      </c>
      <c r="D65" s="56">
        <v>9</v>
      </c>
      <c r="E65" s="56">
        <v>2015</v>
      </c>
      <c r="F65" s="65">
        <v>22.5</v>
      </c>
      <c r="G65" s="97">
        <v>12</v>
      </c>
      <c r="H65" s="97">
        <v>10.76</v>
      </c>
      <c r="I65" s="59">
        <v>8.7899999999999991</v>
      </c>
      <c r="J65" s="59">
        <v>8.61</v>
      </c>
      <c r="K65" s="59">
        <v>8.52</v>
      </c>
      <c r="L65" s="59">
        <v>8.02</v>
      </c>
      <c r="M65" s="59">
        <v>7.49</v>
      </c>
      <c r="N65" s="59"/>
      <c r="O65" s="59"/>
      <c r="P65" s="59"/>
      <c r="Q65" s="59"/>
      <c r="R65" s="60"/>
      <c r="S65" s="13">
        <f t="shared" si="20"/>
        <v>10.836249999999998</v>
      </c>
      <c r="T65" s="4">
        <f t="shared" ca="1" si="21"/>
        <v>0</v>
      </c>
      <c r="U65" s="4">
        <f t="shared" ca="1" si="22"/>
        <v>213</v>
      </c>
      <c r="V65" s="4">
        <f t="shared" ca="1" si="23"/>
        <v>147</v>
      </c>
      <c r="W65" s="13">
        <f t="shared" ca="1" si="24"/>
        <v>11.493666666666666</v>
      </c>
      <c r="X65" s="5">
        <f t="shared" ca="1" si="19"/>
        <v>6.0668281616488073E-2</v>
      </c>
      <c r="Y65" s="15">
        <f t="shared" si="25"/>
        <v>0.875</v>
      </c>
      <c r="Z65" s="15">
        <f t="shared" si="26"/>
        <v>0.11524163568773238</v>
      </c>
      <c r="AA65" s="15">
        <f t="shared" si="27"/>
        <v>0.22411831626848699</v>
      </c>
      <c r="AB65" s="15">
        <f t="shared" si="28"/>
        <v>2.0905923344947785E-2</v>
      </c>
      <c r="AC65" s="15">
        <f t="shared" si="29"/>
        <v>1.0563380281690016E-2</v>
      </c>
      <c r="AD65" s="15">
        <f t="shared" si="30"/>
        <v>6.2344139650872821E-2</v>
      </c>
      <c r="AE65" s="15">
        <f t="shared" si="31"/>
        <v>7.0761014686248291E-2</v>
      </c>
      <c r="AF65" s="15">
        <f t="shared" si="32"/>
        <v>99.999989999999997</v>
      </c>
      <c r="AG65" s="15">
        <f t="shared" si="33"/>
        <v>99.999989999999997</v>
      </c>
      <c r="AH65" s="15">
        <f t="shared" si="34"/>
        <v>99.999989999999997</v>
      </c>
      <c r="AI65" s="15">
        <f t="shared" si="35"/>
        <v>99.999989999999997</v>
      </c>
      <c r="AJ65" s="15">
        <f t="shared" si="36"/>
        <v>99.999989999999997</v>
      </c>
      <c r="AK65" s="5">
        <f t="shared" si="37"/>
        <v>1.0563380281690016E-2</v>
      </c>
    </row>
    <row r="66" spans="1:37" x14ac:dyDescent="0.25">
      <c r="A66" s="52"/>
      <c r="B66" s="52"/>
      <c r="C66" s="90"/>
      <c r="D66" s="90"/>
      <c r="E66" s="90"/>
      <c r="F66" s="93"/>
      <c r="G66" s="94"/>
      <c r="H66" s="94"/>
      <c r="I66" s="95"/>
      <c r="J66" s="95"/>
      <c r="K66" s="95"/>
      <c r="L66" s="95"/>
      <c r="M66" s="95"/>
      <c r="N66" s="95"/>
      <c r="O66" s="95"/>
      <c r="P66" s="95"/>
      <c r="Q66" s="95"/>
      <c r="R66" s="96"/>
      <c r="S66" s="13" t="e">
        <f t="shared" si="20"/>
        <v>#DIV/0!</v>
      </c>
      <c r="T66" s="4">
        <f t="shared" ca="1" si="21"/>
        <v>41553</v>
      </c>
      <c r="U66" s="4">
        <f t="shared" ca="1" si="22"/>
        <v>-41193</v>
      </c>
      <c r="V66" s="4" t="e">
        <f t="shared" ca="1" si="23"/>
        <v>#NUM!</v>
      </c>
      <c r="W66" s="13" t="e">
        <f t="shared" ca="1" si="24"/>
        <v>#NUM!</v>
      </c>
      <c r="X66" s="5" t="e">
        <f t="shared" ca="1" si="19"/>
        <v>#NUM!</v>
      </c>
      <c r="Y66" s="15">
        <f t="shared" si="25"/>
        <v>99.999989999999997</v>
      </c>
      <c r="Z66" s="15">
        <f t="shared" si="26"/>
        <v>99.999989999999997</v>
      </c>
      <c r="AA66" s="15">
        <f t="shared" si="27"/>
        <v>99.999989999999997</v>
      </c>
      <c r="AB66" s="15">
        <f t="shared" si="28"/>
        <v>99.999989999999997</v>
      </c>
      <c r="AC66" s="15">
        <f t="shared" si="29"/>
        <v>99.999989999999997</v>
      </c>
      <c r="AD66" s="15">
        <f t="shared" si="30"/>
        <v>99.999989999999997</v>
      </c>
      <c r="AE66" s="15">
        <f t="shared" si="31"/>
        <v>99.999989999999997</v>
      </c>
      <c r="AF66" s="15">
        <f t="shared" si="32"/>
        <v>99.999989999999997</v>
      </c>
      <c r="AG66" s="15">
        <f t="shared" si="33"/>
        <v>99.999989999999997</v>
      </c>
      <c r="AH66" s="15">
        <f t="shared" si="34"/>
        <v>99.999989999999997</v>
      </c>
      <c r="AI66" s="15">
        <f t="shared" si="35"/>
        <v>99.999989999999997</v>
      </c>
      <c r="AJ66" s="15">
        <f t="shared" si="36"/>
        <v>99.999989999999997</v>
      </c>
      <c r="AK66" s="5">
        <f t="shared" si="37"/>
        <v>99.999989999999997</v>
      </c>
    </row>
    <row r="67" spans="1:37" x14ac:dyDescent="0.25">
      <c r="A67" s="52"/>
      <c r="B67" s="52"/>
      <c r="C67" s="90"/>
      <c r="D67" s="90"/>
      <c r="E67" s="90"/>
      <c r="F67" s="93"/>
      <c r="G67" s="94"/>
      <c r="H67" s="94"/>
      <c r="I67" s="95"/>
      <c r="J67" s="95"/>
      <c r="K67" s="95"/>
      <c r="L67" s="95"/>
      <c r="M67" s="95"/>
      <c r="N67" s="95"/>
      <c r="O67" s="95"/>
      <c r="P67" s="95"/>
      <c r="Q67" s="95"/>
      <c r="R67" s="96"/>
      <c r="S67" s="13" t="e">
        <f t="shared" ref="S67:S101" si="38">AVERAGE(F67:R67)</f>
        <v>#DIV/0!</v>
      </c>
      <c r="T67" s="4">
        <f t="shared" ref="T67:T101" ca="1" si="39">IF(DAYS360(TODAY(),DATE(E67+2,D67,C67))&gt;=720,0,360-U67)</f>
        <v>41553</v>
      </c>
      <c r="U67" s="4">
        <f t="shared" ref="U67:U101" ca="1" si="40">IF(DAYS360(TODAY(),DATE(E67+1,D67,C67))&lt;=360,DAYS360(TODAY(),DATE(E67+1,D67,C67)),360-V67)</f>
        <v>-41193</v>
      </c>
      <c r="V67" s="4" t="e">
        <f t="shared" ref="V67:V101" ca="1" si="41">IF(DATE(E67,D67,C67)&lt;=TODAY(),0,DAYS360(TODAY(),DATE(E67,D67,C67)))</f>
        <v>#NUM!</v>
      </c>
      <c r="W67" s="13" t="e">
        <f t="shared" ref="W67:W101" ca="1" si="42">(F67/360*T67)+(G67/360*U67)+(H67/360*V67)</f>
        <v>#NUM!</v>
      </c>
      <c r="X67" s="5" t="e">
        <f t="shared" ca="1" si="19"/>
        <v>#NUM!</v>
      </c>
      <c r="Y67" s="15">
        <f t="shared" ref="Y67:Y101" si="43">IF(F67&lt;&gt;"",IF(G67&lt;&gt;"",IF(F67&lt;0,IF(G67&lt;0,((F67/G67)-1)*-1,(F67/G67)-1),IF(G67&lt;0,ABS((F67/G67)-1),(F67/G67)-1))),99.99999)</f>
        <v>99.999989999999997</v>
      </c>
      <c r="Z67" s="15">
        <f t="shared" ref="Z67:Z101" si="44">IF(H67&lt;&gt;"",IF(G67&lt;0,IF(H67&lt;0,((G67/H67)-1)*-1,(G67/H67)-1),IF(H67&lt;0,ABS((G67/H67)-1),(G67/H67)-1)),99.99999)</f>
        <v>99.999989999999997</v>
      </c>
      <c r="AA67" s="15">
        <f t="shared" ref="AA67:AA101" si="45">IF(I67&lt;&gt;"",IF(H67&lt;0,IF(I67&lt;0,((H67/I67)-1)*-1,(H67/I67)-1),IF(I67&lt;0,ABS((H67/I67)-1),(H67/I67)-1)),99.99999)</f>
        <v>99.999989999999997</v>
      </c>
      <c r="AB67" s="15">
        <f t="shared" ref="AB67:AB101" si="46">IF(J67&lt;&gt;"",IF(I67&lt;0,IF(J67&lt;0,((I67/J67)-1)*-1,(I67/J67)-1),IF(J67&lt;0,ABS((I67/J67)-1),(I67/J67)-1)),99.99999)</f>
        <v>99.999989999999997</v>
      </c>
      <c r="AC67" s="15">
        <f t="shared" ref="AC67:AC101" si="47">IF(K67&lt;&gt;"",IF(J67&lt;0,IF(K67&lt;0,((J67/K67)-1)*-1,(J67/K67)-1),IF(K67&lt;0,ABS((J67/K67)-1),(J67/K67)-1)),99.99999)</f>
        <v>99.999989999999997</v>
      </c>
      <c r="AD67" s="15">
        <f t="shared" ref="AD67:AD101" si="48">IF(L67&lt;&gt;"",IF(K67&lt;0,IF(L67&lt;0,((K67/L67)-1)*-1,(K67/L67)-1),IF(L67&lt;0,ABS((K67/L67)-1),(K67/L67)-1)),99.99999)</f>
        <v>99.999989999999997</v>
      </c>
      <c r="AE67" s="15">
        <f t="shared" ref="AE67:AE101" si="49">IF(M67&lt;&gt;"",IF(L67&lt;0,IF(M67&lt;0,((L67/M67)-1)*-1,(L67/M67)-1),IF(M67&lt;0,ABS((L67/M67)-1),(L67/M67)-1)),99.99999)</f>
        <v>99.999989999999997</v>
      </c>
      <c r="AF67" s="15">
        <f t="shared" ref="AF67:AF101" si="50">IF(N67&lt;&gt;"",IF(M67&lt;0,IF(N67&lt;0,((M67/N67)-1)*-1,(M67/N67)-1),IF(N67&lt;0,ABS((M67/N67)-1),(M67/N67)-1)),99.99999)</f>
        <v>99.999989999999997</v>
      </c>
      <c r="AG67" s="15">
        <f t="shared" ref="AG67:AG101" si="51">IF(O67&lt;&gt;"",IF(N67&lt;0,IF(O67&lt;0,((N67/O67)-1)*-1,(N67/O67)-1),IF(O67&lt;0,ABS((N67/O67)-1),(N67/O67)-1)),99.99999)</f>
        <v>99.999989999999997</v>
      </c>
      <c r="AH67" s="15">
        <f t="shared" ref="AH67:AH101" si="52">IF(P67&lt;&gt;"",IF(O67&lt;0,IF(P67&lt;0,((O67/P67)-1)*-1,(O67/P67)-1),IF(P67&lt;0,ABS((O67/P67)-1),(O67/P67)-1)),99.99999)</f>
        <v>99.999989999999997</v>
      </c>
      <c r="AI67" s="15">
        <f t="shared" ref="AI67:AI101" si="53">IF(Q67&lt;&gt;"",IF(P67&lt;0,IF(Q67&lt;0,((P67/Q67)-1)*-1,(P67/Q67)-1),IF(Q67&lt;0,ABS((P67/Q67)-1),(P67/Q67)-1)),99.99999)</f>
        <v>99.999989999999997</v>
      </c>
      <c r="AJ67" s="15">
        <f t="shared" ref="AJ67:AJ101" si="54">IF(R67&lt;&gt;"",IF(Q67&lt;0,IF(R67&lt;0,((Q67/R67)-1)*-1,(Q67/R67)-1),IF(R67&lt;0,ABS((Q67/R67)-1),(Q67/R67)-1)),99.99999)</f>
        <v>99.999989999999997</v>
      </c>
      <c r="AK67" s="5">
        <f t="shared" ref="AK67:AK101" si="55">MIN(Y67:AJ67)</f>
        <v>99.999989999999997</v>
      </c>
    </row>
    <row r="68" spans="1:37" x14ac:dyDescent="0.25">
      <c r="A68" s="52"/>
      <c r="B68" s="52"/>
      <c r="C68" s="90"/>
      <c r="D68" s="90"/>
      <c r="E68" s="90"/>
      <c r="F68" s="93"/>
      <c r="G68" s="94"/>
      <c r="H68" s="94"/>
      <c r="I68" s="95"/>
      <c r="J68" s="95"/>
      <c r="K68" s="95"/>
      <c r="L68" s="95"/>
      <c r="M68" s="95"/>
      <c r="N68" s="95"/>
      <c r="O68" s="95"/>
      <c r="P68" s="95"/>
      <c r="Q68" s="95"/>
      <c r="R68" s="96"/>
      <c r="S68" s="13" t="e">
        <f t="shared" si="38"/>
        <v>#DIV/0!</v>
      </c>
      <c r="T68" s="4">
        <f t="shared" ca="1" si="39"/>
        <v>41553</v>
      </c>
      <c r="U68" s="4">
        <f t="shared" ca="1" si="40"/>
        <v>-41193</v>
      </c>
      <c r="V68" s="4" t="e">
        <f t="shared" ca="1" si="41"/>
        <v>#NUM!</v>
      </c>
      <c r="W68" s="13" t="e">
        <f t="shared" ca="1" si="42"/>
        <v>#NUM!</v>
      </c>
      <c r="X68" s="5" t="e">
        <f t="shared" ca="1" si="19"/>
        <v>#NUM!</v>
      </c>
      <c r="Y68" s="15">
        <f t="shared" si="43"/>
        <v>99.999989999999997</v>
      </c>
      <c r="Z68" s="15">
        <f t="shared" si="44"/>
        <v>99.999989999999997</v>
      </c>
      <c r="AA68" s="15">
        <f t="shared" si="45"/>
        <v>99.999989999999997</v>
      </c>
      <c r="AB68" s="15">
        <f t="shared" si="46"/>
        <v>99.999989999999997</v>
      </c>
      <c r="AC68" s="15">
        <f t="shared" si="47"/>
        <v>99.999989999999997</v>
      </c>
      <c r="AD68" s="15">
        <f t="shared" si="48"/>
        <v>99.999989999999997</v>
      </c>
      <c r="AE68" s="15">
        <f t="shared" si="49"/>
        <v>99.999989999999997</v>
      </c>
      <c r="AF68" s="15">
        <f t="shared" si="50"/>
        <v>99.999989999999997</v>
      </c>
      <c r="AG68" s="15">
        <f t="shared" si="51"/>
        <v>99.999989999999997</v>
      </c>
      <c r="AH68" s="15">
        <f t="shared" si="52"/>
        <v>99.999989999999997</v>
      </c>
      <c r="AI68" s="15">
        <f t="shared" si="53"/>
        <v>99.999989999999997</v>
      </c>
      <c r="AJ68" s="15">
        <f t="shared" si="54"/>
        <v>99.999989999999997</v>
      </c>
      <c r="AK68" s="5">
        <f t="shared" si="55"/>
        <v>99.999989999999997</v>
      </c>
    </row>
    <row r="69" spans="1:37" x14ac:dyDescent="0.25">
      <c r="A69" s="52"/>
      <c r="B69" s="52"/>
      <c r="C69" s="90"/>
      <c r="D69" s="90"/>
      <c r="E69" s="90"/>
      <c r="F69" s="93"/>
      <c r="G69" s="94"/>
      <c r="H69" s="94"/>
      <c r="I69" s="95"/>
      <c r="J69" s="95"/>
      <c r="K69" s="95"/>
      <c r="L69" s="95"/>
      <c r="M69" s="95"/>
      <c r="N69" s="95"/>
      <c r="O69" s="95"/>
      <c r="P69" s="95"/>
      <c r="Q69" s="95"/>
      <c r="R69" s="96"/>
      <c r="S69" s="13" t="e">
        <f t="shared" si="38"/>
        <v>#DIV/0!</v>
      </c>
      <c r="T69" s="4">
        <f t="shared" ca="1" si="39"/>
        <v>41553</v>
      </c>
      <c r="U69" s="4">
        <f t="shared" ca="1" si="40"/>
        <v>-41193</v>
      </c>
      <c r="V69" s="4" t="e">
        <f t="shared" ca="1" si="41"/>
        <v>#NUM!</v>
      </c>
      <c r="W69" s="13" t="e">
        <f t="shared" ca="1" si="42"/>
        <v>#NUM!</v>
      </c>
      <c r="X69" s="5" t="e">
        <f t="shared" ref="X69:X103" ca="1" si="56">IF(W69&lt;0,IF(S69&lt;0,((W69/S69)-1)*-1,(W69/S69)-1),IF(S69&lt;0,ABS((W69/S69)-1),(W69/S69)-1))</f>
        <v>#NUM!</v>
      </c>
      <c r="Y69" s="15">
        <f t="shared" si="43"/>
        <v>99.999989999999997</v>
      </c>
      <c r="Z69" s="15">
        <f t="shared" si="44"/>
        <v>99.999989999999997</v>
      </c>
      <c r="AA69" s="15">
        <f t="shared" si="45"/>
        <v>99.999989999999997</v>
      </c>
      <c r="AB69" s="15">
        <f t="shared" si="46"/>
        <v>99.999989999999997</v>
      </c>
      <c r="AC69" s="15">
        <f t="shared" si="47"/>
        <v>99.999989999999997</v>
      </c>
      <c r="AD69" s="15">
        <f t="shared" si="48"/>
        <v>99.999989999999997</v>
      </c>
      <c r="AE69" s="15">
        <f t="shared" si="49"/>
        <v>99.999989999999997</v>
      </c>
      <c r="AF69" s="15">
        <f t="shared" si="50"/>
        <v>99.999989999999997</v>
      </c>
      <c r="AG69" s="15">
        <f t="shared" si="51"/>
        <v>99.999989999999997</v>
      </c>
      <c r="AH69" s="15">
        <f t="shared" si="52"/>
        <v>99.999989999999997</v>
      </c>
      <c r="AI69" s="15">
        <f t="shared" si="53"/>
        <v>99.999989999999997</v>
      </c>
      <c r="AJ69" s="15">
        <f t="shared" si="54"/>
        <v>99.999989999999997</v>
      </c>
      <c r="AK69" s="5">
        <f t="shared" si="55"/>
        <v>99.999989999999997</v>
      </c>
    </row>
    <row r="70" spans="1:37" x14ac:dyDescent="0.25">
      <c r="A70" s="52"/>
      <c r="B70" s="52"/>
      <c r="C70" s="90"/>
      <c r="D70" s="90"/>
      <c r="E70" s="90"/>
      <c r="F70" s="93"/>
      <c r="G70" s="94"/>
      <c r="H70" s="94"/>
      <c r="I70" s="95"/>
      <c r="J70" s="95"/>
      <c r="K70" s="95"/>
      <c r="L70" s="95"/>
      <c r="M70" s="95"/>
      <c r="N70" s="95"/>
      <c r="O70" s="95"/>
      <c r="P70" s="95"/>
      <c r="Q70" s="95"/>
      <c r="R70" s="96"/>
      <c r="S70" s="13" t="e">
        <f t="shared" si="38"/>
        <v>#DIV/0!</v>
      </c>
      <c r="T70" s="4">
        <f t="shared" ca="1" si="39"/>
        <v>41553</v>
      </c>
      <c r="U70" s="4">
        <f t="shared" ca="1" si="40"/>
        <v>-41193</v>
      </c>
      <c r="V70" s="4" t="e">
        <f t="shared" ca="1" si="41"/>
        <v>#NUM!</v>
      </c>
      <c r="W70" s="13" t="e">
        <f t="shared" ca="1" si="42"/>
        <v>#NUM!</v>
      </c>
      <c r="X70" s="5" t="e">
        <f t="shared" ca="1" si="56"/>
        <v>#NUM!</v>
      </c>
      <c r="Y70" s="15">
        <f t="shared" si="43"/>
        <v>99.999989999999997</v>
      </c>
      <c r="Z70" s="15">
        <f t="shared" si="44"/>
        <v>99.999989999999997</v>
      </c>
      <c r="AA70" s="15">
        <f t="shared" si="45"/>
        <v>99.999989999999997</v>
      </c>
      <c r="AB70" s="15">
        <f t="shared" si="46"/>
        <v>99.999989999999997</v>
      </c>
      <c r="AC70" s="15">
        <f t="shared" si="47"/>
        <v>99.999989999999997</v>
      </c>
      <c r="AD70" s="15">
        <f t="shared" si="48"/>
        <v>99.999989999999997</v>
      </c>
      <c r="AE70" s="15">
        <f t="shared" si="49"/>
        <v>99.999989999999997</v>
      </c>
      <c r="AF70" s="15">
        <f t="shared" si="50"/>
        <v>99.999989999999997</v>
      </c>
      <c r="AG70" s="15">
        <f t="shared" si="51"/>
        <v>99.999989999999997</v>
      </c>
      <c r="AH70" s="15">
        <f t="shared" si="52"/>
        <v>99.999989999999997</v>
      </c>
      <c r="AI70" s="15">
        <f t="shared" si="53"/>
        <v>99.999989999999997</v>
      </c>
      <c r="AJ70" s="15">
        <f t="shared" si="54"/>
        <v>99.999989999999997</v>
      </c>
      <c r="AK70" s="5">
        <f t="shared" si="55"/>
        <v>99.999989999999997</v>
      </c>
    </row>
    <row r="71" spans="1:37" x14ac:dyDescent="0.25">
      <c r="A71" s="52"/>
      <c r="B71" s="52"/>
      <c r="C71" s="90"/>
      <c r="D71" s="90"/>
      <c r="E71" s="90"/>
      <c r="F71" s="93"/>
      <c r="G71" s="94"/>
      <c r="H71" s="94"/>
      <c r="I71" s="95"/>
      <c r="J71" s="95"/>
      <c r="K71" s="95"/>
      <c r="L71" s="95"/>
      <c r="M71" s="95"/>
      <c r="N71" s="95"/>
      <c r="O71" s="95"/>
      <c r="P71" s="95"/>
      <c r="Q71" s="95"/>
      <c r="R71" s="96"/>
      <c r="S71" s="13" t="e">
        <f t="shared" si="38"/>
        <v>#DIV/0!</v>
      </c>
      <c r="T71" s="4">
        <f t="shared" ca="1" si="39"/>
        <v>41553</v>
      </c>
      <c r="U71" s="4">
        <f t="shared" ca="1" si="40"/>
        <v>-41193</v>
      </c>
      <c r="V71" s="4" t="e">
        <f t="shared" ca="1" si="41"/>
        <v>#NUM!</v>
      </c>
      <c r="W71" s="13" t="e">
        <f t="shared" ca="1" si="42"/>
        <v>#NUM!</v>
      </c>
      <c r="X71" s="5" t="e">
        <f t="shared" ca="1" si="56"/>
        <v>#NUM!</v>
      </c>
      <c r="Y71" s="15">
        <f t="shared" si="43"/>
        <v>99.999989999999997</v>
      </c>
      <c r="Z71" s="15">
        <f t="shared" si="44"/>
        <v>99.999989999999997</v>
      </c>
      <c r="AA71" s="15">
        <f t="shared" si="45"/>
        <v>99.999989999999997</v>
      </c>
      <c r="AB71" s="15">
        <f t="shared" si="46"/>
        <v>99.999989999999997</v>
      </c>
      <c r="AC71" s="15">
        <f t="shared" si="47"/>
        <v>99.999989999999997</v>
      </c>
      <c r="AD71" s="15">
        <f t="shared" si="48"/>
        <v>99.999989999999997</v>
      </c>
      <c r="AE71" s="15">
        <f t="shared" si="49"/>
        <v>99.999989999999997</v>
      </c>
      <c r="AF71" s="15">
        <f t="shared" si="50"/>
        <v>99.999989999999997</v>
      </c>
      <c r="AG71" s="15">
        <f t="shared" si="51"/>
        <v>99.999989999999997</v>
      </c>
      <c r="AH71" s="15">
        <f t="shared" si="52"/>
        <v>99.999989999999997</v>
      </c>
      <c r="AI71" s="15">
        <f t="shared" si="53"/>
        <v>99.999989999999997</v>
      </c>
      <c r="AJ71" s="15">
        <f t="shared" si="54"/>
        <v>99.999989999999997</v>
      </c>
      <c r="AK71" s="5">
        <f t="shared" si="55"/>
        <v>99.999989999999997</v>
      </c>
    </row>
    <row r="72" spans="1:37" x14ac:dyDescent="0.25">
      <c r="A72" s="52"/>
      <c r="B72" s="52"/>
      <c r="C72" s="90"/>
      <c r="D72" s="90"/>
      <c r="E72" s="90"/>
      <c r="F72" s="93"/>
      <c r="G72" s="94"/>
      <c r="H72" s="94"/>
      <c r="I72" s="95"/>
      <c r="J72" s="95"/>
      <c r="K72" s="95"/>
      <c r="L72" s="95"/>
      <c r="M72" s="95"/>
      <c r="N72" s="95"/>
      <c r="O72" s="95"/>
      <c r="P72" s="95"/>
      <c r="Q72" s="95"/>
      <c r="R72" s="96"/>
      <c r="S72" s="13" t="e">
        <f t="shared" si="38"/>
        <v>#DIV/0!</v>
      </c>
      <c r="T72" s="4">
        <f t="shared" ca="1" si="39"/>
        <v>41553</v>
      </c>
      <c r="U72" s="4">
        <f t="shared" ca="1" si="40"/>
        <v>-41193</v>
      </c>
      <c r="V72" s="4" t="e">
        <f t="shared" ca="1" si="41"/>
        <v>#NUM!</v>
      </c>
      <c r="W72" s="13" t="e">
        <f t="shared" ca="1" si="42"/>
        <v>#NUM!</v>
      </c>
      <c r="X72" s="5" t="e">
        <f t="shared" ca="1" si="56"/>
        <v>#NUM!</v>
      </c>
      <c r="Y72" s="15">
        <f t="shared" si="43"/>
        <v>99.999989999999997</v>
      </c>
      <c r="Z72" s="15">
        <f t="shared" si="44"/>
        <v>99.999989999999997</v>
      </c>
      <c r="AA72" s="15">
        <f t="shared" si="45"/>
        <v>99.999989999999997</v>
      </c>
      <c r="AB72" s="15">
        <f t="shared" si="46"/>
        <v>99.999989999999997</v>
      </c>
      <c r="AC72" s="15">
        <f t="shared" si="47"/>
        <v>99.999989999999997</v>
      </c>
      <c r="AD72" s="15">
        <f t="shared" si="48"/>
        <v>99.999989999999997</v>
      </c>
      <c r="AE72" s="15">
        <f t="shared" si="49"/>
        <v>99.999989999999997</v>
      </c>
      <c r="AF72" s="15">
        <f t="shared" si="50"/>
        <v>99.999989999999997</v>
      </c>
      <c r="AG72" s="15">
        <f t="shared" si="51"/>
        <v>99.999989999999997</v>
      </c>
      <c r="AH72" s="15">
        <f t="shared" si="52"/>
        <v>99.999989999999997</v>
      </c>
      <c r="AI72" s="15">
        <f t="shared" si="53"/>
        <v>99.999989999999997</v>
      </c>
      <c r="AJ72" s="15">
        <f t="shared" si="54"/>
        <v>99.999989999999997</v>
      </c>
      <c r="AK72" s="5">
        <f t="shared" si="55"/>
        <v>99.999989999999997</v>
      </c>
    </row>
    <row r="73" spans="1:37" x14ac:dyDescent="0.25">
      <c r="A73" s="52"/>
      <c r="B73" s="52"/>
      <c r="C73" s="90"/>
      <c r="D73" s="90"/>
      <c r="E73" s="90"/>
      <c r="F73" s="93"/>
      <c r="G73" s="94"/>
      <c r="H73" s="94"/>
      <c r="I73" s="95"/>
      <c r="J73" s="95"/>
      <c r="K73" s="95"/>
      <c r="L73" s="95"/>
      <c r="M73" s="95"/>
      <c r="N73" s="95"/>
      <c r="O73" s="95"/>
      <c r="P73" s="95"/>
      <c r="Q73" s="95"/>
      <c r="R73" s="96"/>
      <c r="S73" s="13" t="e">
        <f t="shared" si="38"/>
        <v>#DIV/0!</v>
      </c>
      <c r="T73" s="4">
        <f t="shared" ca="1" si="39"/>
        <v>41553</v>
      </c>
      <c r="U73" s="4">
        <f t="shared" ca="1" si="40"/>
        <v>-41193</v>
      </c>
      <c r="V73" s="4" t="e">
        <f t="shared" ca="1" si="41"/>
        <v>#NUM!</v>
      </c>
      <c r="W73" s="13" t="e">
        <f t="shared" ca="1" si="42"/>
        <v>#NUM!</v>
      </c>
      <c r="X73" s="5" t="e">
        <f t="shared" ca="1" si="56"/>
        <v>#NUM!</v>
      </c>
      <c r="Y73" s="15">
        <f t="shared" si="43"/>
        <v>99.999989999999997</v>
      </c>
      <c r="Z73" s="15">
        <f t="shared" si="44"/>
        <v>99.999989999999997</v>
      </c>
      <c r="AA73" s="15">
        <f t="shared" si="45"/>
        <v>99.999989999999997</v>
      </c>
      <c r="AB73" s="15">
        <f t="shared" si="46"/>
        <v>99.999989999999997</v>
      </c>
      <c r="AC73" s="15">
        <f t="shared" si="47"/>
        <v>99.999989999999997</v>
      </c>
      <c r="AD73" s="15">
        <f t="shared" si="48"/>
        <v>99.999989999999997</v>
      </c>
      <c r="AE73" s="15">
        <f t="shared" si="49"/>
        <v>99.999989999999997</v>
      </c>
      <c r="AF73" s="15">
        <f t="shared" si="50"/>
        <v>99.999989999999997</v>
      </c>
      <c r="AG73" s="15">
        <f t="shared" si="51"/>
        <v>99.999989999999997</v>
      </c>
      <c r="AH73" s="15">
        <f t="shared" si="52"/>
        <v>99.999989999999997</v>
      </c>
      <c r="AI73" s="15">
        <f t="shared" si="53"/>
        <v>99.999989999999997</v>
      </c>
      <c r="AJ73" s="15">
        <f t="shared" si="54"/>
        <v>99.999989999999997</v>
      </c>
      <c r="AK73" s="5">
        <f t="shared" si="55"/>
        <v>99.999989999999997</v>
      </c>
    </row>
    <row r="74" spans="1:37" x14ac:dyDescent="0.25">
      <c r="A74" s="52"/>
      <c r="B74" s="52"/>
      <c r="C74" s="90"/>
      <c r="D74" s="90"/>
      <c r="E74" s="90"/>
      <c r="F74" s="93"/>
      <c r="G74" s="94"/>
      <c r="H74" s="94"/>
      <c r="I74" s="95"/>
      <c r="J74" s="95"/>
      <c r="K74" s="95"/>
      <c r="L74" s="95"/>
      <c r="M74" s="95"/>
      <c r="N74" s="95"/>
      <c r="O74" s="95"/>
      <c r="P74" s="95"/>
      <c r="Q74" s="95"/>
      <c r="R74" s="96"/>
      <c r="S74" s="13" t="e">
        <f t="shared" si="38"/>
        <v>#DIV/0!</v>
      </c>
      <c r="T74" s="4">
        <f t="shared" ca="1" si="39"/>
        <v>41553</v>
      </c>
      <c r="U74" s="4">
        <f t="shared" ca="1" si="40"/>
        <v>-41193</v>
      </c>
      <c r="V74" s="4" t="e">
        <f t="shared" ca="1" si="41"/>
        <v>#NUM!</v>
      </c>
      <c r="W74" s="13" t="e">
        <f t="shared" ca="1" si="42"/>
        <v>#NUM!</v>
      </c>
      <c r="X74" s="5" t="e">
        <f t="shared" ca="1" si="56"/>
        <v>#NUM!</v>
      </c>
      <c r="Y74" s="15">
        <f t="shared" si="43"/>
        <v>99.999989999999997</v>
      </c>
      <c r="Z74" s="15">
        <f t="shared" si="44"/>
        <v>99.999989999999997</v>
      </c>
      <c r="AA74" s="15">
        <f t="shared" si="45"/>
        <v>99.999989999999997</v>
      </c>
      <c r="AB74" s="15">
        <f t="shared" si="46"/>
        <v>99.999989999999997</v>
      </c>
      <c r="AC74" s="15">
        <f t="shared" si="47"/>
        <v>99.999989999999997</v>
      </c>
      <c r="AD74" s="15">
        <f t="shared" si="48"/>
        <v>99.999989999999997</v>
      </c>
      <c r="AE74" s="15">
        <f t="shared" si="49"/>
        <v>99.999989999999997</v>
      </c>
      <c r="AF74" s="15">
        <f t="shared" si="50"/>
        <v>99.999989999999997</v>
      </c>
      <c r="AG74" s="15">
        <f t="shared" si="51"/>
        <v>99.999989999999997</v>
      </c>
      <c r="AH74" s="15">
        <f t="shared" si="52"/>
        <v>99.999989999999997</v>
      </c>
      <c r="AI74" s="15">
        <f t="shared" si="53"/>
        <v>99.999989999999997</v>
      </c>
      <c r="AJ74" s="15">
        <f t="shared" si="54"/>
        <v>99.999989999999997</v>
      </c>
      <c r="AK74" s="5">
        <f t="shared" si="55"/>
        <v>99.999989999999997</v>
      </c>
    </row>
    <row r="75" spans="1:37" x14ac:dyDescent="0.25">
      <c r="A75" s="52"/>
      <c r="B75" s="52"/>
      <c r="C75" s="90"/>
      <c r="D75" s="90"/>
      <c r="E75" s="90"/>
      <c r="F75" s="93"/>
      <c r="G75" s="94"/>
      <c r="H75" s="94"/>
      <c r="I75" s="95"/>
      <c r="J75" s="95"/>
      <c r="K75" s="95"/>
      <c r="L75" s="95"/>
      <c r="M75" s="95"/>
      <c r="N75" s="95"/>
      <c r="O75" s="95"/>
      <c r="P75" s="95"/>
      <c r="Q75" s="95"/>
      <c r="R75" s="96"/>
      <c r="S75" s="13" t="e">
        <f t="shared" si="38"/>
        <v>#DIV/0!</v>
      </c>
      <c r="T75" s="4">
        <f t="shared" ca="1" si="39"/>
        <v>41553</v>
      </c>
      <c r="U75" s="4">
        <f t="shared" ca="1" si="40"/>
        <v>-41193</v>
      </c>
      <c r="V75" s="4" t="e">
        <f t="shared" ca="1" si="41"/>
        <v>#NUM!</v>
      </c>
      <c r="W75" s="13" t="e">
        <f t="shared" ca="1" si="42"/>
        <v>#NUM!</v>
      </c>
      <c r="X75" s="5" t="e">
        <f t="shared" ca="1" si="56"/>
        <v>#NUM!</v>
      </c>
      <c r="Y75" s="15">
        <f t="shared" si="43"/>
        <v>99.999989999999997</v>
      </c>
      <c r="Z75" s="15">
        <f t="shared" si="44"/>
        <v>99.999989999999997</v>
      </c>
      <c r="AA75" s="15">
        <f t="shared" si="45"/>
        <v>99.999989999999997</v>
      </c>
      <c r="AB75" s="15">
        <f t="shared" si="46"/>
        <v>99.999989999999997</v>
      </c>
      <c r="AC75" s="15">
        <f t="shared" si="47"/>
        <v>99.999989999999997</v>
      </c>
      <c r="AD75" s="15">
        <f t="shared" si="48"/>
        <v>99.999989999999997</v>
      </c>
      <c r="AE75" s="15">
        <f t="shared" si="49"/>
        <v>99.999989999999997</v>
      </c>
      <c r="AF75" s="15">
        <f t="shared" si="50"/>
        <v>99.999989999999997</v>
      </c>
      <c r="AG75" s="15">
        <f t="shared" si="51"/>
        <v>99.999989999999997</v>
      </c>
      <c r="AH75" s="15">
        <f t="shared" si="52"/>
        <v>99.999989999999997</v>
      </c>
      <c r="AI75" s="15">
        <f t="shared" si="53"/>
        <v>99.999989999999997</v>
      </c>
      <c r="AJ75" s="15">
        <f t="shared" si="54"/>
        <v>99.999989999999997</v>
      </c>
      <c r="AK75" s="5">
        <f t="shared" si="55"/>
        <v>99.999989999999997</v>
      </c>
    </row>
    <row r="76" spans="1:37" x14ac:dyDescent="0.25">
      <c r="A76" s="52"/>
      <c r="B76" s="52"/>
      <c r="C76" s="90"/>
      <c r="D76" s="90"/>
      <c r="E76" s="90"/>
      <c r="F76" s="93"/>
      <c r="G76" s="94"/>
      <c r="H76" s="94"/>
      <c r="I76" s="95"/>
      <c r="J76" s="95"/>
      <c r="K76" s="95"/>
      <c r="L76" s="95"/>
      <c r="M76" s="95"/>
      <c r="N76" s="95"/>
      <c r="O76" s="95"/>
      <c r="P76" s="95"/>
      <c r="Q76" s="95"/>
      <c r="R76" s="96"/>
      <c r="S76" s="13" t="e">
        <f t="shared" si="38"/>
        <v>#DIV/0!</v>
      </c>
      <c r="T76" s="4">
        <f t="shared" ca="1" si="39"/>
        <v>41553</v>
      </c>
      <c r="U76" s="4">
        <f t="shared" ca="1" si="40"/>
        <v>-41193</v>
      </c>
      <c r="V76" s="4" t="e">
        <f t="shared" ca="1" si="41"/>
        <v>#NUM!</v>
      </c>
      <c r="W76" s="13" t="e">
        <f t="shared" ca="1" si="42"/>
        <v>#NUM!</v>
      </c>
      <c r="X76" s="5" t="e">
        <f t="shared" ca="1" si="56"/>
        <v>#NUM!</v>
      </c>
      <c r="Y76" s="15">
        <f t="shared" si="43"/>
        <v>99.999989999999997</v>
      </c>
      <c r="Z76" s="15">
        <f t="shared" si="44"/>
        <v>99.999989999999997</v>
      </c>
      <c r="AA76" s="15">
        <f t="shared" si="45"/>
        <v>99.999989999999997</v>
      </c>
      <c r="AB76" s="15">
        <f t="shared" si="46"/>
        <v>99.999989999999997</v>
      </c>
      <c r="AC76" s="15">
        <f t="shared" si="47"/>
        <v>99.999989999999997</v>
      </c>
      <c r="AD76" s="15">
        <f t="shared" si="48"/>
        <v>99.999989999999997</v>
      </c>
      <c r="AE76" s="15">
        <f t="shared" si="49"/>
        <v>99.999989999999997</v>
      </c>
      <c r="AF76" s="15">
        <f t="shared" si="50"/>
        <v>99.999989999999997</v>
      </c>
      <c r="AG76" s="15">
        <f t="shared" si="51"/>
        <v>99.999989999999997</v>
      </c>
      <c r="AH76" s="15">
        <f t="shared" si="52"/>
        <v>99.999989999999997</v>
      </c>
      <c r="AI76" s="15">
        <f t="shared" si="53"/>
        <v>99.999989999999997</v>
      </c>
      <c r="AJ76" s="15">
        <f t="shared" si="54"/>
        <v>99.999989999999997</v>
      </c>
      <c r="AK76" s="5">
        <f t="shared" si="55"/>
        <v>99.999989999999997</v>
      </c>
    </row>
    <row r="77" spans="1:37" x14ac:dyDescent="0.25">
      <c r="A77" s="52"/>
      <c r="B77" s="52"/>
      <c r="C77" s="90"/>
      <c r="D77" s="90"/>
      <c r="E77" s="90"/>
      <c r="F77" s="93"/>
      <c r="G77" s="94"/>
      <c r="H77" s="94"/>
      <c r="I77" s="95"/>
      <c r="J77" s="95"/>
      <c r="K77" s="95"/>
      <c r="L77" s="95"/>
      <c r="M77" s="95"/>
      <c r="N77" s="95"/>
      <c r="O77" s="95"/>
      <c r="P77" s="95"/>
      <c r="Q77" s="95"/>
      <c r="R77" s="96"/>
      <c r="S77" s="13" t="e">
        <f t="shared" si="38"/>
        <v>#DIV/0!</v>
      </c>
      <c r="T77" s="4">
        <f t="shared" ca="1" si="39"/>
        <v>41553</v>
      </c>
      <c r="U77" s="4">
        <f t="shared" ca="1" si="40"/>
        <v>-41193</v>
      </c>
      <c r="V77" s="4" t="e">
        <f t="shared" ca="1" si="41"/>
        <v>#NUM!</v>
      </c>
      <c r="W77" s="13" t="e">
        <f t="shared" ca="1" si="42"/>
        <v>#NUM!</v>
      </c>
      <c r="X77" s="5" t="e">
        <f t="shared" ca="1" si="56"/>
        <v>#NUM!</v>
      </c>
      <c r="Y77" s="15">
        <f t="shared" si="43"/>
        <v>99.999989999999997</v>
      </c>
      <c r="Z77" s="15">
        <f t="shared" si="44"/>
        <v>99.999989999999997</v>
      </c>
      <c r="AA77" s="15">
        <f t="shared" si="45"/>
        <v>99.999989999999997</v>
      </c>
      <c r="AB77" s="15">
        <f t="shared" si="46"/>
        <v>99.999989999999997</v>
      </c>
      <c r="AC77" s="15">
        <f t="shared" si="47"/>
        <v>99.999989999999997</v>
      </c>
      <c r="AD77" s="15">
        <f t="shared" si="48"/>
        <v>99.999989999999997</v>
      </c>
      <c r="AE77" s="15">
        <f t="shared" si="49"/>
        <v>99.999989999999997</v>
      </c>
      <c r="AF77" s="15">
        <f t="shared" si="50"/>
        <v>99.999989999999997</v>
      </c>
      <c r="AG77" s="15">
        <f t="shared" si="51"/>
        <v>99.999989999999997</v>
      </c>
      <c r="AH77" s="15">
        <f t="shared" si="52"/>
        <v>99.999989999999997</v>
      </c>
      <c r="AI77" s="15">
        <f t="shared" si="53"/>
        <v>99.999989999999997</v>
      </c>
      <c r="AJ77" s="15">
        <f t="shared" si="54"/>
        <v>99.999989999999997</v>
      </c>
      <c r="AK77" s="5">
        <f t="shared" si="55"/>
        <v>99.999989999999997</v>
      </c>
    </row>
    <row r="78" spans="1:37" x14ac:dyDescent="0.25">
      <c r="A78" s="52"/>
      <c r="B78" s="52"/>
      <c r="C78" s="90"/>
      <c r="D78" s="90"/>
      <c r="E78" s="90"/>
      <c r="F78" s="93"/>
      <c r="G78" s="94"/>
      <c r="H78" s="94"/>
      <c r="I78" s="95"/>
      <c r="J78" s="95"/>
      <c r="K78" s="95"/>
      <c r="L78" s="95"/>
      <c r="M78" s="95"/>
      <c r="N78" s="95"/>
      <c r="O78" s="95"/>
      <c r="P78" s="95"/>
      <c r="Q78" s="95"/>
      <c r="R78" s="96"/>
      <c r="S78" s="13" t="e">
        <f t="shared" si="38"/>
        <v>#DIV/0!</v>
      </c>
      <c r="T78" s="4">
        <f t="shared" ca="1" si="39"/>
        <v>41553</v>
      </c>
      <c r="U78" s="4">
        <f t="shared" ca="1" si="40"/>
        <v>-41193</v>
      </c>
      <c r="V78" s="4" t="e">
        <f t="shared" ca="1" si="41"/>
        <v>#NUM!</v>
      </c>
      <c r="W78" s="13" t="e">
        <f t="shared" ca="1" si="42"/>
        <v>#NUM!</v>
      </c>
      <c r="X78" s="5" t="e">
        <f t="shared" ca="1" si="56"/>
        <v>#NUM!</v>
      </c>
      <c r="Y78" s="15">
        <f t="shared" si="43"/>
        <v>99.999989999999997</v>
      </c>
      <c r="Z78" s="15">
        <f t="shared" si="44"/>
        <v>99.999989999999997</v>
      </c>
      <c r="AA78" s="15">
        <f t="shared" si="45"/>
        <v>99.999989999999997</v>
      </c>
      <c r="AB78" s="15">
        <f t="shared" si="46"/>
        <v>99.999989999999997</v>
      </c>
      <c r="AC78" s="15">
        <f t="shared" si="47"/>
        <v>99.999989999999997</v>
      </c>
      <c r="AD78" s="15">
        <f t="shared" si="48"/>
        <v>99.999989999999997</v>
      </c>
      <c r="AE78" s="15">
        <f t="shared" si="49"/>
        <v>99.999989999999997</v>
      </c>
      <c r="AF78" s="15">
        <f t="shared" si="50"/>
        <v>99.999989999999997</v>
      </c>
      <c r="AG78" s="15">
        <f t="shared" si="51"/>
        <v>99.999989999999997</v>
      </c>
      <c r="AH78" s="15">
        <f t="shared" si="52"/>
        <v>99.999989999999997</v>
      </c>
      <c r="AI78" s="15">
        <f t="shared" si="53"/>
        <v>99.999989999999997</v>
      </c>
      <c r="AJ78" s="15">
        <f t="shared" si="54"/>
        <v>99.999989999999997</v>
      </c>
      <c r="AK78" s="5">
        <f t="shared" si="55"/>
        <v>99.999989999999997</v>
      </c>
    </row>
    <row r="79" spans="1:37" x14ac:dyDescent="0.25">
      <c r="A79" s="52"/>
      <c r="B79" s="52"/>
      <c r="C79" s="90"/>
      <c r="D79" s="90"/>
      <c r="E79" s="90"/>
      <c r="F79" s="93"/>
      <c r="G79" s="94"/>
      <c r="H79" s="94"/>
      <c r="I79" s="95"/>
      <c r="J79" s="95"/>
      <c r="K79" s="95"/>
      <c r="L79" s="95"/>
      <c r="M79" s="95"/>
      <c r="N79" s="95"/>
      <c r="O79" s="95"/>
      <c r="P79" s="95"/>
      <c r="Q79" s="95"/>
      <c r="R79" s="96"/>
      <c r="S79" s="13" t="e">
        <f t="shared" si="38"/>
        <v>#DIV/0!</v>
      </c>
      <c r="T79" s="4">
        <f t="shared" ca="1" si="39"/>
        <v>41553</v>
      </c>
      <c r="U79" s="4">
        <f t="shared" ca="1" si="40"/>
        <v>-41193</v>
      </c>
      <c r="V79" s="4" t="e">
        <f t="shared" ca="1" si="41"/>
        <v>#NUM!</v>
      </c>
      <c r="W79" s="13" t="e">
        <f t="shared" ca="1" si="42"/>
        <v>#NUM!</v>
      </c>
      <c r="X79" s="5" t="e">
        <f t="shared" ca="1" si="56"/>
        <v>#NUM!</v>
      </c>
      <c r="Y79" s="15">
        <f t="shared" si="43"/>
        <v>99.999989999999997</v>
      </c>
      <c r="Z79" s="15">
        <f t="shared" si="44"/>
        <v>99.999989999999997</v>
      </c>
      <c r="AA79" s="15">
        <f t="shared" si="45"/>
        <v>99.999989999999997</v>
      </c>
      <c r="AB79" s="15">
        <f t="shared" si="46"/>
        <v>99.999989999999997</v>
      </c>
      <c r="AC79" s="15">
        <f t="shared" si="47"/>
        <v>99.999989999999997</v>
      </c>
      <c r="AD79" s="15">
        <f t="shared" si="48"/>
        <v>99.999989999999997</v>
      </c>
      <c r="AE79" s="15">
        <f t="shared" si="49"/>
        <v>99.999989999999997</v>
      </c>
      <c r="AF79" s="15">
        <f t="shared" si="50"/>
        <v>99.999989999999997</v>
      </c>
      <c r="AG79" s="15">
        <f t="shared" si="51"/>
        <v>99.999989999999997</v>
      </c>
      <c r="AH79" s="15">
        <f t="shared" si="52"/>
        <v>99.999989999999997</v>
      </c>
      <c r="AI79" s="15">
        <f t="shared" si="53"/>
        <v>99.999989999999997</v>
      </c>
      <c r="AJ79" s="15">
        <f t="shared" si="54"/>
        <v>99.999989999999997</v>
      </c>
      <c r="AK79" s="5">
        <f t="shared" si="55"/>
        <v>99.999989999999997</v>
      </c>
    </row>
    <row r="80" spans="1:37" x14ac:dyDescent="0.25">
      <c r="A80" s="52"/>
      <c r="B80" s="52"/>
      <c r="C80" s="90"/>
      <c r="D80" s="90"/>
      <c r="E80" s="90"/>
      <c r="F80" s="93"/>
      <c r="G80" s="94"/>
      <c r="H80" s="94"/>
      <c r="I80" s="95"/>
      <c r="J80" s="95"/>
      <c r="K80" s="95"/>
      <c r="L80" s="95"/>
      <c r="M80" s="95"/>
      <c r="N80" s="95"/>
      <c r="O80" s="95"/>
      <c r="P80" s="95"/>
      <c r="Q80" s="95"/>
      <c r="R80" s="96"/>
      <c r="S80" s="13" t="e">
        <f t="shared" si="38"/>
        <v>#DIV/0!</v>
      </c>
      <c r="T80" s="4">
        <f t="shared" ca="1" si="39"/>
        <v>41553</v>
      </c>
      <c r="U80" s="4">
        <f t="shared" ca="1" si="40"/>
        <v>-41193</v>
      </c>
      <c r="V80" s="4" t="e">
        <f t="shared" ca="1" si="41"/>
        <v>#NUM!</v>
      </c>
      <c r="W80" s="13" t="e">
        <f t="shared" ca="1" si="42"/>
        <v>#NUM!</v>
      </c>
      <c r="X80" s="5" t="e">
        <f t="shared" ca="1" si="56"/>
        <v>#NUM!</v>
      </c>
      <c r="Y80" s="15">
        <f t="shared" si="43"/>
        <v>99.999989999999997</v>
      </c>
      <c r="Z80" s="15">
        <f t="shared" si="44"/>
        <v>99.999989999999997</v>
      </c>
      <c r="AA80" s="15">
        <f t="shared" si="45"/>
        <v>99.999989999999997</v>
      </c>
      <c r="AB80" s="15">
        <f t="shared" si="46"/>
        <v>99.999989999999997</v>
      </c>
      <c r="AC80" s="15">
        <f t="shared" si="47"/>
        <v>99.999989999999997</v>
      </c>
      <c r="AD80" s="15">
        <f t="shared" si="48"/>
        <v>99.999989999999997</v>
      </c>
      <c r="AE80" s="15">
        <f t="shared" si="49"/>
        <v>99.999989999999997</v>
      </c>
      <c r="AF80" s="15">
        <f t="shared" si="50"/>
        <v>99.999989999999997</v>
      </c>
      <c r="AG80" s="15">
        <f t="shared" si="51"/>
        <v>99.999989999999997</v>
      </c>
      <c r="AH80" s="15">
        <f t="shared" si="52"/>
        <v>99.999989999999997</v>
      </c>
      <c r="AI80" s="15">
        <f t="shared" si="53"/>
        <v>99.999989999999997</v>
      </c>
      <c r="AJ80" s="15">
        <f t="shared" si="54"/>
        <v>99.999989999999997</v>
      </c>
      <c r="AK80" s="5">
        <f t="shared" si="55"/>
        <v>99.999989999999997</v>
      </c>
    </row>
    <row r="81" spans="1:37" x14ac:dyDescent="0.25">
      <c r="A81" s="52"/>
      <c r="B81" s="52"/>
      <c r="C81" s="90"/>
      <c r="D81" s="90"/>
      <c r="E81" s="90"/>
      <c r="F81" s="93"/>
      <c r="G81" s="94"/>
      <c r="H81" s="94"/>
      <c r="I81" s="95"/>
      <c r="J81" s="95"/>
      <c r="K81" s="95"/>
      <c r="L81" s="95"/>
      <c r="M81" s="95"/>
      <c r="N81" s="95"/>
      <c r="O81" s="95"/>
      <c r="P81" s="95"/>
      <c r="Q81" s="95"/>
      <c r="R81" s="96"/>
      <c r="S81" s="13" t="e">
        <f t="shared" si="38"/>
        <v>#DIV/0!</v>
      </c>
      <c r="T81" s="4">
        <f t="shared" ca="1" si="39"/>
        <v>41553</v>
      </c>
      <c r="U81" s="4">
        <f t="shared" ca="1" si="40"/>
        <v>-41193</v>
      </c>
      <c r="V81" s="4" t="e">
        <f t="shared" ca="1" si="41"/>
        <v>#NUM!</v>
      </c>
      <c r="W81" s="13" t="e">
        <f t="shared" ca="1" si="42"/>
        <v>#NUM!</v>
      </c>
      <c r="X81" s="5" t="e">
        <f t="shared" ca="1" si="56"/>
        <v>#NUM!</v>
      </c>
      <c r="Y81" s="15">
        <f t="shared" si="43"/>
        <v>99.999989999999997</v>
      </c>
      <c r="Z81" s="15">
        <f t="shared" si="44"/>
        <v>99.999989999999997</v>
      </c>
      <c r="AA81" s="15">
        <f t="shared" si="45"/>
        <v>99.999989999999997</v>
      </c>
      <c r="AB81" s="15">
        <f t="shared" si="46"/>
        <v>99.999989999999997</v>
      </c>
      <c r="AC81" s="15">
        <f t="shared" si="47"/>
        <v>99.999989999999997</v>
      </c>
      <c r="AD81" s="15">
        <f t="shared" si="48"/>
        <v>99.999989999999997</v>
      </c>
      <c r="AE81" s="15">
        <f t="shared" si="49"/>
        <v>99.999989999999997</v>
      </c>
      <c r="AF81" s="15">
        <f t="shared" si="50"/>
        <v>99.999989999999997</v>
      </c>
      <c r="AG81" s="15">
        <f t="shared" si="51"/>
        <v>99.999989999999997</v>
      </c>
      <c r="AH81" s="15">
        <f t="shared" si="52"/>
        <v>99.999989999999997</v>
      </c>
      <c r="AI81" s="15">
        <f t="shared" si="53"/>
        <v>99.999989999999997</v>
      </c>
      <c r="AJ81" s="15">
        <f t="shared" si="54"/>
        <v>99.999989999999997</v>
      </c>
      <c r="AK81" s="5">
        <f t="shared" si="55"/>
        <v>99.999989999999997</v>
      </c>
    </row>
    <row r="82" spans="1:37" x14ac:dyDescent="0.25">
      <c r="A82" s="52"/>
      <c r="B82" s="52"/>
      <c r="C82" s="90"/>
      <c r="D82" s="90"/>
      <c r="E82" s="90"/>
      <c r="F82" s="93"/>
      <c r="G82" s="94"/>
      <c r="H82" s="94"/>
      <c r="I82" s="95"/>
      <c r="J82" s="95"/>
      <c r="K82" s="95"/>
      <c r="L82" s="95"/>
      <c r="M82" s="95"/>
      <c r="N82" s="95"/>
      <c r="O82" s="95"/>
      <c r="P82" s="95"/>
      <c r="Q82" s="95"/>
      <c r="R82" s="96"/>
      <c r="S82" s="13" t="e">
        <f t="shared" si="38"/>
        <v>#DIV/0!</v>
      </c>
      <c r="T82" s="4">
        <f t="shared" ca="1" si="39"/>
        <v>41553</v>
      </c>
      <c r="U82" s="4">
        <f t="shared" ca="1" si="40"/>
        <v>-41193</v>
      </c>
      <c r="V82" s="4" t="e">
        <f t="shared" ca="1" si="41"/>
        <v>#NUM!</v>
      </c>
      <c r="W82" s="13" t="e">
        <f t="shared" ca="1" si="42"/>
        <v>#NUM!</v>
      </c>
      <c r="X82" s="5" t="e">
        <f t="shared" ca="1" si="56"/>
        <v>#NUM!</v>
      </c>
      <c r="Y82" s="15">
        <f t="shared" si="43"/>
        <v>99.999989999999997</v>
      </c>
      <c r="Z82" s="15">
        <f t="shared" si="44"/>
        <v>99.999989999999997</v>
      </c>
      <c r="AA82" s="15">
        <f t="shared" si="45"/>
        <v>99.999989999999997</v>
      </c>
      <c r="AB82" s="15">
        <f t="shared" si="46"/>
        <v>99.999989999999997</v>
      </c>
      <c r="AC82" s="15">
        <f t="shared" si="47"/>
        <v>99.999989999999997</v>
      </c>
      <c r="AD82" s="15">
        <f t="shared" si="48"/>
        <v>99.999989999999997</v>
      </c>
      <c r="AE82" s="15">
        <f t="shared" si="49"/>
        <v>99.999989999999997</v>
      </c>
      <c r="AF82" s="15">
        <f t="shared" si="50"/>
        <v>99.999989999999997</v>
      </c>
      <c r="AG82" s="15">
        <f t="shared" si="51"/>
        <v>99.999989999999997</v>
      </c>
      <c r="AH82" s="15">
        <f t="shared" si="52"/>
        <v>99.999989999999997</v>
      </c>
      <c r="AI82" s="15">
        <f t="shared" si="53"/>
        <v>99.999989999999997</v>
      </c>
      <c r="AJ82" s="15">
        <f t="shared" si="54"/>
        <v>99.999989999999997</v>
      </c>
      <c r="AK82" s="5">
        <f t="shared" si="55"/>
        <v>99.999989999999997</v>
      </c>
    </row>
    <row r="83" spans="1:37" x14ac:dyDescent="0.25">
      <c r="A83" s="52"/>
      <c r="B83" s="52"/>
      <c r="C83" s="90"/>
      <c r="D83" s="90"/>
      <c r="E83" s="90"/>
      <c r="F83" s="93"/>
      <c r="G83" s="94"/>
      <c r="H83" s="94"/>
      <c r="I83" s="95"/>
      <c r="J83" s="95"/>
      <c r="K83" s="95"/>
      <c r="L83" s="95"/>
      <c r="M83" s="95"/>
      <c r="N83" s="95"/>
      <c r="O83" s="95"/>
      <c r="P83" s="95"/>
      <c r="Q83" s="95"/>
      <c r="R83" s="96"/>
      <c r="S83" s="13" t="e">
        <f t="shared" si="38"/>
        <v>#DIV/0!</v>
      </c>
      <c r="T83" s="4">
        <f t="shared" ca="1" si="39"/>
        <v>41553</v>
      </c>
      <c r="U83" s="4">
        <f t="shared" ca="1" si="40"/>
        <v>-41193</v>
      </c>
      <c r="V83" s="4" t="e">
        <f t="shared" ca="1" si="41"/>
        <v>#NUM!</v>
      </c>
      <c r="W83" s="13" t="e">
        <f t="shared" ca="1" si="42"/>
        <v>#NUM!</v>
      </c>
      <c r="X83" s="5" t="e">
        <f t="shared" ca="1" si="56"/>
        <v>#NUM!</v>
      </c>
      <c r="Y83" s="15">
        <f t="shared" si="43"/>
        <v>99.999989999999997</v>
      </c>
      <c r="Z83" s="15">
        <f t="shared" si="44"/>
        <v>99.999989999999997</v>
      </c>
      <c r="AA83" s="15">
        <f t="shared" si="45"/>
        <v>99.999989999999997</v>
      </c>
      <c r="AB83" s="15">
        <f t="shared" si="46"/>
        <v>99.999989999999997</v>
      </c>
      <c r="AC83" s="15">
        <f t="shared" si="47"/>
        <v>99.999989999999997</v>
      </c>
      <c r="AD83" s="15">
        <f t="shared" si="48"/>
        <v>99.999989999999997</v>
      </c>
      <c r="AE83" s="15">
        <f t="shared" si="49"/>
        <v>99.999989999999997</v>
      </c>
      <c r="AF83" s="15">
        <f t="shared" si="50"/>
        <v>99.999989999999997</v>
      </c>
      <c r="AG83" s="15">
        <f t="shared" si="51"/>
        <v>99.999989999999997</v>
      </c>
      <c r="AH83" s="15">
        <f t="shared" si="52"/>
        <v>99.999989999999997</v>
      </c>
      <c r="AI83" s="15">
        <f t="shared" si="53"/>
        <v>99.999989999999997</v>
      </c>
      <c r="AJ83" s="15">
        <f t="shared" si="54"/>
        <v>99.999989999999997</v>
      </c>
      <c r="AK83" s="5">
        <f t="shared" si="55"/>
        <v>99.999989999999997</v>
      </c>
    </row>
    <row r="84" spans="1:37" x14ac:dyDescent="0.25">
      <c r="A84" s="52"/>
      <c r="B84" s="52"/>
      <c r="C84" s="90"/>
      <c r="D84" s="90"/>
      <c r="E84" s="90"/>
      <c r="F84" s="93"/>
      <c r="G84" s="94"/>
      <c r="H84" s="94"/>
      <c r="I84" s="95"/>
      <c r="J84" s="95"/>
      <c r="K84" s="95"/>
      <c r="L84" s="95"/>
      <c r="M84" s="95"/>
      <c r="N84" s="95"/>
      <c r="O84" s="95"/>
      <c r="P84" s="95"/>
      <c r="Q84" s="95"/>
      <c r="R84" s="96"/>
      <c r="S84" s="13" t="e">
        <f t="shared" si="38"/>
        <v>#DIV/0!</v>
      </c>
      <c r="T84" s="4">
        <f t="shared" ca="1" si="39"/>
        <v>41553</v>
      </c>
      <c r="U84" s="4">
        <f t="shared" ca="1" si="40"/>
        <v>-41193</v>
      </c>
      <c r="V84" s="4" t="e">
        <f t="shared" ca="1" si="41"/>
        <v>#NUM!</v>
      </c>
      <c r="W84" s="13" t="e">
        <f t="shared" ca="1" si="42"/>
        <v>#NUM!</v>
      </c>
      <c r="X84" s="5" t="e">
        <f t="shared" ca="1" si="56"/>
        <v>#NUM!</v>
      </c>
      <c r="Y84" s="15">
        <f t="shared" si="43"/>
        <v>99.999989999999997</v>
      </c>
      <c r="Z84" s="15">
        <f t="shared" si="44"/>
        <v>99.999989999999997</v>
      </c>
      <c r="AA84" s="15">
        <f t="shared" si="45"/>
        <v>99.999989999999997</v>
      </c>
      <c r="AB84" s="15">
        <f t="shared" si="46"/>
        <v>99.999989999999997</v>
      </c>
      <c r="AC84" s="15">
        <f t="shared" si="47"/>
        <v>99.999989999999997</v>
      </c>
      <c r="AD84" s="15">
        <f t="shared" si="48"/>
        <v>99.999989999999997</v>
      </c>
      <c r="AE84" s="15">
        <f t="shared" si="49"/>
        <v>99.999989999999997</v>
      </c>
      <c r="AF84" s="15">
        <f t="shared" si="50"/>
        <v>99.999989999999997</v>
      </c>
      <c r="AG84" s="15">
        <f t="shared" si="51"/>
        <v>99.999989999999997</v>
      </c>
      <c r="AH84" s="15">
        <f t="shared" si="52"/>
        <v>99.999989999999997</v>
      </c>
      <c r="AI84" s="15">
        <f t="shared" si="53"/>
        <v>99.999989999999997</v>
      </c>
      <c r="AJ84" s="15">
        <f t="shared" si="54"/>
        <v>99.999989999999997</v>
      </c>
      <c r="AK84" s="5">
        <f t="shared" si="55"/>
        <v>99.999989999999997</v>
      </c>
    </row>
    <row r="85" spans="1:37" x14ac:dyDescent="0.25">
      <c r="A85" s="52"/>
      <c r="B85" s="52"/>
      <c r="C85" s="90"/>
      <c r="D85" s="90"/>
      <c r="E85" s="90"/>
      <c r="F85" s="93"/>
      <c r="G85" s="94"/>
      <c r="H85" s="94"/>
      <c r="I85" s="95"/>
      <c r="J85" s="95"/>
      <c r="K85" s="95"/>
      <c r="L85" s="95"/>
      <c r="M85" s="95"/>
      <c r="N85" s="95"/>
      <c r="O85" s="95"/>
      <c r="P85" s="95"/>
      <c r="Q85" s="95"/>
      <c r="R85" s="96"/>
      <c r="S85" s="13" t="e">
        <f t="shared" si="38"/>
        <v>#DIV/0!</v>
      </c>
      <c r="T85" s="4">
        <f t="shared" ca="1" si="39"/>
        <v>41553</v>
      </c>
      <c r="U85" s="4">
        <f t="shared" ca="1" si="40"/>
        <v>-41193</v>
      </c>
      <c r="V85" s="4" t="e">
        <f t="shared" ca="1" si="41"/>
        <v>#NUM!</v>
      </c>
      <c r="W85" s="13" t="e">
        <f t="shared" ca="1" si="42"/>
        <v>#NUM!</v>
      </c>
      <c r="X85" s="5" t="e">
        <f t="shared" ca="1" si="56"/>
        <v>#NUM!</v>
      </c>
      <c r="Y85" s="15">
        <f t="shared" si="43"/>
        <v>99.999989999999997</v>
      </c>
      <c r="Z85" s="15">
        <f t="shared" si="44"/>
        <v>99.999989999999997</v>
      </c>
      <c r="AA85" s="15">
        <f t="shared" si="45"/>
        <v>99.999989999999997</v>
      </c>
      <c r="AB85" s="15">
        <f t="shared" si="46"/>
        <v>99.999989999999997</v>
      </c>
      <c r="AC85" s="15">
        <f t="shared" si="47"/>
        <v>99.999989999999997</v>
      </c>
      <c r="AD85" s="15">
        <f t="shared" si="48"/>
        <v>99.999989999999997</v>
      </c>
      <c r="AE85" s="15">
        <f t="shared" si="49"/>
        <v>99.999989999999997</v>
      </c>
      <c r="AF85" s="15">
        <f t="shared" si="50"/>
        <v>99.999989999999997</v>
      </c>
      <c r="AG85" s="15">
        <f t="shared" si="51"/>
        <v>99.999989999999997</v>
      </c>
      <c r="AH85" s="15">
        <f t="shared" si="52"/>
        <v>99.999989999999997</v>
      </c>
      <c r="AI85" s="15">
        <f t="shared" si="53"/>
        <v>99.999989999999997</v>
      </c>
      <c r="AJ85" s="15">
        <f t="shared" si="54"/>
        <v>99.999989999999997</v>
      </c>
      <c r="AK85" s="5">
        <f t="shared" si="55"/>
        <v>99.999989999999997</v>
      </c>
    </row>
    <row r="86" spans="1:37" x14ac:dyDescent="0.25">
      <c r="A86" s="52"/>
      <c r="B86" s="52"/>
      <c r="C86" s="90"/>
      <c r="D86" s="90"/>
      <c r="E86" s="90"/>
      <c r="F86" s="93"/>
      <c r="G86" s="94"/>
      <c r="H86" s="94"/>
      <c r="I86" s="95"/>
      <c r="J86" s="95"/>
      <c r="K86" s="95"/>
      <c r="L86" s="95"/>
      <c r="M86" s="95"/>
      <c r="N86" s="95"/>
      <c r="O86" s="95"/>
      <c r="P86" s="95"/>
      <c r="Q86" s="95"/>
      <c r="R86" s="96"/>
      <c r="S86" s="13" t="e">
        <f t="shared" si="38"/>
        <v>#DIV/0!</v>
      </c>
      <c r="T86" s="4">
        <f t="shared" ca="1" si="39"/>
        <v>41553</v>
      </c>
      <c r="U86" s="4">
        <f t="shared" ca="1" si="40"/>
        <v>-41193</v>
      </c>
      <c r="V86" s="4" t="e">
        <f t="shared" ca="1" si="41"/>
        <v>#NUM!</v>
      </c>
      <c r="W86" s="13" t="e">
        <f t="shared" ca="1" si="42"/>
        <v>#NUM!</v>
      </c>
      <c r="X86" s="5" t="e">
        <f t="shared" ca="1" si="56"/>
        <v>#NUM!</v>
      </c>
      <c r="Y86" s="15">
        <f t="shared" si="43"/>
        <v>99.999989999999997</v>
      </c>
      <c r="Z86" s="15">
        <f t="shared" si="44"/>
        <v>99.999989999999997</v>
      </c>
      <c r="AA86" s="15">
        <f t="shared" si="45"/>
        <v>99.999989999999997</v>
      </c>
      <c r="AB86" s="15">
        <f t="shared" si="46"/>
        <v>99.999989999999997</v>
      </c>
      <c r="AC86" s="15">
        <f t="shared" si="47"/>
        <v>99.999989999999997</v>
      </c>
      <c r="AD86" s="15">
        <f t="shared" si="48"/>
        <v>99.999989999999997</v>
      </c>
      <c r="AE86" s="15">
        <f t="shared" si="49"/>
        <v>99.999989999999997</v>
      </c>
      <c r="AF86" s="15">
        <f t="shared" si="50"/>
        <v>99.999989999999997</v>
      </c>
      <c r="AG86" s="15">
        <f t="shared" si="51"/>
        <v>99.999989999999997</v>
      </c>
      <c r="AH86" s="15">
        <f t="shared" si="52"/>
        <v>99.999989999999997</v>
      </c>
      <c r="AI86" s="15">
        <f t="shared" si="53"/>
        <v>99.999989999999997</v>
      </c>
      <c r="AJ86" s="15">
        <f t="shared" si="54"/>
        <v>99.999989999999997</v>
      </c>
      <c r="AK86" s="5">
        <f t="shared" si="55"/>
        <v>99.999989999999997</v>
      </c>
    </row>
    <row r="87" spans="1:37" x14ac:dyDescent="0.25">
      <c r="A87" s="52"/>
      <c r="B87" s="52"/>
      <c r="C87" s="90"/>
      <c r="D87" s="90"/>
      <c r="E87" s="90"/>
      <c r="F87" s="93"/>
      <c r="G87" s="94"/>
      <c r="H87" s="94"/>
      <c r="I87" s="95"/>
      <c r="J87" s="95"/>
      <c r="K87" s="95"/>
      <c r="L87" s="95"/>
      <c r="M87" s="95"/>
      <c r="N87" s="95"/>
      <c r="O87" s="95"/>
      <c r="P87" s="95"/>
      <c r="Q87" s="95"/>
      <c r="R87" s="96"/>
      <c r="S87" s="13" t="e">
        <f t="shared" si="38"/>
        <v>#DIV/0!</v>
      </c>
      <c r="T87" s="4">
        <f t="shared" ca="1" si="39"/>
        <v>41553</v>
      </c>
      <c r="U87" s="4">
        <f t="shared" ca="1" si="40"/>
        <v>-41193</v>
      </c>
      <c r="V87" s="4" t="e">
        <f t="shared" ca="1" si="41"/>
        <v>#NUM!</v>
      </c>
      <c r="W87" s="13" t="e">
        <f t="shared" ca="1" si="42"/>
        <v>#NUM!</v>
      </c>
      <c r="X87" s="5" t="e">
        <f t="shared" ca="1" si="56"/>
        <v>#NUM!</v>
      </c>
      <c r="Y87" s="15">
        <f t="shared" si="43"/>
        <v>99.999989999999997</v>
      </c>
      <c r="Z87" s="15">
        <f t="shared" si="44"/>
        <v>99.999989999999997</v>
      </c>
      <c r="AA87" s="15">
        <f t="shared" si="45"/>
        <v>99.999989999999997</v>
      </c>
      <c r="AB87" s="15">
        <f t="shared" si="46"/>
        <v>99.999989999999997</v>
      </c>
      <c r="AC87" s="15">
        <f t="shared" si="47"/>
        <v>99.999989999999997</v>
      </c>
      <c r="AD87" s="15">
        <f t="shared" si="48"/>
        <v>99.999989999999997</v>
      </c>
      <c r="AE87" s="15">
        <f t="shared" si="49"/>
        <v>99.999989999999997</v>
      </c>
      <c r="AF87" s="15">
        <f t="shared" si="50"/>
        <v>99.999989999999997</v>
      </c>
      <c r="AG87" s="15">
        <f t="shared" si="51"/>
        <v>99.999989999999997</v>
      </c>
      <c r="AH87" s="15">
        <f t="shared" si="52"/>
        <v>99.999989999999997</v>
      </c>
      <c r="AI87" s="15">
        <f t="shared" si="53"/>
        <v>99.999989999999997</v>
      </c>
      <c r="AJ87" s="15">
        <f t="shared" si="54"/>
        <v>99.999989999999997</v>
      </c>
      <c r="AK87" s="5">
        <f t="shared" si="55"/>
        <v>99.999989999999997</v>
      </c>
    </row>
    <row r="88" spans="1:37" x14ac:dyDescent="0.25">
      <c r="A88" s="52"/>
      <c r="B88" s="52"/>
      <c r="C88" s="90"/>
      <c r="D88" s="90"/>
      <c r="E88" s="90"/>
      <c r="F88" s="93"/>
      <c r="G88" s="94"/>
      <c r="H88" s="94"/>
      <c r="I88" s="95"/>
      <c r="J88" s="95"/>
      <c r="K88" s="95"/>
      <c r="L88" s="95"/>
      <c r="M88" s="95"/>
      <c r="N88" s="95"/>
      <c r="O88" s="95"/>
      <c r="P88" s="95"/>
      <c r="Q88" s="95"/>
      <c r="R88" s="96"/>
      <c r="S88" s="13" t="e">
        <f t="shared" si="38"/>
        <v>#DIV/0!</v>
      </c>
      <c r="T88" s="4">
        <f t="shared" ca="1" si="39"/>
        <v>41553</v>
      </c>
      <c r="U88" s="4">
        <f t="shared" ca="1" si="40"/>
        <v>-41193</v>
      </c>
      <c r="V88" s="4" t="e">
        <f t="shared" ca="1" si="41"/>
        <v>#NUM!</v>
      </c>
      <c r="W88" s="13" t="e">
        <f t="shared" ca="1" si="42"/>
        <v>#NUM!</v>
      </c>
      <c r="X88" s="5" t="e">
        <f t="shared" ca="1" si="56"/>
        <v>#NUM!</v>
      </c>
      <c r="Y88" s="15">
        <f t="shared" si="43"/>
        <v>99.999989999999997</v>
      </c>
      <c r="Z88" s="15">
        <f t="shared" si="44"/>
        <v>99.999989999999997</v>
      </c>
      <c r="AA88" s="15">
        <f t="shared" si="45"/>
        <v>99.999989999999997</v>
      </c>
      <c r="AB88" s="15">
        <f t="shared" si="46"/>
        <v>99.999989999999997</v>
      </c>
      <c r="AC88" s="15">
        <f t="shared" si="47"/>
        <v>99.999989999999997</v>
      </c>
      <c r="AD88" s="15">
        <f t="shared" si="48"/>
        <v>99.999989999999997</v>
      </c>
      <c r="AE88" s="15">
        <f t="shared" si="49"/>
        <v>99.999989999999997</v>
      </c>
      <c r="AF88" s="15">
        <f t="shared" si="50"/>
        <v>99.999989999999997</v>
      </c>
      <c r="AG88" s="15">
        <f t="shared" si="51"/>
        <v>99.999989999999997</v>
      </c>
      <c r="AH88" s="15">
        <f t="shared" si="52"/>
        <v>99.999989999999997</v>
      </c>
      <c r="AI88" s="15">
        <f t="shared" si="53"/>
        <v>99.999989999999997</v>
      </c>
      <c r="AJ88" s="15">
        <f t="shared" si="54"/>
        <v>99.999989999999997</v>
      </c>
      <c r="AK88" s="5">
        <f t="shared" si="55"/>
        <v>99.999989999999997</v>
      </c>
    </row>
    <row r="89" spans="1:37" x14ac:dyDescent="0.25">
      <c r="A89" s="52"/>
      <c r="B89" s="52"/>
      <c r="C89" s="90"/>
      <c r="D89" s="90"/>
      <c r="E89" s="90"/>
      <c r="F89" s="93"/>
      <c r="G89" s="94"/>
      <c r="H89" s="94"/>
      <c r="I89" s="95"/>
      <c r="J89" s="95"/>
      <c r="K89" s="95"/>
      <c r="L89" s="95"/>
      <c r="M89" s="95"/>
      <c r="N89" s="95"/>
      <c r="O89" s="95"/>
      <c r="P89" s="95"/>
      <c r="Q89" s="95"/>
      <c r="R89" s="96"/>
      <c r="S89" s="13" t="e">
        <f t="shared" si="38"/>
        <v>#DIV/0!</v>
      </c>
      <c r="T89" s="4">
        <f t="shared" ca="1" si="39"/>
        <v>41553</v>
      </c>
      <c r="U89" s="4">
        <f t="shared" ca="1" si="40"/>
        <v>-41193</v>
      </c>
      <c r="V89" s="4" t="e">
        <f t="shared" ca="1" si="41"/>
        <v>#NUM!</v>
      </c>
      <c r="W89" s="13" t="e">
        <f t="shared" ca="1" si="42"/>
        <v>#NUM!</v>
      </c>
      <c r="X89" s="5" t="e">
        <f t="shared" ca="1" si="56"/>
        <v>#NUM!</v>
      </c>
      <c r="Y89" s="15">
        <f t="shared" si="43"/>
        <v>99.999989999999997</v>
      </c>
      <c r="Z89" s="15">
        <f t="shared" si="44"/>
        <v>99.999989999999997</v>
      </c>
      <c r="AA89" s="15">
        <f t="shared" si="45"/>
        <v>99.999989999999997</v>
      </c>
      <c r="AB89" s="15">
        <f t="shared" si="46"/>
        <v>99.999989999999997</v>
      </c>
      <c r="AC89" s="15">
        <f t="shared" si="47"/>
        <v>99.999989999999997</v>
      </c>
      <c r="AD89" s="15">
        <f t="shared" si="48"/>
        <v>99.999989999999997</v>
      </c>
      <c r="AE89" s="15">
        <f t="shared" si="49"/>
        <v>99.999989999999997</v>
      </c>
      <c r="AF89" s="15">
        <f t="shared" si="50"/>
        <v>99.999989999999997</v>
      </c>
      <c r="AG89" s="15">
        <f t="shared" si="51"/>
        <v>99.999989999999997</v>
      </c>
      <c r="AH89" s="15">
        <f t="shared" si="52"/>
        <v>99.999989999999997</v>
      </c>
      <c r="AI89" s="15">
        <f t="shared" si="53"/>
        <v>99.999989999999997</v>
      </c>
      <c r="AJ89" s="15">
        <f t="shared" si="54"/>
        <v>99.999989999999997</v>
      </c>
      <c r="AK89" s="5">
        <f t="shared" si="55"/>
        <v>99.999989999999997</v>
      </c>
    </row>
    <row r="90" spans="1:37" x14ac:dyDescent="0.25">
      <c r="A90" s="52"/>
      <c r="B90" s="52"/>
      <c r="C90" s="90"/>
      <c r="D90" s="90"/>
      <c r="E90" s="90"/>
      <c r="F90" s="93"/>
      <c r="G90" s="94"/>
      <c r="H90" s="94"/>
      <c r="I90" s="95"/>
      <c r="J90" s="95"/>
      <c r="K90" s="95"/>
      <c r="L90" s="95"/>
      <c r="M90" s="95"/>
      <c r="N90" s="95"/>
      <c r="O90" s="95"/>
      <c r="P90" s="95"/>
      <c r="Q90" s="95"/>
      <c r="R90" s="96"/>
      <c r="S90" s="13" t="e">
        <f t="shared" si="38"/>
        <v>#DIV/0!</v>
      </c>
      <c r="T90" s="4">
        <f t="shared" ca="1" si="39"/>
        <v>41553</v>
      </c>
      <c r="U90" s="4">
        <f t="shared" ca="1" si="40"/>
        <v>-41193</v>
      </c>
      <c r="V90" s="4" t="e">
        <f t="shared" ca="1" si="41"/>
        <v>#NUM!</v>
      </c>
      <c r="W90" s="13" t="e">
        <f t="shared" ca="1" si="42"/>
        <v>#NUM!</v>
      </c>
      <c r="X90" s="5" t="e">
        <f t="shared" ca="1" si="56"/>
        <v>#NUM!</v>
      </c>
      <c r="Y90" s="15">
        <f t="shared" si="43"/>
        <v>99.999989999999997</v>
      </c>
      <c r="Z90" s="15">
        <f t="shared" si="44"/>
        <v>99.999989999999997</v>
      </c>
      <c r="AA90" s="15">
        <f t="shared" si="45"/>
        <v>99.999989999999997</v>
      </c>
      <c r="AB90" s="15">
        <f t="shared" si="46"/>
        <v>99.999989999999997</v>
      </c>
      <c r="AC90" s="15">
        <f t="shared" si="47"/>
        <v>99.999989999999997</v>
      </c>
      <c r="AD90" s="15">
        <f t="shared" si="48"/>
        <v>99.999989999999997</v>
      </c>
      <c r="AE90" s="15">
        <f t="shared" si="49"/>
        <v>99.999989999999997</v>
      </c>
      <c r="AF90" s="15">
        <f t="shared" si="50"/>
        <v>99.999989999999997</v>
      </c>
      <c r="AG90" s="15">
        <f t="shared" si="51"/>
        <v>99.999989999999997</v>
      </c>
      <c r="AH90" s="15">
        <f t="shared" si="52"/>
        <v>99.999989999999997</v>
      </c>
      <c r="AI90" s="15">
        <f t="shared" si="53"/>
        <v>99.999989999999997</v>
      </c>
      <c r="AJ90" s="15">
        <f t="shared" si="54"/>
        <v>99.999989999999997</v>
      </c>
      <c r="AK90" s="5">
        <f t="shared" si="55"/>
        <v>99.999989999999997</v>
      </c>
    </row>
    <row r="91" spans="1:37" x14ac:dyDescent="0.25">
      <c r="A91" s="52"/>
      <c r="B91" s="52"/>
      <c r="C91" s="90"/>
      <c r="D91" s="90"/>
      <c r="E91" s="90"/>
      <c r="F91" s="93"/>
      <c r="G91" s="94"/>
      <c r="H91" s="94"/>
      <c r="I91" s="95"/>
      <c r="J91" s="95"/>
      <c r="K91" s="95"/>
      <c r="L91" s="95"/>
      <c r="M91" s="95"/>
      <c r="N91" s="95"/>
      <c r="O91" s="95"/>
      <c r="P91" s="95"/>
      <c r="Q91" s="95"/>
      <c r="R91" s="96"/>
      <c r="S91" s="13" t="e">
        <f t="shared" si="38"/>
        <v>#DIV/0!</v>
      </c>
      <c r="T91" s="4">
        <f t="shared" ca="1" si="39"/>
        <v>41553</v>
      </c>
      <c r="U91" s="4">
        <f t="shared" ca="1" si="40"/>
        <v>-41193</v>
      </c>
      <c r="V91" s="4" t="e">
        <f t="shared" ca="1" si="41"/>
        <v>#NUM!</v>
      </c>
      <c r="W91" s="13" t="e">
        <f t="shared" ca="1" si="42"/>
        <v>#NUM!</v>
      </c>
      <c r="X91" s="5" t="e">
        <f t="shared" ca="1" si="56"/>
        <v>#NUM!</v>
      </c>
      <c r="Y91" s="15">
        <f t="shared" si="43"/>
        <v>99.999989999999997</v>
      </c>
      <c r="Z91" s="15">
        <f t="shared" si="44"/>
        <v>99.999989999999997</v>
      </c>
      <c r="AA91" s="15">
        <f t="shared" si="45"/>
        <v>99.999989999999997</v>
      </c>
      <c r="AB91" s="15">
        <f t="shared" si="46"/>
        <v>99.999989999999997</v>
      </c>
      <c r="AC91" s="15">
        <f t="shared" si="47"/>
        <v>99.999989999999997</v>
      </c>
      <c r="AD91" s="15">
        <f t="shared" si="48"/>
        <v>99.999989999999997</v>
      </c>
      <c r="AE91" s="15">
        <f t="shared" si="49"/>
        <v>99.999989999999997</v>
      </c>
      <c r="AF91" s="15">
        <f t="shared" si="50"/>
        <v>99.999989999999997</v>
      </c>
      <c r="AG91" s="15">
        <f t="shared" si="51"/>
        <v>99.999989999999997</v>
      </c>
      <c r="AH91" s="15">
        <f t="shared" si="52"/>
        <v>99.999989999999997</v>
      </c>
      <c r="AI91" s="15">
        <f t="shared" si="53"/>
        <v>99.999989999999997</v>
      </c>
      <c r="AJ91" s="15">
        <f t="shared" si="54"/>
        <v>99.999989999999997</v>
      </c>
      <c r="AK91" s="5">
        <f t="shared" si="55"/>
        <v>99.999989999999997</v>
      </c>
    </row>
    <row r="92" spans="1:37" x14ac:dyDescent="0.25">
      <c r="A92" s="52"/>
      <c r="B92" s="52"/>
      <c r="C92" s="90"/>
      <c r="D92" s="90"/>
      <c r="E92" s="90"/>
      <c r="F92" s="93"/>
      <c r="G92" s="94"/>
      <c r="H92" s="94"/>
      <c r="I92" s="95"/>
      <c r="J92" s="95"/>
      <c r="K92" s="95"/>
      <c r="L92" s="95"/>
      <c r="M92" s="95"/>
      <c r="N92" s="95"/>
      <c r="O92" s="95"/>
      <c r="P92" s="95"/>
      <c r="Q92" s="95"/>
      <c r="R92" s="96"/>
      <c r="S92" s="13" t="e">
        <f t="shared" si="38"/>
        <v>#DIV/0!</v>
      </c>
      <c r="T92" s="4">
        <f t="shared" ca="1" si="39"/>
        <v>41553</v>
      </c>
      <c r="U92" s="4">
        <f t="shared" ca="1" si="40"/>
        <v>-41193</v>
      </c>
      <c r="V92" s="4" t="e">
        <f t="shared" ca="1" si="41"/>
        <v>#NUM!</v>
      </c>
      <c r="W92" s="13" t="e">
        <f t="shared" ca="1" si="42"/>
        <v>#NUM!</v>
      </c>
      <c r="X92" s="5" t="e">
        <f t="shared" ca="1" si="56"/>
        <v>#NUM!</v>
      </c>
      <c r="Y92" s="15">
        <f t="shared" si="43"/>
        <v>99.999989999999997</v>
      </c>
      <c r="Z92" s="15">
        <f t="shared" si="44"/>
        <v>99.999989999999997</v>
      </c>
      <c r="AA92" s="15">
        <f t="shared" si="45"/>
        <v>99.999989999999997</v>
      </c>
      <c r="AB92" s="15">
        <f t="shared" si="46"/>
        <v>99.999989999999997</v>
      </c>
      <c r="AC92" s="15">
        <f t="shared" si="47"/>
        <v>99.999989999999997</v>
      </c>
      <c r="AD92" s="15">
        <f t="shared" si="48"/>
        <v>99.999989999999997</v>
      </c>
      <c r="AE92" s="15">
        <f t="shared" si="49"/>
        <v>99.999989999999997</v>
      </c>
      <c r="AF92" s="15">
        <f t="shared" si="50"/>
        <v>99.999989999999997</v>
      </c>
      <c r="AG92" s="15">
        <f t="shared" si="51"/>
        <v>99.999989999999997</v>
      </c>
      <c r="AH92" s="15">
        <f t="shared" si="52"/>
        <v>99.999989999999997</v>
      </c>
      <c r="AI92" s="15">
        <f t="shared" si="53"/>
        <v>99.999989999999997</v>
      </c>
      <c r="AJ92" s="15">
        <f t="shared" si="54"/>
        <v>99.999989999999997</v>
      </c>
      <c r="AK92" s="5">
        <f t="shared" si="55"/>
        <v>99.999989999999997</v>
      </c>
    </row>
    <row r="93" spans="1:37" x14ac:dyDescent="0.25">
      <c r="A93" s="52"/>
      <c r="B93" s="52"/>
      <c r="C93" s="90"/>
      <c r="D93" s="90"/>
      <c r="E93" s="90"/>
      <c r="F93" s="93"/>
      <c r="G93" s="94"/>
      <c r="H93" s="94"/>
      <c r="I93" s="95"/>
      <c r="J93" s="95"/>
      <c r="K93" s="95"/>
      <c r="L93" s="95"/>
      <c r="M93" s="95"/>
      <c r="N93" s="95"/>
      <c r="O93" s="95"/>
      <c r="P93" s="95"/>
      <c r="Q93" s="95"/>
      <c r="R93" s="96"/>
      <c r="S93" s="13" t="e">
        <f t="shared" si="38"/>
        <v>#DIV/0!</v>
      </c>
      <c r="T93" s="4">
        <f t="shared" ca="1" si="39"/>
        <v>41553</v>
      </c>
      <c r="U93" s="4">
        <f t="shared" ca="1" si="40"/>
        <v>-41193</v>
      </c>
      <c r="V93" s="4" t="e">
        <f t="shared" ca="1" si="41"/>
        <v>#NUM!</v>
      </c>
      <c r="W93" s="13" t="e">
        <f t="shared" ca="1" si="42"/>
        <v>#NUM!</v>
      </c>
      <c r="X93" s="5" t="e">
        <f t="shared" ca="1" si="56"/>
        <v>#NUM!</v>
      </c>
      <c r="Y93" s="15">
        <f t="shared" si="43"/>
        <v>99.999989999999997</v>
      </c>
      <c r="Z93" s="15">
        <f t="shared" si="44"/>
        <v>99.999989999999997</v>
      </c>
      <c r="AA93" s="15">
        <f t="shared" si="45"/>
        <v>99.999989999999997</v>
      </c>
      <c r="AB93" s="15">
        <f t="shared" si="46"/>
        <v>99.999989999999997</v>
      </c>
      <c r="AC93" s="15">
        <f t="shared" si="47"/>
        <v>99.999989999999997</v>
      </c>
      <c r="AD93" s="15">
        <f t="shared" si="48"/>
        <v>99.999989999999997</v>
      </c>
      <c r="AE93" s="15">
        <f t="shared" si="49"/>
        <v>99.999989999999997</v>
      </c>
      <c r="AF93" s="15">
        <f t="shared" si="50"/>
        <v>99.999989999999997</v>
      </c>
      <c r="AG93" s="15">
        <f t="shared" si="51"/>
        <v>99.999989999999997</v>
      </c>
      <c r="AH93" s="15">
        <f t="shared" si="52"/>
        <v>99.999989999999997</v>
      </c>
      <c r="AI93" s="15">
        <f t="shared" si="53"/>
        <v>99.999989999999997</v>
      </c>
      <c r="AJ93" s="15">
        <f t="shared" si="54"/>
        <v>99.999989999999997</v>
      </c>
      <c r="AK93" s="5">
        <f t="shared" si="55"/>
        <v>99.999989999999997</v>
      </c>
    </row>
    <row r="94" spans="1:37" x14ac:dyDescent="0.25">
      <c r="A94" s="52"/>
      <c r="B94" s="52"/>
      <c r="C94" s="90"/>
      <c r="D94" s="90"/>
      <c r="E94" s="90"/>
      <c r="F94" s="93"/>
      <c r="G94" s="94"/>
      <c r="H94" s="94"/>
      <c r="I94" s="95"/>
      <c r="J94" s="95"/>
      <c r="K94" s="95"/>
      <c r="L94" s="95"/>
      <c r="M94" s="95"/>
      <c r="N94" s="95"/>
      <c r="O94" s="95"/>
      <c r="P94" s="95"/>
      <c r="Q94" s="95"/>
      <c r="R94" s="96"/>
      <c r="S94" s="13" t="e">
        <f t="shared" si="38"/>
        <v>#DIV/0!</v>
      </c>
      <c r="T94" s="4">
        <f t="shared" ca="1" si="39"/>
        <v>41553</v>
      </c>
      <c r="U94" s="4">
        <f t="shared" ca="1" si="40"/>
        <v>-41193</v>
      </c>
      <c r="V94" s="4" t="e">
        <f t="shared" ca="1" si="41"/>
        <v>#NUM!</v>
      </c>
      <c r="W94" s="13" t="e">
        <f t="shared" ca="1" si="42"/>
        <v>#NUM!</v>
      </c>
      <c r="X94" s="5" t="e">
        <f t="shared" ca="1" si="56"/>
        <v>#NUM!</v>
      </c>
      <c r="Y94" s="15">
        <f t="shared" si="43"/>
        <v>99.999989999999997</v>
      </c>
      <c r="Z94" s="15">
        <f t="shared" si="44"/>
        <v>99.999989999999997</v>
      </c>
      <c r="AA94" s="15">
        <f t="shared" si="45"/>
        <v>99.999989999999997</v>
      </c>
      <c r="AB94" s="15">
        <f t="shared" si="46"/>
        <v>99.999989999999997</v>
      </c>
      <c r="AC94" s="15">
        <f t="shared" si="47"/>
        <v>99.999989999999997</v>
      </c>
      <c r="AD94" s="15">
        <f t="shared" si="48"/>
        <v>99.999989999999997</v>
      </c>
      <c r="AE94" s="15">
        <f t="shared" si="49"/>
        <v>99.999989999999997</v>
      </c>
      <c r="AF94" s="15">
        <f t="shared" si="50"/>
        <v>99.999989999999997</v>
      </c>
      <c r="AG94" s="15">
        <f t="shared" si="51"/>
        <v>99.999989999999997</v>
      </c>
      <c r="AH94" s="15">
        <f t="shared" si="52"/>
        <v>99.999989999999997</v>
      </c>
      <c r="AI94" s="15">
        <f t="shared" si="53"/>
        <v>99.999989999999997</v>
      </c>
      <c r="AJ94" s="15">
        <f t="shared" si="54"/>
        <v>99.999989999999997</v>
      </c>
      <c r="AK94" s="5">
        <f t="shared" si="55"/>
        <v>99.999989999999997</v>
      </c>
    </row>
    <row r="95" spans="1:37" x14ac:dyDescent="0.25">
      <c r="A95" s="52"/>
      <c r="B95" s="52"/>
      <c r="C95" s="90"/>
      <c r="D95" s="90"/>
      <c r="E95" s="90"/>
      <c r="F95" s="93"/>
      <c r="G95" s="94"/>
      <c r="H95" s="94"/>
      <c r="I95" s="95"/>
      <c r="J95" s="95"/>
      <c r="K95" s="95"/>
      <c r="L95" s="95"/>
      <c r="M95" s="95"/>
      <c r="N95" s="95"/>
      <c r="O95" s="95"/>
      <c r="P95" s="95"/>
      <c r="Q95" s="95"/>
      <c r="R95" s="96"/>
      <c r="S95" s="13" t="e">
        <f t="shared" si="38"/>
        <v>#DIV/0!</v>
      </c>
      <c r="T95" s="4">
        <f t="shared" ca="1" si="39"/>
        <v>41553</v>
      </c>
      <c r="U95" s="4">
        <f t="shared" ca="1" si="40"/>
        <v>-41193</v>
      </c>
      <c r="V95" s="4" t="e">
        <f t="shared" ca="1" si="41"/>
        <v>#NUM!</v>
      </c>
      <c r="W95" s="13" t="e">
        <f t="shared" ca="1" si="42"/>
        <v>#NUM!</v>
      </c>
      <c r="X95" s="5" t="e">
        <f t="shared" ca="1" si="56"/>
        <v>#NUM!</v>
      </c>
      <c r="Y95" s="15">
        <f t="shared" si="43"/>
        <v>99.999989999999997</v>
      </c>
      <c r="Z95" s="15">
        <f t="shared" si="44"/>
        <v>99.999989999999997</v>
      </c>
      <c r="AA95" s="15">
        <f t="shared" si="45"/>
        <v>99.999989999999997</v>
      </c>
      <c r="AB95" s="15">
        <f t="shared" si="46"/>
        <v>99.999989999999997</v>
      </c>
      <c r="AC95" s="15">
        <f t="shared" si="47"/>
        <v>99.999989999999997</v>
      </c>
      <c r="AD95" s="15">
        <f t="shared" si="48"/>
        <v>99.999989999999997</v>
      </c>
      <c r="AE95" s="15">
        <f t="shared" si="49"/>
        <v>99.999989999999997</v>
      </c>
      <c r="AF95" s="15">
        <f t="shared" si="50"/>
        <v>99.999989999999997</v>
      </c>
      <c r="AG95" s="15">
        <f t="shared" si="51"/>
        <v>99.999989999999997</v>
      </c>
      <c r="AH95" s="15">
        <f t="shared" si="52"/>
        <v>99.999989999999997</v>
      </c>
      <c r="AI95" s="15">
        <f t="shared" si="53"/>
        <v>99.999989999999997</v>
      </c>
      <c r="AJ95" s="15">
        <f t="shared" si="54"/>
        <v>99.999989999999997</v>
      </c>
      <c r="AK95" s="5">
        <f t="shared" si="55"/>
        <v>99.999989999999997</v>
      </c>
    </row>
    <row r="96" spans="1:37" x14ac:dyDescent="0.25">
      <c r="A96" s="52"/>
      <c r="B96" s="52"/>
      <c r="C96" s="90"/>
      <c r="D96" s="90"/>
      <c r="E96" s="90"/>
      <c r="F96" s="93"/>
      <c r="G96" s="94"/>
      <c r="H96" s="94"/>
      <c r="I96" s="95"/>
      <c r="J96" s="95"/>
      <c r="K96" s="95"/>
      <c r="L96" s="95"/>
      <c r="M96" s="95"/>
      <c r="N96" s="95"/>
      <c r="O96" s="95"/>
      <c r="P96" s="95"/>
      <c r="Q96" s="95"/>
      <c r="R96" s="96"/>
      <c r="S96" s="13" t="e">
        <f t="shared" si="38"/>
        <v>#DIV/0!</v>
      </c>
      <c r="T96" s="4">
        <f t="shared" ca="1" si="39"/>
        <v>41553</v>
      </c>
      <c r="U96" s="4">
        <f t="shared" ca="1" si="40"/>
        <v>-41193</v>
      </c>
      <c r="V96" s="4" t="e">
        <f t="shared" ca="1" si="41"/>
        <v>#NUM!</v>
      </c>
      <c r="W96" s="13" t="e">
        <f t="shared" ca="1" si="42"/>
        <v>#NUM!</v>
      </c>
      <c r="X96" s="5" t="e">
        <f t="shared" ca="1" si="56"/>
        <v>#NUM!</v>
      </c>
      <c r="Y96" s="15">
        <f t="shared" si="43"/>
        <v>99.999989999999997</v>
      </c>
      <c r="Z96" s="15">
        <f t="shared" si="44"/>
        <v>99.999989999999997</v>
      </c>
      <c r="AA96" s="15">
        <f t="shared" si="45"/>
        <v>99.999989999999997</v>
      </c>
      <c r="AB96" s="15">
        <f t="shared" si="46"/>
        <v>99.999989999999997</v>
      </c>
      <c r="AC96" s="15">
        <f t="shared" si="47"/>
        <v>99.999989999999997</v>
      </c>
      <c r="AD96" s="15">
        <f t="shared" si="48"/>
        <v>99.999989999999997</v>
      </c>
      <c r="AE96" s="15">
        <f t="shared" si="49"/>
        <v>99.999989999999997</v>
      </c>
      <c r="AF96" s="15">
        <f t="shared" si="50"/>
        <v>99.999989999999997</v>
      </c>
      <c r="AG96" s="15">
        <f t="shared" si="51"/>
        <v>99.999989999999997</v>
      </c>
      <c r="AH96" s="15">
        <f t="shared" si="52"/>
        <v>99.999989999999997</v>
      </c>
      <c r="AI96" s="15">
        <f t="shared" si="53"/>
        <v>99.999989999999997</v>
      </c>
      <c r="AJ96" s="15">
        <f t="shared" si="54"/>
        <v>99.999989999999997</v>
      </c>
      <c r="AK96" s="5">
        <f t="shared" si="55"/>
        <v>99.999989999999997</v>
      </c>
    </row>
    <row r="97" spans="1:37" x14ac:dyDescent="0.25">
      <c r="A97" s="52"/>
      <c r="B97" s="52"/>
      <c r="C97" s="90"/>
      <c r="D97" s="90"/>
      <c r="E97" s="90"/>
      <c r="F97" s="93"/>
      <c r="G97" s="94"/>
      <c r="H97" s="94"/>
      <c r="I97" s="95"/>
      <c r="J97" s="95"/>
      <c r="K97" s="95"/>
      <c r="L97" s="95"/>
      <c r="M97" s="95"/>
      <c r="N97" s="95"/>
      <c r="O97" s="95"/>
      <c r="P97" s="95"/>
      <c r="Q97" s="95"/>
      <c r="R97" s="96"/>
      <c r="S97" s="13" t="e">
        <f t="shared" si="38"/>
        <v>#DIV/0!</v>
      </c>
      <c r="T97" s="4">
        <f t="shared" ca="1" si="39"/>
        <v>41553</v>
      </c>
      <c r="U97" s="4">
        <f t="shared" ca="1" si="40"/>
        <v>-41193</v>
      </c>
      <c r="V97" s="4" t="e">
        <f t="shared" ca="1" si="41"/>
        <v>#NUM!</v>
      </c>
      <c r="W97" s="13" t="e">
        <f t="shared" ca="1" si="42"/>
        <v>#NUM!</v>
      </c>
      <c r="X97" s="5" t="e">
        <f t="shared" ca="1" si="56"/>
        <v>#NUM!</v>
      </c>
      <c r="Y97" s="15">
        <f t="shared" si="43"/>
        <v>99.999989999999997</v>
      </c>
      <c r="Z97" s="15">
        <f t="shared" si="44"/>
        <v>99.999989999999997</v>
      </c>
      <c r="AA97" s="15">
        <f t="shared" si="45"/>
        <v>99.999989999999997</v>
      </c>
      <c r="AB97" s="15">
        <f t="shared" si="46"/>
        <v>99.999989999999997</v>
      </c>
      <c r="AC97" s="15">
        <f t="shared" si="47"/>
        <v>99.999989999999997</v>
      </c>
      <c r="AD97" s="15">
        <f t="shared" si="48"/>
        <v>99.999989999999997</v>
      </c>
      <c r="AE97" s="15">
        <f t="shared" si="49"/>
        <v>99.999989999999997</v>
      </c>
      <c r="AF97" s="15">
        <f t="shared" si="50"/>
        <v>99.999989999999997</v>
      </c>
      <c r="AG97" s="15">
        <f t="shared" si="51"/>
        <v>99.999989999999997</v>
      </c>
      <c r="AH97" s="15">
        <f t="shared" si="52"/>
        <v>99.999989999999997</v>
      </c>
      <c r="AI97" s="15">
        <f t="shared" si="53"/>
        <v>99.999989999999997</v>
      </c>
      <c r="AJ97" s="15">
        <f t="shared" si="54"/>
        <v>99.999989999999997</v>
      </c>
      <c r="AK97" s="5">
        <f t="shared" si="55"/>
        <v>99.999989999999997</v>
      </c>
    </row>
    <row r="98" spans="1:37" x14ac:dyDescent="0.25">
      <c r="A98" s="52"/>
      <c r="B98" s="52"/>
      <c r="C98" s="90"/>
      <c r="D98" s="90"/>
      <c r="E98" s="90"/>
      <c r="F98" s="93"/>
      <c r="G98" s="94"/>
      <c r="H98" s="94"/>
      <c r="I98" s="95"/>
      <c r="J98" s="95"/>
      <c r="K98" s="95"/>
      <c r="L98" s="95"/>
      <c r="M98" s="95"/>
      <c r="N98" s="95"/>
      <c r="O98" s="95"/>
      <c r="P98" s="95"/>
      <c r="Q98" s="95"/>
      <c r="R98" s="96"/>
      <c r="S98" s="13" t="e">
        <f t="shared" si="38"/>
        <v>#DIV/0!</v>
      </c>
      <c r="T98" s="4">
        <f t="shared" ca="1" si="39"/>
        <v>41553</v>
      </c>
      <c r="U98" s="4">
        <f t="shared" ca="1" si="40"/>
        <v>-41193</v>
      </c>
      <c r="V98" s="4" t="e">
        <f t="shared" ca="1" si="41"/>
        <v>#NUM!</v>
      </c>
      <c r="W98" s="13" t="e">
        <f t="shared" ca="1" si="42"/>
        <v>#NUM!</v>
      </c>
      <c r="X98" s="5" t="e">
        <f t="shared" ca="1" si="56"/>
        <v>#NUM!</v>
      </c>
      <c r="Y98" s="15">
        <f t="shared" si="43"/>
        <v>99.999989999999997</v>
      </c>
      <c r="Z98" s="15">
        <f t="shared" si="44"/>
        <v>99.999989999999997</v>
      </c>
      <c r="AA98" s="15">
        <f t="shared" si="45"/>
        <v>99.999989999999997</v>
      </c>
      <c r="AB98" s="15">
        <f t="shared" si="46"/>
        <v>99.999989999999997</v>
      </c>
      <c r="AC98" s="15">
        <f t="shared" si="47"/>
        <v>99.999989999999997</v>
      </c>
      <c r="AD98" s="15">
        <f t="shared" si="48"/>
        <v>99.999989999999997</v>
      </c>
      <c r="AE98" s="15">
        <f t="shared" si="49"/>
        <v>99.999989999999997</v>
      </c>
      <c r="AF98" s="15">
        <f t="shared" si="50"/>
        <v>99.999989999999997</v>
      </c>
      <c r="AG98" s="15">
        <f t="shared" si="51"/>
        <v>99.999989999999997</v>
      </c>
      <c r="AH98" s="15">
        <f t="shared" si="52"/>
        <v>99.999989999999997</v>
      </c>
      <c r="AI98" s="15">
        <f t="shared" si="53"/>
        <v>99.999989999999997</v>
      </c>
      <c r="AJ98" s="15">
        <f t="shared" si="54"/>
        <v>99.999989999999997</v>
      </c>
      <c r="AK98" s="5">
        <f t="shared" si="55"/>
        <v>99.999989999999997</v>
      </c>
    </row>
    <row r="99" spans="1:37" x14ac:dyDescent="0.25">
      <c r="A99" s="52"/>
      <c r="B99" s="52"/>
      <c r="C99" s="90"/>
      <c r="D99" s="90"/>
      <c r="E99" s="90"/>
      <c r="F99" s="93"/>
      <c r="G99" s="94"/>
      <c r="H99" s="94"/>
      <c r="I99" s="95"/>
      <c r="J99" s="95"/>
      <c r="K99" s="95"/>
      <c r="L99" s="95"/>
      <c r="M99" s="95"/>
      <c r="N99" s="95"/>
      <c r="O99" s="95"/>
      <c r="P99" s="95"/>
      <c r="Q99" s="95"/>
      <c r="R99" s="96"/>
      <c r="S99" s="13" t="e">
        <f t="shared" si="38"/>
        <v>#DIV/0!</v>
      </c>
      <c r="T99" s="4">
        <f t="shared" ca="1" si="39"/>
        <v>41553</v>
      </c>
      <c r="U99" s="4">
        <f t="shared" ca="1" si="40"/>
        <v>-41193</v>
      </c>
      <c r="V99" s="4" t="e">
        <f t="shared" ca="1" si="41"/>
        <v>#NUM!</v>
      </c>
      <c r="W99" s="13" t="e">
        <f t="shared" ca="1" si="42"/>
        <v>#NUM!</v>
      </c>
      <c r="X99" s="5" t="e">
        <f t="shared" ca="1" si="56"/>
        <v>#NUM!</v>
      </c>
      <c r="Y99" s="15">
        <f t="shared" si="43"/>
        <v>99.999989999999997</v>
      </c>
      <c r="Z99" s="15">
        <f t="shared" si="44"/>
        <v>99.999989999999997</v>
      </c>
      <c r="AA99" s="15">
        <f t="shared" si="45"/>
        <v>99.999989999999997</v>
      </c>
      <c r="AB99" s="15">
        <f t="shared" si="46"/>
        <v>99.999989999999997</v>
      </c>
      <c r="AC99" s="15">
        <f t="shared" si="47"/>
        <v>99.999989999999997</v>
      </c>
      <c r="AD99" s="15">
        <f t="shared" si="48"/>
        <v>99.999989999999997</v>
      </c>
      <c r="AE99" s="15">
        <f t="shared" si="49"/>
        <v>99.999989999999997</v>
      </c>
      <c r="AF99" s="15">
        <f t="shared" si="50"/>
        <v>99.999989999999997</v>
      </c>
      <c r="AG99" s="15">
        <f t="shared" si="51"/>
        <v>99.999989999999997</v>
      </c>
      <c r="AH99" s="15">
        <f t="shared" si="52"/>
        <v>99.999989999999997</v>
      </c>
      <c r="AI99" s="15">
        <f t="shared" si="53"/>
        <v>99.999989999999997</v>
      </c>
      <c r="AJ99" s="15">
        <f t="shared" si="54"/>
        <v>99.999989999999997</v>
      </c>
      <c r="AK99" s="5">
        <f t="shared" si="55"/>
        <v>99.999989999999997</v>
      </c>
    </row>
    <row r="100" spans="1:37" x14ac:dyDescent="0.25">
      <c r="A100" s="52"/>
      <c r="B100" s="52"/>
      <c r="C100" s="90"/>
      <c r="D100" s="90"/>
      <c r="E100" s="90"/>
      <c r="F100" s="93"/>
      <c r="G100" s="94"/>
      <c r="H100" s="94"/>
      <c r="I100" s="95"/>
      <c r="J100" s="95"/>
      <c r="K100" s="95"/>
      <c r="L100" s="95"/>
      <c r="M100" s="95"/>
      <c r="N100" s="95"/>
      <c r="O100" s="95"/>
      <c r="P100" s="95"/>
      <c r="Q100" s="95"/>
      <c r="R100" s="96"/>
      <c r="S100" s="13" t="e">
        <f t="shared" si="38"/>
        <v>#DIV/0!</v>
      </c>
      <c r="T100" s="4">
        <f t="shared" ca="1" si="39"/>
        <v>41553</v>
      </c>
      <c r="U100" s="4">
        <f t="shared" ca="1" si="40"/>
        <v>-41193</v>
      </c>
      <c r="V100" s="4" t="e">
        <f t="shared" ca="1" si="41"/>
        <v>#NUM!</v>
      </c>
      <c r="W100" s="13" t="e">
        <f t="shared" ca="1" si="42"/>
        <v>#NUM!</v>
      </c>
      <c r="X100" s="5" t="e">
        <f t="shared" ca="1" si="56"/>
        <v>#NUM!</v>
      </c>
      <c r="Y100" s="15">
        <f t="shared" si="43"/>
        <v>99.999989999999997</v>
      </c>
      <c r="Z100" s="15">
        <f t="shared" si="44"/>
        <v>99.999989999999997</v>
      </c>
      <c r="AA100" s="15">
        <f t="shared" si="45"/>
        <v>99.999989999999997</v>
      </c>
      <c r="AB100" s="15">
        <f t="shared" si="46"/>
        <v>99.999989999999997</v>
      </c>
      <c r="AC100" s="15">
        <f t="shared" si="47"/>
        <v>99.999989999999997</v>
      </c>
      <c r="AD100" s="15">
        <f t="shared" si="48"/>
        <v>99.999989999999997</v>
      </c>
      <c r="AE100" s="15">
        <f t="shared" si="49"/>
        <v>99.999989999999997</v>
      </c>
      <c r="AF100" s="15">
        <f t="shared" si="50"/>
        <v>99.999989999999997</v>
      </c>
      <c r="AG100" s="15">
        <f t="shared" si="51"/>
        <v>99.999989999999997</v>
      </c>
      <c r="AH100" s="15">
        <f t="shared" si="52"/>
        <v>99.999989999999997</v>
      </c>
      <c r="AI100" s="15">
        <f t="shared" si="53"/>
        <v>99.999989999999997</v>
      </c>
      <c r="AJ100" s="15">
        <f t="shared" si="54"/>
        <v>99.999989999999997</v>
      </c>
      <c r="AK100" s="5">
        <f t="shared" si="55"/>
        <v>99.999989999999997</v>
      </c>
    </row>
    <row r="101" spans="1:37" x14ac:dyDescent="0.25">
      <c r="A101" s="52"/>
      <c r="B101" s="52"/>
      <c r="C101" s="90"/>
      <c r="D101" s="90"/>
      <c r="E101" s="90"/>
      <c r="F101" s="93"/>
      <c r="G101" s="94"/>
      <c r="H101" s="94"/>
      <c r="I101" s="95"/>
      <c r="J101" s="95"/>
      <c r="K101" s="95"/>
      <c r="L101" s="95"/>
      <c r="M101" s="95"/>
      <c r="N101" s="95"/>
      <c r="O101" s="95"/>
      <c r="P101" s="95"/>
      <c r="Q101" s="95"/>
      <c r="R101" s="96"/>
      <c r="S101" s="13" t="e">
        <f t="shared" si="38"/>
        <v>#DIV/0!</v>
      </c>
      <c r="T101" s="4">
        <f t="shared" ca="1" si="39"/>
        <v>41553</v>
      </c>
      <c r="U101" s="4">
        <f t="shared" ca="1" si="40"/>
        <v>-41193</v>
      </c>
      <c r="V101" s="4" t="e">
        <f t="shared" ca="1" si="41"/>
        <v>#NUM!</v>
      </c>
      <c r="W101" s="13" t="e">
        <f t="shared" ca="1" si="42"/>
        <v>#NUM!</v>
      </c>
      <c r="X101" s="5" t="e">
        <f t="shared" ca="1" si="56"/>
        <v>#NUM!</v>
      </c>
      <c r="Y101" s="15">
        <f t="shared" si="43"/>
        <v>99.999989999999997</v>
      </c>
      <c r="Z101" s="15">
        <f t="shared" si="44"/>
        <v>99.999989999999997</v>
      </c>
      <c r="AA101" s="15">
        <f t="shared" si="45"/>
        <v>99.999989999999997</v>
      </c>
      <c r="AB101" s="15">
        <f t="shared" si="46"/>
        <v>99.999989999999997</v>
      </c>
      <c r="AC101" s="15">
        <f t="shared" si="47"/>
        <v>99.999989999999997</v>
      </c>
      <c r="AD101" s="15">
        <f t="shared" si="48"/>
        <v>99.999989999999997</v>
      </c>
      <c r="AE101" s="15">
        <f t="shared" si="49"/>
        <v>99.999989999999997</v>
      </c>
      <c r="AF101" s="15">
        <f t="shared" si="50"/>
        <v>99.999989999999997</v>
      </c>
      <c r="AG101" s="15">
        <f t="shared" si="51"/>
        <v>99.999989999999997</v>
      </c>
      <c r="AH101" s="15">
        <f t="shared" si="52"/>
        <v>99.999989999999997</v>
      </c>
      <c r="AI101" s="15">
        <f t="shared" si="53"/>
        <v>99.999989999999997</v>
      </c>
      <c r="AJ101" s="15">
        <f t="shared" si="54"/>
        <v>99.999989999999997</v>
      </c>
      <c r="AK101" s="5">
        <f t="shared" si="55"/>
        <v>99.999989999999997</v>
      </c>
    </row>
    <row r="102" spans="1:37" x14ac:dyDescent="0.25">
      <c r="A102" s="52"/>
      <c r="B102" s="52"/>
      <c r="C102" s="90"/>
      <c r="D102" s="90"/>
      <c r="E102" s="90"/>
      <c r="F102" s="93"/>
      <c r="G102" s="94"/>
      <c r="H102" s="94"/>
      <c r="I102" s="95"/>
      <c r="J102" s="95"/>
      <c r="K102" s="95"/>
      <c r="L102" s="95"/>
      <c r="M102" s="95"/>
      <c r="N102" s="95"/>
      <c r="O102" s="95"/>
      <c r="P102" s="95"/>
      <c r="Q102" s="95"/>
      <c r="R102" s="96"/>
      <c r="S102" s="13" t="e">
        <f t="shared" si="20"/>
        <v>#DIV/0!</v>
      </c>
      <c r="T102" s="4">
        <f t="shared" ca="1" si="21"/>
        <v>41553</v>
      </c>
      <c r="U102" s="4">
        <f t="shared" ca="1" si="22"/>
        <v>-41193</v>
      </c>
      <c r="V102" s="4" t="e">
        <f t="shared" ca="1" si="23"/>
        <v>#NUM!</v>
      </c>
      <c r="W102" s="13" t="e">
        <f t="shared" ca="1" si="24"/>
        <v>#NUM!</v>
      </c>
      <c r="X102" s="5" t="e">
        <f t="shared" ca="1" si="56"/>
        <v>#NUM!</v>
      </c>
      <c r="Y102" s="15">
        <f t="shared" si="25"/>
        <v>99.999989999999997</v>
      </c>
      <c r="Z102" s="15">
        <f t="shared" si="26"/>
        <v>99.999989999999997</v>
      </c>
      <c r="AA102" s="15">
        <f t="shared" si="27"/>
        <v>99.999989999999997</v>
      </c>
      <c r="AB102" s="15">
        <f t="shared" si="28"/>
        <v>99.999989999999997</v>
      </c>
      <c r="AC102" s="15">
        <f t="shared" si="29"/>
        <v>99.999989999999997</v>
      </c>
      <c r="AD102" s="15">
        <f t="shared" si="30"/>
        <v>99.999989999999997</v>
      </c>
      <c r="AE102" s="15">
        <f t="shared" si="31"/>
        <v>99.999989999999997</v>
      </c>
      <c r="AF102" s="15">
        <f t="shared" si="32"/>
        <v>99.999989999999997</v>
      </c>
      <c r="AG102" s="15">
        <f t="shared" si="33"/>
        <v>99.999989999999997</v>
      </c>
      <c r="AH102" s="15">
        <f t="shared" si="34"/>
        <v>99.999989999999997</v>
      </c>
      <c r="AI102" s="15">
        <f t="shared" si="35"/>
        <v>99.999989999999997</v>
      </c>
      <c r="AJ102" s="15">
        <f t="shared" si="36"/>
        <v>99.999989999999997</v>
      </c>
      <c r="AK102" s="5">
        <f t="shared" si="37"/>
        <v>99.999989999999997</v>
      </c>
    </row>
    <row r="103" spans="1:37" x14ac:dyDescent="0.25">
      <c r="A103" s="52"/>
      <c r="B103" s="52"/>
      <c r="C103" s="90"/>
      <c r="D103" s="90"/>
      <c r="E103" s="90"/>
      <c r="F103" s="93"/>
      <c r="G103" s="94"/>
      <c r="H103" s="94"/>
      <c r="I103" s="95"/>
      <c r="J103" s="95"/>
      <c r="K103" s="95"/>
      <c r="L103" s="95"/>
      <c r="M103" s="95"/>
      <c r="N103" s="95"/>
      <c r="O103" s="95"/>
      <c r="P103" s="95"/>
      <c r="Q103" s="95"/>
      <c r="R103" s="96"/>
      <c r="S103" s="13" t="e">
        <f t="shared" ref="S103" si="57">AVERAGE(F103:R103)</f>
        <v>#DIV/0!</v>
      </c>
      <c r="T103" s="4">
        <f t="shared" ref="T103" ca="1" si="58">IF(DAYS360(TODAY(),DATE(E103+2,D103,C103))&gt;=720,0,360-U103)</f>
        <v>41553</v>
      </c>
      <c r="U103" s="4">
        <f t="shared" ref="U103" ca="1" si="59">IF(DAYS360(TODAY(),DATE(E103+1,D103,C103))&lt;=360,DAYS360(TODAY(),DATE(E103+1,D103,C103)),360-V103)</f>
        <v>-41193</v>
      </c>
      <c r="V103" s="4" t="e">
        <f t="shared" ca="1" si="23"/>
        <v>#NUM!</v>
      </c>
      <c r="W103" s="13" t="e">
        <f t="shared" ref="W103" ca="1" si="60">(F103/360*T103)+(G103/360*U103)+(H103/360*V103)</f>
        <v>#NUM!</v>
      </c>
      <c r="X103" s="5" t="e">
        <f t="shared" ca="1" si="56"/>
        <v>#NUM!</v>
      </c>
      <c r="Y103" s="15">
        <f t="shared" si="25"/>
        <v>99.999989999999997</v>
      </c>
      <c r="Z103" s="15">
        <f t="shared" si="26"/>
        <v>99.999989999999997</v>
      </c>
      <c r="AA103" s="15">
        <f t="shared" si="27"/>
        <v>99.999989999999997</v>
      </c>
      <c r="AB103" s="15">
        <f t="shared" si="28"/>
        <v>99.999989999999997</v>
      </c>
      <c r="AC103" s="15">
        <f t="shared" si="29"/>
        <v>99.999989999999997</v>
      </c>
      <c r="AD103" s="15">
        <f t="shared" si="30"/>
        <v>99.999989999999997</v>
      </c>
      <c r="AE103" s="15">
        <f t="shared" si="31"/>
        <v>99.999989999999997</v>
      </c>
      <c r="AF103" s="15">
        <f t="shared" si="32"/>
        <v>99.999989999999997</v>
      </c>
      <c r="AG103" s="15">
        <f t="shared" si="33"/>
        <v>99.999989999999997</v>
      </c>
      <c r="AH103" s="15">
        <f t="shared" si="34"/>
        <v>99.999989999999997</v>
      </c>
      <c r="AI103" s="15">
        <f t="shared" si="35"/>
        <v>99.999989999999997</v>
      </c>
      <c r="AJ103" s="15">
        <f t="shared" si="36"/>
        <v>99.999989999999997</v>
      </c>
      <c r="AK103" s="5">
        <f t="shared" ref="AK103" si="61">MIN(Y103:AJ103)</f>
        <v>99.999989999999997</v>
      </c>
    </row>
  </sheetData>
  <autoFilter ref="A3:AK3">
    <sortState ref="A4:AK68">
      <sortCondition ref="B3"/>
    </sortState>
  </autoFilter>
  <mergeCells count="3">
    <mergeCell ref="T1:V1"/>
    <mergeCell ref="Y1:AJ1"/>
    <mergeCell ref="C2:E2"/>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3"/>
  <sheetViews>
    <sheetView zoomScale="60" zoomScaleNormal="60" workbookViewId="0">
      <pane ySplit="3" topLeftCell="A4" activePane="bottomLeft" state="frozenSplit"/>
      <selection pane="bottomLeft"/>
    </sheetView>
  </sheetViews>
  <sheetFormatPr baseColWidth="10" defaultRowHeight="15" x14ac:dyDescent="0.25"/>
  <cols>
    <col min="1" max="1" width="28" customWidth="1"/>
    <col min="2" max="2" width="20.85546875" customWidth="1"/>
    <col min="3" max="3" width="10.42578125" bestFit="1" customWidth="1"/>
    <col min="4" max="4" width="13.7109375" customWidth="1"/>
    <col min="5" max="5" width="11.140625" bestFit="1" customWidth="1"/>
    <col min="6" max="6" width="15.140625" customWidth="1"/>
    <col min="7" max="7" width="14.7109375" bestFit="1" customWidth="1"/>
    <col min="8" max="8" width="15.140625" customWidth="1"/>
    <col min="9" max="9" width="14.42578125" customWidth="1"/>
    <col min="10" max="17" width="14.85546875" customWidth="1"/>
    <col min="18" max="18" width="15.85546875" customWidth="1"/>
    <col min="19" max="19" width="18" customWidth="1"/>
    <col min="20" max="20" width="15.140625" customWidth="1"/>
    <col min="21" max="21" width="14.7109375" bestFit="1" customWidth="1"/>
    <col min="22" max="22" width="15.140625" customWidth="1"/>
    <col min="23" max="23" width="23.28515625" bestFit="1" customWidth="1"/>
    <col min="24" max="24" width="33.42578125" customWidth="1"/>
    <col min="25" max="25" width="15.140625" bestFit="1" customWidth="1"/>
    <col min="26" max="26" width="14.7109375" bestFit="1" customWidth="1"/>
    <col min="27" max="27" width="15.140625" bestFit="1" customWidth="1"/>
    <col min="28" max="28" width="14.42578125" customWidth="1"/>
    <col min="29" max="36" width="14.85546875" customWidth="1"/>
    <col min="37" max="37" width="39.42578125" customWidth="1"/>
  </cols>
  <sheetData>
    <row r="1" spans="1:37" x14ac:dyDescent="0.25">
      <c r="A1" s="1"/>
      <c r="B1" s="1"/>
      <c r="C1" s="1"/>
      <c r="D1" s="1"/>
      <c r="E1" s="1"/>
      <c r="F1" s="74"/>
      <c r="G1" s="75"/>
      <c r="H1" s="75"/>
      <c r="I1" s="75"/>
      <c r="J1" s="75"/>
      <c r="K1" s="75"/>
      <c r="L1" s="75"/>
      <c r="M1" s="75"/>
      <c r="N1" s="75"/>
      <c r="O1" s="75"/>
      <c r="P1" s="75"/>
      <c r="Q1" s="75"/>
      <c r="R1" s="76"/>
      <c r="S1" s="1"/>
      <c r="T1" s="114" t="s">
        <v>114</v>
      </c>
      <c r="U1" s="114"/>
      <c r="V1" s="114"/>
      <c r="W1" s="1"/>
      <c r="X1" s="1"/>
      <c r="Y1" s="114" t="s">
        <v>122</v>
      </c>
      <c r="Z1" s="114"/>
      <c r="AA1" s="114"/>
      <c r="AB1" s="114"/>
      <c r="AC1" s="114"/>
      <c r="AD1" s="114"/>
      <c r="AE1" s="114"/>
      <c r="AF1" s="114"/>
      <c r="AG1" s="114"/>
      <c r="AH1" s="114"/>
      <c r="AI1" s="114"/>
      <c r="AJ1" s="114"/>
    </row>
    <row r="2" spans="1:37" x14ac:dyDescent="0.25">
      <c r="A2" s="1"/>
      <c r="B2" s="1"/>
      <c r="C2" s="114" t="s">
        <v>165</v>
      </c>
      <c r="D2" s="114"/>
      <c r="E2" s="114"/>
      <c r="F2" s="57">
        <v>2017</v>
      </c>
      <c r="G2" s="1">
        <v>2016</v>
      </c>
      <c r="H2" s="1">
        <v>2015</v>
      </c>
      <c r="I2" s="37">
        <v>2014</v>
      </c>
      <c r="J2" s="37">
        <v>2013</v>
      </c>
      <c r="K2" s="37">
        <v>2012</v>
      </c>
      <c r="L2" s="37">
        <v>2011</v>
      </c>
      <c r="M2" s="37">
        <v>2010</v>
      </c>
      <c r="N2" s="37">
        <v>2009</v>
      </c>
      <c r="O2" s="37">
        <v>2008</v>
      </c>
      <c r="P2" s="37">
        <v>2007</v>
      </c>
      <c r="Q2" s="37">
        <v>2006</v>
      </c>
      <c r="R2" s="58">
        <v>2005</v>
      </c>
      <c r="S2" s="1"/>
      <c r="T2" s="1">
        <f>F2</f>
        <v>2017</v>
      </c>
      <c r="U2" s="1">
        <f>G2</f>
        <v>2016</v>
      </c>
      <c r="V2" s="1">
        <f>H2</f>
        <v>2015</v>
      </c>
      <c r="W2" s="1"/>
      <c r="X2" s="1"/>
      <c r="Y2" s="1">
        <f t="shared" ref="Y2:AJ2" si="0">F2</f>
        <v>2017</v>
      </c>
      <c r="Z2" s="1">
        <f t="shared" si="0"/>
        <v>2016</v>
      </c>
      <c r="AA2" s="1">
        <f t="shared" si="0"/>
        <v>2015</v>
      </c>
      <c r="AB2" s="1">
        <f t="shared" si="0"/>
        <v>2014</v>
      </c>
      <c r="AC2" s="1">
        <f t="shared" si="0"/>
        <v>2013</v>
      </c>
      <c r="AD2" s="1">
        <f t="shared" si="0"/>
        <v>2012</v>
      </c>
      <c r="AE2" s="1">
        <f t="shared" si="0"/>
        <v>2011</v>
      </c>
      <c r="AF2" s="1">
        <f t="shared" si="0"/>
        <v>2010</v>
      </c>
      <c r="AG2" s="1">
        <f t="shared" si="0"/>
        <v>2009</v>
      </c>
      <c r="AH2" s="1">
        <f t="shared" si="0"/>
        <v>2008</v>
      </c>
      <c r="AI2" s="1">
        <f t="shared" si="0"/>
        <v>2007</v>
      </c>
      <c r="AJ2" s="1">
        <f t="shared" si="0"/>
        <v>2006</v>
      </c>
    </row>
    <row r="3" spans="1:37" x14ac:dyDescent="0.25">
      <c r="A3" s="1" t="s">
        <v>0</v>
      </c>
      <c r="B3" s="1" t="s">
        <v>1</v>
      </c>
      <c r="C3" s="1" t="s">
        <v>166</v>
      </c>
      <c r="D3" s="1" t="s">
        <v>167</v>
      </c>
      <c r="E3" s="1" t="s">
        <v>137</v>
      </c>
      <c r="F3" s="57" t="s">
        <v>168</v>
      </c>
      <c r="G3" s="1" t="s">
        <v>111</v>
      </c>
      <c r="H3" s="1" t="s">
        <v>112</v>
      </c>
      <c r="I3" s="37" t="s">
        <v>101</v>
      </c>
      <c r="J3" s="37" t="s">
        <v>102</v>
      </c>
      <c r="K3" s="37" t="s">
        <v>103</v>
      </c>
      <c r="L3" s="37" t="s">
        <v>104</v>
      </c>
      <c r="M3" s="37" t="s">
        <v>105</v>
      </c>
      <c r="N3" s="37" t="s">
        <v>106</v>
      </c>
      <c r="O3" s="37" t="s">
        <v>107</v>
      </c>
      <c r="P3" s="37" t="s">
        <v>108</v>
      </c>
      <c r="Q3" s="37" t="s">
        <v>109</v>
      </c>
      <c r="R3" s="58" t="s">
        <v>110</v>
      </c>
      <c r="S3" s="1" t="s">
        <v>120</v>
      </c>
      <c r="T3" s="1" t="s">
        <v>168</v>
      </c>
      <c r="U3" s="1" t="s">
        <v>111</v>
      </c>
      <c r="V3" s="1" t="s">
        <v>112</v>
      </c>
      <c r="W3" s="1" t="s">
        <v>158</v>
      </c>
      <c r="X3" s="1" t="s">
        <v>121</v>
      </c>
      <c r="Y3" s="37" t="s">
        <v>168</v>
      </c>
      <c r="Z3" s="1" t="s">
        <v>111</v>
      </c>
      <c r="AA3" s="1" t="s">
        <v>112</v>
      </c>
      <c r="AB3" s="1" t="s">
        <v>101</v>
      </c>
      <c r="AC3" s="1" t="s">
        <v>102</v>
      </c>
      <c r="AD3" s="1" t="s">
        <v>103</v>
      </c>
      <c r="AE3" s="1" t="s">
        <v>104</v>
      </c>
      <c r="AF3" s="1" t="s">
        <v>105</v>
      </c>
      <c r="AG3" s="1" t="s">
        <v>106</v>
      </c>
      <c r="AH3" s="1" t="s">
        <v>107</v>
      </c>
      <c r="AI3" s="1" t="s">
        <v>108</v>
      </c>
      <c r="AJ3" s="1" t="s">
        <v>109</v>
      </c>
      <c r="AK3" s="1" t="s">
        <v>123</v>
      </c>
    </row>
    <row r="4" spans="1:37" x14ac:dyDescent="0.25">
      <c r="A4" t="s">
        <v>80</v>
      </c>
      <c r="B4" t="s">
        <v>164</v>
      </c>
      <c r="C4" s="56">
        <v>31</v>
      </c>
      <c r="D4" s="56">
        <v>12</v>
      </c>
      <c r="E4" s="56">
        <v>2015</v>
      </c>
      <c r="F4" s="65">
        <v>21.8</v>
      </c>
      <c r="G4" s="77">
        <v>19.5</v>
      </c>
      <c r="H4" s="77">
        <v>16.8</v>
      </c>
      <c r="I4" s="59">
        <v>17.600000000000001</v>
      </c>
      <c r="J4" s="59">
        <v>17.78</v>
      </c>
      <c r="K4" s="59">
        <v>20.32</v>
      </c>
      <c r="L4" s="59">
        <v>17.309999999999999</v>
      </c>
      <c r="M4" s="59">
        <v>14.99</v>
      </c>
      <c r="N4" s="59">
        <v>14.62</v>
      </c>
      <c r="O4" s="59">
        <v>14.63</v>
      </c>
      <c r="P4" s="59">
        <v>11.42</v>
      </c>
      <c r="Q4" s="59">
        <v>6.35</v>
      </c>
      <c r="R4" s="60">
        <v>6.13</v>
      </c>
      <c r="S4" s="13">
        <f t="shared" ref="S4:S35" si="1">AVERAGE(F4:R4)</f>
        <v>15.326923076923075</v>
      </c>
      <c r="T4" s="4">
        <f t="shared" ref="T4:T35" ca="1" si="2">IF(DAYS360(TODAY(),DATE(E4+2,D4,C4))&gt;=720,0,360-U4)</f>
        <v>0</v>
      </c>
      <c r="U4" s="4">
        <f t="shared" ref="U4:U35" ca="1" si="3">IF(DAYS360(TODAY(),DATE(E4+1,D4,C4))&lt;=360,DAYS360(TODAY(),DATE(E4+1,D4,C4)),360-V4)</f>
        <v>122</v>
      </c>
      <c r="V4" s="4">
        <f t="shared" ref="V4:V35" ca="1" si="4">IF(DATE(E4,D4,C4)&lt;=TODAY(),0,DAYS360(TODAY(),DATE(E4,D4,C4)))</f>
        <v>238</v>
      </c>
      <c r="W4" s="13">
        <f t="shared" ref="W4:W35" ca="1" si="5">(F4/360*T4)+(G4/360*U4)+(H4/360*V4)</f>
        <v>17.715</v>
      </c>
      <c r="X4" s="5">
        <f t="shared" ref="X4:X35" ca="1" si="6">IF(W4&lt;0,IF(W4&lt;0,((W4/S4)-1)*-1,(W4/S4)-1),IF(S4&lt;0,ABS((W4/S4)-1),(W4/S4)-1))</f>
        <v>0.15580928481806788</v>
      </c>
      <c r="Y4" s="15">
        <f t="shared" ref="Y4:Y35" si="7">IF(F4&lt;&gt;"",IF(G4&lt;&gt;"",IF(F4&lt;0,IF(G4&lt;0,((F4/G4)-1)*-1,(F4/G4)-1),IF(G4&lt;0,ABS((F4/G4)-1),(F4/G4)-1))),99.99999)</f>
        <v>0.11794871794871797</v>
      </c>
      <c r="Z4" s="15">
        <f t="shared" ref="Z4:Z35" si="8">IF(H4&lt;&gt;"",IF(G4&lt;0,IF(H4&lt;0,((G4/H4)-1)*-1,(G4/H4)-1),IF(H4&lt;0,ABS((G4/H4)-1),(G4/H4)-1)),99.99999)</f>
        <v>0.16071428571428559</v>
      </c>
      <c r="AA4" s="15">
        <f t="shared" ref="AA4:AA35" si="9">IF(I4&lt;&gt;"",IF(H4&lt;0,IF(I4&lt;0,((H4/I4)-1)*-1,(H4/I4)-1),IF(I4&lt;0,ABS((H4/I4)-1),(H4/I4)-1)),99.99999)</f>
        <v>-4.5454545454545525E-2</v>
      </c>
      <c r="AB4" s="15">
        <f t="shared" ref="AB4:AB35" si="10">IF(J4&lt;&gt;"",IF(I4&lt;0,IF(J4&lt;0,((I4/J4)-1)*-1,(I4/J4)-1),IF(J4&lt;0,ABS((I4/J4)-1),(I4/J4)-1)),99.99999)</f>
        <v>-1.0123734533183382E-2</v>
      </c>
      <c r="AC4" s="15">
        <f t="shared" ref="AC4:AC35" si="11">IF(K4&lt;&gt;"",IF(J4&lt;0,IF(K4&lt;0,((J4/K4)-1)*-1,(J4/K4)-1),IF(K4&lt;0,ABS((J4/K4)-1),(J4/K4)-1)),99.99999)</f>
        <v>-0.125</v>
      </c>
      <c r="AD4" s="15">
        <f t="shared" ref="AD4:AD35" si="12">IF(L4&lt;&gt;"",IF(K4&lt;0,IF(L4&lt;0,((K4/L4)-1)*-1,(K4/L4)-1),IF(L4&lt;0,ABS((K4/L4)-1),(K4/L4)-1)),99.99999)</f>
        <v>0.17388792605430403</v>
      </c>
      <c r="AE4" s="15">
        <f t="shared" ref="AE4:AE35" si="13">IF(M4&lt;&gt;"",IF(L4&lt;0,IF(M4&lt;0,((L4/M4)-1)*-1,(L4/M4)-1),IF(M4&lt;0,ABS((L4/M4)-1),(L4/M4)-1)),99.99999)</f>
        <v>0.15476984656437609</v>
      </c>
      <c r="AF4" s="15">
        <f t="shared" ref="AF4:AF35" si="14">IF(N4&lt;&gt;"",IF(M4&lt;0,IF(N4&lt;0,((M4/N4)-1)*-1,(M4/N4)-1),IF(N4&lt;0,ABS((M4/N4)-1),(M4/N4)-1)),99.99999)</f>
        <v>2.5307797537619692E-2</v>
      </c>
      <c r="AG4" s="15">
        <f t="shared" ref="AG4:AG35" si="15">IF(O4&lt;&gt;"",IF(N4&lt;0,IF(O4&lt;0,((N4/O4)-1)*-1,(N4/O4)-1),IF(O4&lt;0,ABS((N4/O4)-1),(N4/O4)-1)),99.99999)</f>
        <v>-6.8352699931661931E-4</v>
      </c>
      <c r="AH4" s="15">
        <f t="shared" ref="AH4:AH35" si="16">IF(P4&lt;&gt;"",IF(O4&lt;0,IF(P4&lt;0,((O4/P4)-1)*-1,(O4/P4)-1),IF(P4&lt;0,ABS((O4/P4)-1),(O4/P4)-1)),99.99999)</f>
        <v>0.28108581436077062</v>
      </c>
      <c r="AI4" s="15">
        <f t="shared" ref="AI4:AI35" si="17">IF(Q4&lt;&gt;"",IF(P4&lt;0,IF(Q4&lt;0,((P4/Q4)-1)*-1,(P4/Q4)-1),IF(Q4&lt;0,ABS((P4/Q4)-1),(P4/Q4)-1)),99.99999)</f>
        <v>0.7984251968503937</v>
      </c>
      <c r="AJ4" s="15">
        <f t="shared" ref="AJ4:AJ35" si="18">IF(R4&lt;&gt;"",IF(Q4&lt;0,IF(R4&lt;0,((Q4/R4)-1)*-1,(Q4/R4)-1),IF(R4&lt;0,ABS((Q4/R4)-1),(Q4/R4)-1)),99.99999)</f>
        <v>3.5889070146818858E-2</v>
      </c>
      <c r="AK4" s="5">
        <f t="shared" ref="AK4:AK35" si="19">MIN(Y4:AJ4)</f>
        <v>-0.125</v>
      </c>
    </row>
    <row r="5" spans="1:37" x14ac:dyDescent="0.25">
      <c r="A5" t="s">
        <v>2</v>
      </c>
      <c r="B5" t="s">
        <v>3</v>
      </c>
      <c r="C5" s="56">
        <v>31</v>
      </c>
      <c r="D5" s="56">
        <v>12</v>
      </c>
      <c r="E5" s="56">
        <v>2015</v>
      </c>
      <c r="F5" s="65">
        <v>5.22</v>
      </c>
      <c r="G5" s="77">
        <v>4.5</v>
      </c>
      <c r="H5" s="77">
        <v>5.8</v>
      </c>
      <c r="I5" s="59">
        <v>4.3099999999999996</v>
      </c>
      <c r="J5" s="59">
        <v>3.7</v>
      </c>
      <c r="K5" s="59">
        <v>3.89</v>
      </c>
      <c r="L5" s="59">
        <v>3.78</v>
      </c>
      <c r="M5" s="59">
        <v>4.26</v>
      </c>
      <c r="N5" s="59">
        <v>3.69</v>
      </c>
      <c r="O5" s="59">
        <v>3.59</v>
      </c>
      <c r="P5" s="61">
        <v>2.81</v>
      </c>
      <c r="Q5" s="59">
        <v>3.04</v>
      </c>
      <c r="R5" s="60">
        <v>2.62</v>
      </c>
      <c r="S5" s="13">
        <f t="shared" si="1"/>
        <v>3.9392307692307686</v>
      </c>
      <c r="T5" s="4">
        <f t="shared" ca="1" si="2"/>
        <v>0</v>
      </c>
      <c r="U5" s="4">
        <f t="shared" ca="1" si="3"/>
        <v>122</v>
      </c>
      <c r="V5" s="4">
        <f t="shared" ca="1" si="4"/>
        <v>238</v>
      </c>
      <c r="W5" s="13">
        <f t="shared" ca="1" si="5"/>
        <v>5.3594444444444447</v>
      </c>
      <c r="X5" s="5">
        <f t="shared" ca="1" si="6"/>
        <v>0.36053071231747302</v>
      </c>
      <c r="Y5" s="15">
        <f t="shared" si="7"/>
        <v>0.15999999999999992</v>
      </c>
      <c r="Z5" s="15">
        <f t="shared" si="8"/>
        <v>-0.22413793103448276</v>
      </c>
      <c r="AA5" s="15">
        <f t="shared" si="9"/>
        <v>0.345707656612529</v>
      </c>
      <c r="AB5" s="15">
        <f t="shared" si="10"/>
        <v>0.16486486486486474</v>
      </c>
      <c r="AC5" s="15">
        <f t="shared" si="11"/>
        <v>-4.8843187660668419E-2</v>
      </c>
      <c r="AD5" s="15">
        <f t="shared" si="12"/>
        <v>2.9100529100529293E-2</v>
      </c>
      <c r="AE5" s="15">
        <f t="shared" si="13"/>
        <v>-0.11267605633802813</v>
      </c>
      <c r="AF5" s="15">
        <f t="shared" si="14"/>
        <v>0.15447154471544722</v>
      </c>
      <c r="AG5" s="15">
        <f t="shared" si="15"/>
        <v>2.7855153203342642E-2</v>
      </c>
      <c r="AH5" s="15">
        <f t="shared" si="16"/>
        <v>0.27758007117437722</v>
      </c>
      <c r="AI5" s="15">
        <f t="shared" si="17"/>
        <v>-7.5657894736842146E-2</v>
      </c>
      <c r="AJ5" s="15">
        <f t="shared" si="18"/>
        <v>0.16030534351145032</v>
      </c>
      <c r="AK5" s="5">
        <f t="shared" si="19"/>
        <v>-0.22413793103448276</v>
      </c>
    </row>
    <row r="6" spans="1:37" x14ac:dyDescent="0.25">
      <c r="A6" t="s">
        <v>4</v>
      </c>
      <c r="B6" t="s">
        <v>5</v>
      </c>
      <c r="C6" s="56">
        <v>31</v>
      </c>
      <c r="D6" s="56">
        <v>12</v>
      </c>
      <c r="E6" s="56">
        <v>2015</v>
      </c>
      <c r="F6" s="65">
        <v>15.5</v>
      </c>
      <c r="G6" s="77">
        <v>14.6</v>
      </c>
      <c r="H6" s="77">
        <v>13.4</v>
      </c>
      <c r="I6" s="59">
        <v>10.81</v>
      </c>
      <c r="J6" s="59">
        <v>12.93</v>
      </c>
      <c r="K6" s="59">
        <v>11.16</v>
      </c>
      <c r="L6" s="59">
        <v>10.98</v>
      </c>
      <c r="M6" s="59">
        <v>10.11</v>
      </c>
      <c r="N6" s="59">
        <v>9.02</v>
      </c>
      <c r="O6" s="59">
        <v>10.23</v>
      </c>
      <c r="P6" s="59">
        <v>11.16</v>
      </c>
      <c r="Q6" s="59">
        <v>9.0500000000000007</v>
      </c>
      <c r="R6" s="60">
        <v>6.71</v>
      </c>
      <c r="S6" s="13">
        <f t="shared" si="1"/>
        <v>11.204615384615387</v>
      </c>
      <c r="T6" s="4">
        <f t="shared" ca="1" si="2"/>
        <v>0</v>
      </c>
      <c r="U6" s="4">
        <f t="shared" ca="1" si="3"/>
        <v>122</v>
      </c>
      <c r="V6" s="4">
        <f t="shared" ca="1" si="4"/>
        <v>238</v>
      </c>
      <c r="W6" s="13">
        <f t="shared" ca="1" si="5"/>
        <v>13.806666666666668</v>
      </c>
      <c r="X6" s="5">
        <f t="shared" ca="1" si="6"/>
        <v>0.2322303080232504</v>
      </c>
      <c r="Y6" s="15">
        <f t="shared" si="7"/>
        <v>6.164383561643838E-2</v>
      </c>
      <c r="Z6" s="15">
        <f t="shared" si="8"/>
        <v>8.9552238805970186E-2</v>
      </c>
      <c r="AA6" s="15">
        <f t="shared" si="9"/>
        <v>0.23959296947271036</v>
      </c>
      <c r="AB6" s="15">
        <f t="shared" si="10"/>
        <v>-0.16395978344934259</v>
      </c>
      <c r="AC6" s="15">
        <f t="shared" si="11"/>
        <v>0.15860215053763427</v>
      </c>
      <c r="AD6" s="15">
        <f t="shared" si="12"/>
        <v>1.6393442622950838E-2</v>
      </c>
      <c r="AE6" s="15">
        <f t="shared" si="13"/>
        <v>8.6053412462908208E-2</v>
      </c>
      <c r="AF6" s="15">
        <f t="shared" si="14"/>
        <v>0.12084257206208426</v>
      </c>
      <c r="AG6" s="15">
        <f t="shared" si="15"/>
        <v>-0.11827956989247324</v>
      </c>
      <c r="AH6" s="15">
        <f t="shared" si="16"/>
        <v>-8.3333333333333259E-2</v>
      </c>
      <c r="AI6" s="15">
        <f t="shared" si="17"/>
        <v>0.2331491712707181</v>
      </c>
      <c r="AJ6" s="15">
        <f t="shared" si="18"/>
        <v>0.3487332339791358</v>
      </c>
      <c r="AK6" s="5">
        <f t="shared" si="19"/>
        <v>-0.16395978344934259</v>
      </c>
    </row>
    <row r="7" spans="1:37" x14ac:dyDescent="0.25">
      <c r="A7" t="s">
        <v>6</v>
      </c>
      <c r="B7" t="s">
        <v>7</v>
      </c>
      <c r="C7" s="56">
        <v>31</v>
      </c>
      <c r="D7" s="56">
        <v>12</v>
      </c>
      <c r="E7" s="56">
        <v>2015</v>
      </c>
      <c r="F7" s="65">
        <v>3.81</v>
      </c>
      <c r="G7" s="77">
        <v>3.55</v>
      </c>
      <c r="H7" s="77">
        <v>3.33</v>
      </c>
      <c r="I7" s="61">
        <v>1.704</v>
      </c>
      <c r="J7" s="61">
        <v>2.6419999999999999</v>
      </c>
      <c r="K7" s="59">
        <v>3.32</v>
      </c>
      <c r="L7" s="59">
        <v>2.96</v>
      </c>
      <c r="M7" s="61">
        <v>2.13</v>
      </c>
      <c r="N7" s="59">
        <v>2.91</v>
      </c>
      <c r="O7" s="61">
        <v>2.44</v>
      </c>
      <c r="P7" s="59">
        <v>2.76</v>
      </c>
      <c r="Q7" s="59">
        <v>2.36</v>
      </c>
      <c r="R7" s="60">
        <v>2.04</v>
      </c>
      <c r="S7" s="13">
        <f t="shared" si="1"/>
        <v>2.7658461538461534</v>
      </c>
      <c r="T7" s="4">
        <f t="shared" ca="1" si="2"/>
        <v>0</v>
      </c>
      <c r="U7" s="4">
        <f t="shared" ca="1" si="3"/>
        <v>122</v>
      </c>
      <c r="V7" s="4">
        <f t="shared" ca="1" si="4"/>
        <v>238</v>
      </c>
      <c r="W7" s="13">
        <f t="shared" ca="1" si="5"/>
        <v>3.4045555555555556</v>
      </c>
      <c r="X7" s="5">
        <f t="shared" ca="1" si="6"/>
        <v>0.23092730621376756</v>
      </c>
      <c r="Y7" s="15">
        <f t="shared" si="7"/>
        <v>7.3239436619718434E-2</v>
      </c>
      <c r="Z7" s="15">
        <f t="shared" si="8"/>
        <v>6.6066066066065909E-2</v>
      </c>
      <c r="AA7" s="15">
        <f t="shared" si="9"/>
        <v>0.95422535211267623</v>
      </c>
      <c r="AB7" s="15">
        <f t="shared" si="10"/>
        <v>-0.35503406510219526</v>
      </c>
      <c r="AC7" s="15">
        <f t="shared" si="11"/>
        <v>-0.20421686746987955</v>
      </c>
      <c r="AD7" s="15">
        <f t="shared" si="12"/>
        <v>0.12162162162162149</v>
      </c>
      <c r="AE7" s="15">
        <f t="shared" si="13"/>
        <v>0.38967136150234749</v>
      </c>
      <c r="AF7" s="15">
        <f t="shared" si="14"/>
        <v>-0.26804123711340211</v>
      </c>
      <c r="AG7" s="15">
        <f t="shared" si="15"/>
        <v>0.19262295081967218</v>
      </c>
      <c r="AH7" s="15">
        <f t="shared" si="16"/>
        <v>-0.11594202898550721</v>
      </c>
      <c r="AI7" s="15">
        <f t="shared" si="17"/>
        <v>0.16949152542372881</v>
      </c>
      <c r="AJ7" s="15">
        <f t="shared" si="18"/>
        <v>0.1568627450980391</v>
      </c>
      <c r="AK7" s="5">
        <f t="shared" si="19"/>
        <v>-0.35503406510219526</v>
      </c>
    </row>
    <row r="8" spans="1:37" x14ac:dyDescent="0.25">
      <c r="A8" t="s">
        <v>8</v>
      </c>
      <c r="B8" t="s">
        <v>9</v>
      </c>
      <c r="C8" s="56">
        <v>31</v>
      </c>
      <c r="D8" s="56">
        <v>12</v>
      </c>
      <c r="E8" s="56">
        <v>2015</v>
      </c>
      <c r="F8" s="65">
        <v>3.32</v>
      </c>
      <c r="G8" s="77">
        <v>3.02</v>
      </c>
      <c r="H8" s="77">
        <v>2.78</v>
      </c>
      <c r="I8" s="61">
        <v>2.31</v>
      </c>
      <c r="J8" s="61">
        <v>2.33</v>
      </c>
      <c r="K8" s="61">
        <v>2.08</v>
      </c>
      <c r="L8" s="61">
        <v>1.87</v>
      </c>
      <c r="M8" s="61">
        <v>1.84</v>
      </c>
      <c r="N8" s="59">
        <v>1.65</v>
      </c>
      <c r="O8" s="61">
        <v>2.19</v>
      </c>
      <c r="P8" s="61">
        <v>2.12</v>
      </c>
      <c r="Q8" s="61">
        <v>1.69</v>
      </c>
      <c r="R8" s="60">
        <v>1.45</v>
      </c>
      <c r="S8" s="13">
        <f t="shared" si="1"/>
        <v>2.203846153846154</v>
      </c>
      <c r="T8" s="4">
        <f t="shared" ca="1" si="2"/>
        <v>0</v>
      </c>
      <c r="U8" s="4">
        <f t="shared" ca="1" si="3"/>
        <v>122</v>
      </c>
      <c r="V8" s="4">
        <f t="shared" ca="1" si="4"/>
        <v>238</v>
      </c>
      <c r="W8" s="13">
        <f t="shared" ca="1" si="5"/>
        <v>2.8613333333333331</v>
      </c>
      <c r="X8" s="5">
        <f t="shared" ca="1" si="6"/>
        <v>0.29833624200116327</v>
      </c>
      <c r="Y8" s="15">
        <f t="shared" si="7"/>
        <v>9.9337748344370702E-2</v>
      </c>
      <c r="Z8" s="15">
        <f t="shared" si="8"/>
        <v>8.6330935251798691E-2</v>
      </c>
      <c r="AA8" s="15">
        <f t="shared" si="9"/>
        <v>0.20346320346320335</v>
      </c>
      <c r="AB8" s="15">
        <f t="shared" si="10"/>
        <v>-8.5836909871245259E-3</v>
      </c>
      <c r="AC8" s="15">
        <f t="shared" si="11"/>
        <v>0.12019230769230771</v>
      </c>
      <c r="AD8" s="15">
        <f t="shared" si="12"/>
        <v>0.11229946524064172</v>
      </c>
      <c r="AE8" s="15">
        <f t="shared" si="13"/>
        <v>1.6304347826086918E-2</v>
      </c>
      <c r="AF8" s="15">
        <f t="shared" si="14"/>
        <v>0.11515151515151523</v>
      </c>
      <c r="AG8" s="15">
        <f t="shared" si="15"/>
        <v>-0.24657534246575341</v>
      </c>
      <c r="AH8" s="15">
        <f t="shared" si="16"/>
        <v>3.3018867924528239E-2</v>
      </c>
      <c r="AI8" s="15">
        <f t="shared" si="17"/>
        <v>0.2544378698224854</v>
      </c>
      <c r="AJ8" s="15">
        <f t="shared" si="18"/>
        <v>0.16551724137931045</v>
      </c>
      <c r="AK8" s="5">
        <f t="shared" si="19"/>
        <v>-0.24657534246575341</v>
      </c>
    </row>
    <row r="9" spans="1:37" x14ac:dyDescent="0.25">
      <c r="A9" t="s">
        <v>10</v>
      </c>
      <c r="B9" t="s">
        <v>11</v>
      </c>
      <c r="C9" s="56">
        <v>31</v>
      </c>
      <c r="D9" s="56">
        <v>12</v>
      </c>
      <c r="E9" s="56">
        <v>2015</v>
      </c>
      <c r="F9" s="65">
        <v>2.17</v>
      </c>
      <c r="G9" s="77">
        <v>2.0099999999999998</v>
      </c>
      <c r="H9" s="77">
        <v>1.8</v>
      </c>
      <c r="I9" s="59">
        <v>1.64</v>
      </c>
      <c r="J9" s="59">
        <v>1.66</v>
      </c>
      <c r="K9" s="59">
        <v>1.32</v>
      </c>
      <c r="L9" s="59">
        <v>0.96</v>
      </c>
      <c r="M9" s="59">
        <v>2.1</v>
      </c>
      <c r="N9" s="59">
        <v>0.53</v>
      </c>
      <c r="O9" s="59">
        <v>-1.4</v>
      </c>
      <c r="P9" s="59">
        <v>1.1499999999999999</v>
      </c>
      <c r="Q9" s="59">
        <v>1.6</v>
      </c>
      <c r="R9" s="60">
        <v>1.99</v>
      </c>
      <c r="S9" s="13">
        <f t="shared" si="1"/>
        <v>1.3484615384615384</v>
      </c>
      <c r="T9" s="4">
        <f t="shared" ca="1" si="2"/>
        <v>0</v>
      </c>
      <c r="U9" s="4">
        <f t="shared" ca="1" si="3"/>
        <v>122</v>
      </c>
      <c r="V9" s="4">
        <f t="shared" ca="1" si="4"/>
        <v>238</v>
      </c>
      <c r="W9" s="13">
        <f t="shared" ca="1" si="5"/>
        <v>1.8711666666666664</v>
      </c>
      <c r="X9" s="5">
        <f t="shared" ca="1" si="6"/>
        <v>0.38763072827533751</v>
      </c>
      <c r="Y9" s="15">
        <f t="shared" si="7"/>
        <v>7.9601990049751326E-2</v>
      </c>
      <c r="Z9" s="15">
        <f t="shared" si="8"/>
        <v>0.11666666666666647</v>
      </c>
      <c r="AA9" s="15">
        <f t="shared" si="9"/>
        <v>9.7560975609756184E-2</v>
      </c>
      <c r="AB9" s="15">
        <f t="shared" si="10"/>
        <v>-1.2048192771084376E-2</v>
      </c>
      <c r="AC9" s="15">
        <f t="shared" si="11"/>
        <v>0.25757575757575735</v>
      </c>
      <c r="AD9" s="15">
        <f t="shared" si="12"/>
        <v>0.37500000000000022</v>
      </c>
      <c r="AE9" s="15">
        <f t="shared" si="13"/>
        <v>-0.54285714285714293</v>
      </c>
      <c r="AF9" s="15">
        <f t="shared" si="14"/>
        <v>2.9622641509433962</v>
      </c>
      <c r="AG9" s="15">
        <f t="shared" si="15"/>
        <v>1.3785714285714286</v>
      </c>
      <c r="AH9" s="15">
        <f t="shared" si="16"/>
        <v>-2.2173913043478262</v>
      </c>
      <c r="AI9" s="15">
        <f t="shared" si="17"/>
        <v>-0.28125000000000011</v>
      </c>
      <c r="AJ9" s="15">
        <f t="shared" si="18"/>
        <v>-0.1959798994974874</v>
      </c>
      <c r="AK9" s="5">
        <f t="shared" si="19"/>
        <v>-2.2173913043478262</v>
      </c>
    </row>
    <row r="10" spans="1:37" x14ac:dyDescent="0.25">
      <c r="A10" t="s">
        <v>12</v>
      </c>
      <c r="B10" t="s">
        <v>13</v>
      </c>
      <c r="C10" s="56">
        <v>31</v>
      </c>
      <c r="D10" s="56">
        <v>12</v>
      </c>
      <c r="E10" s="56">
        <v>2015</v>
      </c>
      <c r="F10" s="65">
        <v>0.92</v>
      </c>
      <c r="G10" s="77">
        <v>0.74</v>
      </c>
      <c r="H10" s="77">
        <v>0.62</v>
      </c>
      <c r="I10" s="61">
        <v>0.53</v>
      </c>
      <c r="J10" s="61">
        <v>0.63</v>
      </c>
      <c r="K10" s="61">
        <v>0.57999999999999996</v>
      </c>
      <c r="L10" s="61">
        <v>0.67</v>
      </c>
      <c r="M10" s="61">
        <v>0.79</v>
      </c>
      <c r="N10" s="61">
        <v>0.78</v>
      </c>
      <c r="O10" s="61">
        <v>0.78</v>
      </c>
      <c r="P10" s="61">
        <v>0.69</v>
      </c>
      <c r="Q10" s="61">
        <v>0.9</v>
      </c>
      <c r="R10" s="62">
        <v>1.08</v>
      </c>
      <c r="S10" s="13">
        <f t="shared" si="1"/>
        <v>0.74692307692307702</v>
      </c>
      <c r="T10" s="4">
        <f t="shared" ca="1" si="2"/>
        <v>0</v>
      </c>
      <c r="U10" s="4">
        <f t="shared" ca="1" si="3"/>
        <v>122</v>
      </c>
      <c r="V10" s="4">
        <f t="shared" ca="1" si="4"/>
        <v>238</v>
      </c>
      <c r="W10" s="13">
        <f t="shared" ca="1" si="5"/>
        <v>0.66066666666666674</v>
      </c>
      <c r="X10" s="5">
        <f t="shared" ca="1" si="6"/>
        <v>-0.1154823206316512</v>
      </c>
      <c r="Y10" s="15">
        <f t="shared" si="7"/>
        <v>0.2432432432432432</v>
      </c>
      <c r="Z10" s="15">
        <f t="shared" si="8"/>
        <v>0.19354838709677424</v>
      </c>
      <c r="AA10" s="15">
        <f t="shared" si="9"/>
        <v>0.16981132075471694</v>
      </c>
      <c r="AB10" s="15">
        <f t="shared" si="10"/>
        <v>-0.15873015873015872</v>
      </c>
      <c r="AC10" s="15">
        <f t="shared" si="11"/>
        <v>8.6206896551724199E-2</v>
      </c>
      <c r="AD10" s="15">
        <f t="shared" si="12"/>
        <v>-0.13432835820895539</v>
      </c>
      <c r="AE10" s="15">
        <f t="shared" si="13"/>
        <v>-0.15189873417721522</v>
      </c>
      <c r="AF10" s="15">
        <f t="shared" si="14"/>
        <v>1.2820512820512775E-2</v>
      </c>
      <c r="AG10" s="15">
        <f t="shared" si="15"/>
        <v>0</v>
      </c>
      <c r="AH10" s="15">
        <f t="shared" si="16"/>
        <v>0.13043478260869579</v>
      </c>
      <c r="AI10" s="15">
        <f t="shared" si="17"/>
        <v>-0.23333333333333339</v>
      </c>
      <c r="AJ10" s="15">
        <f t="shared" si="18"/>
        <v>-0.16666666666666674</v>
      </c>
      <c r="AK10" s="5">
        <f t="shared" si="19"/>
        <v>-0.23333333333333339</v>
      </c>
    </row>
    <row r="11" spans="1:37" x14ac:dyDescent="0.25">
      <c r="A11" t="s">
        <v>14</v>
      </c>
      <c r="B11" t="s">
        <v>15</v>
      </c>
      <c r="C11" s="56">
        <v>31</v>
      </c>
      <c r="D11" s="56">
        <v>12</v>
      </c>
      <c r="E11" s="56">
        <v>2015</v>
      </c>
      <c r="F11" s="65">
        <v>3.9</v>
      </c>
      <c r="G11" s="77">
        <v>3.6</v>
      </c>
      <c r="H11" s="77">
        <v>3.11</v>
      </c>
      <c r="I11" s="59">
        <v>2.74</v>
      </c>
      <c r="J11" s="59">
        <v>2.78</v>
      </c>
      <c r="K11" s="59">
        <v>2.37</v>
      </c>
      <c r="L11" s="61">
        <v>2.4700000000000002</v>
      </c>
      <c r="M11" s="61">
        <v>2.1</v>
      </c>
      <c r="N11" s="59">
        <v>1.47</v>
      </c>
      <c r="O11" s="59">
        <v>1.55</v>
      </c>
      <c r="P11" s="59">
        <v>1.59</v>
      </c>
      <c r="Q11" s="59">
        <v>1.52</v>
      </c>
      <c r="R11" s="60">
        <v>1.2</v>
      </c>
      <c r="S11" s="13">
        <f t="shared" si="1"/>
        <v>2.3384615384615381</v>
      </c>
      <c r="T11" s="4">
        <f t="shared" ca="1" si="2"/>
        <v>0</v>
      </c>
      <c r="U11" s="4">
        <f t="shared" ca="1" si="3"/>
        <v>122</v>
      </c>
      <c r="V11" s="4">
        <f t="shared" ca="1" si="4"/>
        <v>238</v>
      </c>
      <c r="W11" s="13">
        <f t="shared" ca="1" si="5"/>
        <v>3.2760555555555557</v>
      </c>
      <c r="X11" s="5">
        <f t="shared" ca="1" si="6"/>
        <v>0.40094480994152071</v>
      </c>
      <c r="Y11" s="15">
        <f t="shared" si="7"/>
        <v>8.3333333333333259E-2</v>
      </c>
      <c r="Z11" s="15">
        <f t="shared" si="8"/>
        <v>0.157556270096463</v>
      </c>
      <c r="AA11" s="15">
        <f t="shared" si="9"/>
        <v>0.13503649635036474</v>
      </c>
      <c r="AB11" s="15">
        <f t="shared" si="10"/>
        <v>-1.4388489208632893E-2</v>
      </c>
      <c r="AC11" s="15">
        <f t="shared" si="11"/>
        <v>0.17299578059071719</v>
      </c>
      <c r="AD11" s="15">
        <f t="shared" si="12"/>
        <v>-4.0485829959514219E-2</v>
      </c>
      <c r="AE11" s="15">
        <f t="shared" si="13"/>
        <v>0.17619047619047623</v>
      </c>
      <c r="AF11" s="15">
        <f t="shared" si="14"/>
        <v>0.4285714285714286</v>
      </c>
      <c r="AG11" s="15">
        <f t="shared" si="15"/>
        <v>-5.1612903225806472E-2</v>
      </c>
      <c r="AH11" s="15">
        <f t="shared" si="16"/>
        <v>-2.515723270440251E-2</v>
      </c>
      <c r="AI11" s="15">
        <f t="shared" si="17"/>
        <v>4.6052631578947345E-2</v>
      </c>
      <c r="AJ11" s="15">
        <f t="shared" si="18"/>
        <v>0.26666666666666683</v>
      </c>
      <c r="AK11" s="5">
        <f t="shared" si="19"/>
        <v>-5.1612903225806472E-2</v>
      </c>
    </row>
    <row r="12" spans="1:37" x14ac:dyDescent="0.25">
      <c r="A12" t="s">
        <v>16</v>
      </c>
      <c r="B12" t="s">
        <v>17</v>
      </c>
      <c r="C12" s="56">
        <v>30</v>
      </c>
      <c r="D12" s="56">
        <v>9</v>
      </c>
      <c r="E12" s="56">
        <v>2015</v>
      </c>
      <c r="F12" s="65">
        <v>7.56</v>
      </c>
      <c r="G12" s="77">
        <v>7.01</v>
      </c>
      <c r="H12" s="77">
        <v>7.69</v>
      </c>
      <c r="I12" s="59">
        <v>6.31</v>
      </c>
      <c r="J12" s="59">
        <v>5.03</v>
      </c>
      <c r="K12" s="59">
        <v>5.04</v>
      </c>
      <c r="L12" s="59">
        <v>6.96</v>
      </c>
      <c r="M12" s="59">
        <v>4.4400000000000004</v>
      </c>
      <c r="N12" s="59">
        <v>2.63</v>
      </c>
      <c r="O12" s="61">
        <v>2.02</v>
      </c>
      <c r="P12" s="61">
        <v>3.86</v>
      </c>
      <c r="Q12" s="59">
        <v>3.26</v>
      </c>
      <c r="R12" s="60">
        <v>2.42</v>
      </c>
      <c r="S12" s="13">
        <f t="shared" si="1"/>
        <v>4.9407692307692308</v>
      </c>
      <c r="T12" s="4">
        <f t="shared" ca="1" si="2"/>
        <v>0</v>
      </c>
      <c r="U12" s="4">
        <f t="shared" ca="1" si="3"/>
        <v>213</v>
      </c>
      <c r="V12" s="4">
        <f t="shared" ca="1" si="4"/>
        <v>147</v>
      </c>
      <c r="W12" s="13">
        <f t="shared" ca="1" si="5"/>
        <v>7.2876666666666665</v>
      </c>
      <c r="X12" s="5">
        <f t="shared" ca="1" si="6"/>
        <v>0.47500648710363791</v>
      </c>
      <c r="Y12" s="15">
        <f t="shared" si="7"/>
        <v>7.8459343794579084E-2</v>
      </c>
      <c r="Z12" s="15">
        <f t="shared" si="8"/>
        <v>-8.8426527958387569E-2</v>
      </c>
      <c r="AA12" s="15">
        <f t="shared" si="9"/>
        <v>0.21870047543581639</v>
      </c>
      <c r="AB12" s="15">
        <f t="shared" si="10"/>
        <v>0.25447316103379714</v>
      </c>
      <c r="AC12" s="15">
        <f t="shared" si="11"/>
        <v>-1.9841269841269771E-3</v>
      </c>
      <c r="AD12" s="15">
        <f t="shared" si="12"/>
        <v>-0.27586206896551724</v>
      </c>
      <c r="AE12" s="15">
        <f t="shared" si="13"/>
        <v>0.56756756756756732</v>
      </c>
      <c r="AF12" s="15">
        <f t="shared" si="14"/>
        <v>0.68821292775665421</v>
      </c>
      <c r="AG12" s="15">
        <f t="shared" si="15"/>
        <v>0.30198019801980203</v>
      </c>
      <c r="AH12" s="15">
        <f t="shared" si="16"/>
        <v>-0.47668393782383423</v>
      </c>
      <c r="AI12" s="15">
        <f t="shared" si="17"/>
        <v>0.18404907975460127</v>
      </c>
      <c r="AJ12" s="15">
        <f t="shared" si="18"/>
        <v>0.34710743801652888</v>
      </c>
      <c r="AK12" s="5">
        <f t="shared" si="19"/>
        <v>-0.47668393782383423</v>
      </c>
    </row>
    <row r="13" spans="1:37" x14ac:dyDescent="0.25">
      <c r="A13" t="s">
        <v>18</v>
      </c>
      <c r="B13" t="s">
        <v>19</v>
      </c>
      <c r="C13" s="56">
        <v>31</v>
      </c>
      <c r="D13" s="56">
        <v>12</v>
      </c>
      <c r="E13" s="56">
        <v>2015</v>
      </c>
      <c r="F13" s="65">
        <v>14.6</v>
      </c>
      <c r="G13" s="77">
        <v>14.7</v>
      </c>
      <c r="H13" s="77">
        <v>14.2</v>
      </c>
      <c r="I13" s="59">
        <v>13.64</v>
      </c>
      <c r="J13" s="59">
        <v>13.05</v>
      </c>
      <c r="K13" s="59">
        <v>11.34</v>
      </c>
      <c r="L13" s="59">
        <v>5.48</v>
      </c>
      <c r="M13" s="59">
        <v>11.12</v>
      </c>
      <c r="N13" s="59">
        <v>9.5</v>
      </c>
      <c r="O13" s="59">
        <v>-5.47</v>
      </c>
      <c r="P13" s="59">
        <v>17.71</v>
      </c>
      <c r="Q13" s="59">
        <v>16.78</v>
      </c>
      <c r="R13" s="60">
        <v>11.24</v>
      </c>
      <c r="S13" s="13">
        <f t="shared" si="1"/>
        <v>11.376153846153848</v>
      </c>
      <c r="T13" s="4">
        <f t="shared" ca="1" si="2"/>
        <v>0</v>
      </c>
      <c r="U13" s="4">
        <f t="shared" ca="1" si="3"/>
        <v>122</v>
      </c>
      <c r="V13" s="4">
        <f t="shared" ca="1" si="4"/>
        <v>238</v>
      </c>
      <c r="W13" s="13">
        <f t="shared" ca="1" si="5"/>
        <v>14.369444444444444</v>
      </c>
      <c r="X13" s="5">
        <f t="shared" ca="1" si="6"/>
        <v>0.26311973614022399</v>
      </c>
      <c r="Y13" s="15">
        <f t="shared" si="7"/>
        <v>-6.8027210884353817E-3</v>
      </c>
      <c r="Z13" s="15">
        <f t="shared" si="8"/>
        <v>3.5211267605633756E-2</v>
      </c>
      <c r="AA13" s="15">
        <f t="shared" si="9"/>
        <v>4.1055718475073277E-2</v>
      </c>
      <c r="AB13" s="15">
        <f t="shared" si="10"/>
        <v>4.5210727969348552E-2</v>
      </c>
      <c r="AC13" s="15">
        <f t="shared" si="11"/>
        <v>0.15079365079365092</v>
      </c>
      <c r="AD13" s="15">
        <f t="shared" si="12"/>
        <v>1.0693430656934306</v>
      </c>
      <c r="AE13" s="15">
        <f t="shared" si="13"/>
        <v>-0.5071942446043165</v>
      </c>
      <c r="AF13" s="15">
        <f t="shared" si="14"/>
        <v>0.17052631578947364</v>
      </c>
      <c r="AG13" s="15">
        <f t="shared" si="15"/>
        <v>2.7367458866544792</v>
      </c>
      <c r="AH13" s="15">
        <f t="shared" si="16"/>
        <v>-1.3088650479954826</v>
      </c>
      <c r="AI13" s="15">
        <f t="shared" si="17"/>
        <v>5.5423122765196675E-2</v>
      </c>
      <c r="AJ13" s="15">
        <f t="shared" si="18"/>
        <v>0.49288256227758009</v>
      </c>
      <c r="AK13" s="5">
        <f t="shared" si="19"/>
        <v>-1.3088650479954826</v>
      </c>
    </row>
    <row r="14" spans="1:37" x14ac:dyDescent="0.25">
      <c r="A14" t="s">
        <v>20</v>
      </c>
      <c r="B14" t="s">
        <v>21</v>
      </c>
      <c r="C14" s="56">
        <v>31</v>
      </c>
      <c r="D14" s="56">
        <v>12</v>
      </c>
      <c r="E14" s="56">
        <v>2015</v>
      </c>
      <c r="F14" s="65">
        <v>16.7</v>
      </c>
      <c r="G14" s="77">
        <v>16.8</v>
      </c>
      <c r="H14" s="77">
        <v>17</v>
      </c>
      <c r="I14" s="59">
        <v>18.309999999999999</v>
      </c>
      <c r="J14" s="59">
        <v>18.5</v>
      </c>
      <c r="K14" s="59">
        <v>17.98</v>
      </c>
      <c r="L14" s="59">
        <v>3.94</v>
      </c>
      <c r="M14" s="59">
        <v>13.06</v>
      </c>
      <c r="N14" s="59">
        <v>12.95</v>
      </c>
      <c r="O14" s="59">
        <v>7.48</v>
      </c>
      <c r="P14" s="59">
        <v>17.899999999999999</v>
      </c>
      <c r="Q14" s="59">
        <v>15.12</v>
      </c>
      <c r="R14" s="60">
        <v>11.7</v>
      </c>
      <c r="S14" s="13">
        <f t="shared" si="1"/>
        <v>14.418461538461539</v>
      </c>
      <c r="T14" s="4">
        <f t="shared" ca="1" si="2"/>
        <v>0</v>
      </c>
      <c r="U14" s="4">
        <f t="shared" ca="1" si="3"/>
        <v>122</v>
      </c>
      <c r="V14" s="4">
        <f t="shared" ca="1" si="4"/>
        <v>238</v>
      </c>
      <c r="W14" s="13">
        <f t="shared" ca="1" si="5"/>
        <v>16.932222222222222</v>
      </c>
      <c r="X14" s="5">
        <f t="shared" ca="1" si="6"/>
        <v>0.17434319723052116</v>
      </c>
      <c r="Y14" s="15">
        <f t="shared" si="7"/>
        <v>-5.9523809523810423E-3</v>
      </c>
      <c r="Z14" s="15">
        <f t="shared" si="8"/>
        <v>-1.1764705882352899E-2</v>
      </c>
      <c r="AA14" s="15">
        <f t="shared" si="9"/>
        <v>-7.1545603495357657E-2</v>
      </c>
      <c r="AB14" s="15">
        <f t="shared" si="10"/>
        <v>-1.0270270270270387E-2</v>
      </c>
      <c r="AC14" s="15">
        <f t="shared" si="11"/>
        <v>2.8921023359288034E-2</v>
      </c>
      <c r="AD14" s="15">
        <f t="shared" si="12"/>
        <v>3.563451776649746</v>
      </c>
      <c r="AE14" s="15">
        <f t="shared" si="13"/>
        <v>-0.69831546707503822</v>
      </c>
      <c r="AF14" s="15">
        <f t="shared" si="14"/>
        <v>8.4942084942085661E-3</v>
      </c>
      <c r="AG14" s="15">
        <f t="shared" si="15"/>
        <v>0.73128342245989275</v>
      </c>
      <c r="AH14" s="15">
        <f t="shared" si="16"/>
        <v>-0.58212290502793285</v>
      </c>
      <c r="AI14" s="15">
        <f t="shared" si="17"/>
        <v>0.18386243386243373</v>
      </c>
      <c r="AJ14" s="15">
        <f t="shared" si="18"/>
        <v>0.29230769230769238</v>
      </c>
      <c r="AK14" s="5">
        <f t="shared" si="19"/>
        <v>-0.69831546707503822</v>
      </c>
    </row>
    <row r="15" spans="1:37" x14ac:dyDescent="0.25">
      <c r="A15" t="s">
        <v>22</v>
      </c>
      <c r="B15" t="s">
        <v>23</v>
      </c>
      <c r="C15" s="56">
        <v>31</v>
      </c>
      <c r="D15" s="56">
        <v>12</v>
      </c>
      <c r="E15" s="56">
        <v>2015</v>
      </c>
      <c r="F15" s="65">
        <v>6.3</v>
      </c>
      <c r="G15" s="77">
        <v>5.7</v>
      </c>
      <c r="H15" s="77">
        <v>5.07</v>
      </c>
      <c r="I15" s="59">
        <v>5.6</v>
      </c>
      <c r="J15" s="59">
        <v>5.27</v>
      </c>
      <c r="K15" s="59">
        <v>5.31</v>
      </c>
      <c r="L15" s="59">
        <v>6.73</v>
      </c>
      <c r="M15" s="59">
        <v>4.96</v>
      </c>
      <c r="N15" s="59">
        <v>1.54</v>
      </c>
      <c r="O15" s="59">
        <v>3.13</v>
      </c>
      <c r="P15" s="59">
        <v>4.16</v>
      </c>
      <c r="Q15" s="59">
        <v>3.19</v>
      </c>
      <c r="R15" s="60">
        <v>2.87</v>
      </c>
      <c r="S15" s="13">
        <f t="shared" si="1"/>
        <v>4.6023076923076927</v>
      </c>
      <c r="T15" s="4">
        <f t="shared" ca="1" si="2"/>
        <v>0</v>
      </c>
      <c r="U15" s="4">
        <f t="shared" ca="1" si="3"/>
        <v>122</v>
      </c>
      <c r="V15" s="4">
        <f t="shared" ca="1" si="4"/>
        <v>238</v>
      </c>
      <c r="W15" s="13">
        <f t="shared" ca="1" si="5"/>
        <v>5.283500000000001</v>
      </c>
      <c r="X15" s="5">
        <f t="shared" ca="1" si="6"/>
        <v>0.14801103125522319</v>
      </c>
      <c r="Y15" s="15">
        <f t="shared" si="7"/>
        <v>0.10526315789473673</v>
      </c>
      <c r="Z15" s="15">
        <f t="shared" si="8"/>
        <v>0.12426035502958577</v>
      </c>
      <c r="AA15" s="15">
        <f t="shared" si="9"/>
        <v>-9.4642857142857029E-2</v>
      </c>
      <c r="AB15" s="15">
        <f t="shared" si="10"/>
        <v>6.2618595825427059E-2</v>
      </c>
      <c r="AC15" s="15">
        <f t="shared" si="11"/>
        <v>-7.532956685499026E-3</v>
      </c>
      <c r="AD15" s="15">
        <f t="shared" si="12"/>
        <v>-0.21099554234769702</v>
      </c>
      <c r="AE15" s="15">
        <f t="shared" si="13"/>
        <v>0.35685483870967749</v>
      </c>
      <c r="AF15" s="15">
        <f t="shared" si="14"/>
        <v>2.2207792207792205</v>
      </c>
      <c r="AG15" s="15">
        <f t="shared" si="15"/>
        <v>-0.50798722044728439</v>
      </c>
      <c r="AH15" s="15">
        <f t="shared" si="16"/>
        <v>-0.24759615384615385</v>
      </c>
      <c r="AI15" s="15">
        <f t="shared" si="17"/>
        <v>0.30407523510971801</v>
      </c>
      <c r="AJ15" s="15">
        <f t="shared" si="18"/>
        <v>0.11149825783972123</v>
      </c>
      <c r="AK15" s="5">
        <f t="shared" si="19"/>
        <v>-0.50798722044728439</v>
      </c>
    </row>
    <row r="16" spans="1:37" x14ac:dyDescent="0.25">
      <c r="A16" t="s">
        <v>24</v>
      </c>
      <c r="B16" t="s">
        <v>25</v>
      </c>
      <c r="C16" s="56">
        <v>31</v>
      </c>
      <c r="D16" s="56">
        <v>12</v>
      </c>
      <c r="E16" s="56">
        <v>2015</v>
      </c>
      <c r="F16" s="65">
        <v>7.16</v>
      </c>
      <c r="G16" s="77">
        <v>6.28</v>
      </c>
      <c r="H16" s="77">
        <v>5.0599999999999996</v>
      </c>
      <c r="I16" s="59">
        <v>4.1399999999999997</v>
      </c>
      <c r="J16" s="59">
        <v>3.86</v>
      </c>
      <c r="K16" s="59">
        <v>2.96</v>
      </c>
      <c r="L16" s="59">
        <v>2.99</v>
      </c>
      <c r="M16" s="59">
        <v>1.57</v>
      </c>
      <c r="N16" s="59">
        <v>1.7</v>
      </c>
      <c r="O16" s="59">
        <v>2.2200000000000002</v>
      </c>
      <c r="P16" s="61">
        <v>3.8</v>
      </c>
      <c r="Q16" s="59">
        <v>2.2200000000000002</v>
      </c>
      <c r="R16" s="60">
        <v>2.19</v>
      </c>
      <c r="S16" s="13">
        <f t="shared" si="1"/>
        <v>3.55</v>
      </c>
      <c r="T16" s="4">
        <f t="shared" ca="1" si="2"/>
        <v>0</v>
      </c>
      <c r="U16" s="4">
        <f t="shared" ca="1" si="3"/>
        <v>122</v>
      </c>
      <c r="V16" s="4">
        <f t="shared" ca="1" si="4"/>
        <v>238</v>
      </c>
      <c r="W16" s="13">
        <f t="shared" ca="1" si="5"/>
        <v>5.4734444444444446</v>
      </c>
      <c r="X16" s="5">
        <f t="shared" ca="1" si="6"/>
        <v>0.54181533646322388</v>
      </c>
      <c r="Y16" s="15">
        <f t="shared" si="7"/>
        <v>0.14012738853503182</v>
      </c>
      <c r="Z16" s="15">
        <f t="shared" si="8"/>
        <v>0.2411067193675891</v>
      </c>
      <c r="AA16" s="15">
        <f t="shared" si="9"/>
        <v>0.22222222222222232</v>
      </c>
      <c r="AB16" s="15">
        <f t="shared" si="10"/>
        <v>7.2538860103626979E-2</v>
      </c>
      <c r="AC16" s="15">
        <f t="shared" si="11"/>
        <v>0.30405405405405395</v>
      </c>
      <c r="AD16" s="15">
        <f t="shared" si="12"/>
        <v>-1.0033444816053616E-2</v>
      </c>
      <c r="AE16" s="15">
        <f t="shared" si="13"/>
        <v>0.90445859872611467</v>
      </c>
      <c r="AF16" s="15">
        <f t="shared" si="14"/>
        <v>-7.6470588235294068E-2</v>
      </c>
      <c r="AG16" s="15">
        <f t="shared" si="15"/>
        <v>-0.23423423423423428</v>
      </c>
      <c r="AH16" s="15">
        <f t="shared" si="16"/>
        <v>-0.41578947368421049</v>
      </c>
      <c r="AI16" s="15">
        <f t="shared" si="17"/>
        <v>0.71171171171171155</v>
      </c>
      <c r="AJ16" s="15">
        <f t="shared" si="18"/>
        <v>1.3698630136986356E-2</v>
      </c>
      <c r="AK16" s="5">
        <f t="shared" si="19"/>
        <v>-0.41578947368421049</v>
      </c>
    </row>
    <row r="17" spans="1:37" x14ac:dyDescent="0.25">
      <c r="A17" t="s">
        <v>26</v>
      </c>
      <c r="B17" t="s">
        <v>27</v>
      </c>
      <c r="C17" s="56">
        <v>31</v>
      </c>
      <c r="D17" s="56">
        <v>12</v>
      </c>
      <c r="E17" s="56">
        <v>2015</v>
      </c>
      <c r="F17" s="65">
        <v>1.04</v>
      </c>
      <c r="G17" s="77">
        <v>0.9</v>
      </c>
      <c r="H17" s="77">
        <v>0.8</v>
      </c>
      <c r="I17" s="59">
        <v>0.61</v>
      </c>
      <c r="J17" s="59">
        <v>1.01</v>
      </c>
      <c r="K17" s="59">
        <v>0.87</v>
      </c>
      <c r="L17" s="59">
        <v>1.2</v>
      </c>
      <c r="M17" s="59">
        <v>2.25</v>
      </c>
      <c r="N17" s="59">
        <v>1.71</v>
      </c>
      <c r="O17" s="59">
        <v>1.63</v>
      </c>
      <c r="P17" s="59">
        <v>1.87</v>
      </c>
      <c r="Q17" s="59">
        <v>1.3</v>
      </c>
      <c r="R17" s="60">
        <v>0.91</v>
      </c>
      <c r="S17" s="13">
        <f t="shared" si="1"/>
        <v>1.2384615384615385</v>
      </c>
      <c r="T17" s="4">
        <f t="shared" ca="1" si="2"/>
        <v>0</v>
      </c>
      <c r="U17" s="4">
        <f t="shared" ca="1" si="3"/>
        <v>122</v>
      </c>
      <c r="V17" s="4">
        <f t="shared" ca="1" si="4"/>
        <v>238</v>
      </c>
      <c r="W17" s="13">
        <f t="shared" ca="1" si="5"/>
        <v>0.8338888888888889</v>
      </c>
      <c r="X17" s="5">
        <f t="shared" ca="1" si="6"/>
        <v>-0.3266735679779158</v>
      </c>
      <c r="Y17" s="15">
        <f t="shared" si="7"/>
        <v>0.15555555555555567</v>
      </c>
      <c r="Z17" s="15">
        <f t="shared" si="8"/>
        <v>0.125</v>
      </c>
      <c r="AA17" s="15">
        <f t="shared" si="9"/>
        <v>0.3114754098360657</v>
      </c>
      <c r="AB17" s="15">
        <f t="shared" si="10"/>
        <v>-0.39603960396039606</v>
      </c>
      <c r="AC17" s="15">
        <f t="shared" si="11"/>
        <v>0.16091954022988508</v>
      </c>
      <c r="AD17" s="15">
        <f t="shared" si="12"/>
        <v>-0.27500000000000002</v>
      </c>
      <c r="AE17" s="15">
        <f t="shared" si="13"/>
        <v>-0.46666666666666667</v>
      </c>
      <c r="AF17" s="15">
        <f t="shared" si="14"/>
        <v>0.31578947368421062</v>
      </c>
      <c r="AG17" s="15">
        <f t="shared" si="15"/>
        <v>4.9079754601226933E-2</v>
      </c>
      <c r="AH17" s="15">
        <f t="shared" si="16"/>
        <v>-0.12834224598930488</v>
      </c>
      <c r="AI17" s="15">
        <f t="shared" si="17"/>
        <v>0.43846153846153846</v>
      </c>
      <c r="AJ17" s="15">
        <f t="shared" si="18"/>
        <v>0.4285714285714286</v>
      </c>
      <c r="AK17" s="5">
        <f t="shared" si="19"/>
        <v>-0.46666666666666667</v>
      </c>
    </row>
    <row r="18" spans="1:37" x14ac:dyDescent="0.25">
      <c r="A18" t="s">
        <v>28</v>
      </c>
      <c r="B18" t="s">
        <v>29</v>
      </c>
      <c r="C18" s="56">
        <v>31</v>
      </c>
      <c r="D18" s="56">
        <v>12</v>
      </c>
      <c r="E18" s="56">
        <v>2015</v>
      </c>
      <c r="F18" s="65">
        <v>3.41</v>
      </c>
      <c r="G18" s="77">
        <v>3.17</v>
      </c>
      <c r="H18" s="77">
        <v>2.87</v>
      </c>
      <c r="I18" s="59">
        <v>1.88</v>
      </c>
      <c r="J18" s="59">
        <v>2.42</v>
      </c>
      <c r="K18" s="59">
        <v>2.77</v>
      </c>
      <c r="L18" s="59">
        <v>2.77</v>
      </c>
      <c r="M18" s="59">
        <v>3.04</v>
      </c>
      <c r="N18" s="59">
        <v>2.57</v>
      </c>
      <c r="O18" s="59">
        <v>2.74</v>
      </c>
      <c r="P18" s="61">
        <v>1.83</v>
      </c>
      <c r="Q18" s="59">
        <v>2.77</v>
      </c>
      <c r="R18" s="60">
        <v>2.94</v>
      </c>
      <c r="S18" s="13">
        <f t="shared" si="1"/>
        <v>2.7061538461538461</v>
      </c>
      <c r="T18" s="4">
        <f t="shared" ca="1" si="2"/>
        <v>0</v>
      </c>
      <c r="U18" s="4">
        <f t="shared" ca="1" si="3"/>
        <v>122</v>
      </c>
      <c r="V18" s="4">
        <f t="shared" ca="1" si="4"/>
        <v>238</v>
      </c>
      <c r="W18" s="13">
        <f t="shared" ca="1" si="5"/>
        <v>2.9716666666666667</v>
      </c>
      <c r="X18" s="5">
        <f t="shared" ca="1" si="6"/>
        <v>9.8114458972901275E-2</v>
      </c>
      <c r="Y18" s="15">
        <f t="shared" si="7"/>
        <v>7.5709779179810699E-2</v>
      </c>
      <c r="Z18" s="15">
        <f t="shared" si="8"/>
        <v>0.10452961672473871</v>
      </c>
      <c r="AA18" s="15">
        <f t="shared" si="9"/>
        <v>0.52659574468085113</v>
      </c>
      <c r="AB18" s="15">
        <f t="shared" si="10"/>
        <v>-0.22314049586776863</v>
      </c>
      <c r="AC18" s="15">
        <f t="shared" si="11"/>
        <v>-0.12635379061371843</v>
      </c>
      <c r="AD18" s="15">
        <f t="shared" si="12"/>
        <v>0</v>
      </c>
      <c r="AE18" s="15">
        <f t="shared" si="13"/>
        <v>-8.8815789473684181E-2</v>
      </c>
      <c r="AF18" s="15">
        <f t="shared" si="14"/>
        <v>0.18287937743190663</v>
      </c>
      <c r="AG18" s="15">
        <f t="shared" si="15"/>
        <v>-6.2043795620438047E-2</v>
      </c>
      <c r="AH18" s="15">
        <f t="shared" si="16"/>
        <v>0.49726775956284164</v>
      </c>
      <c r="AI18" s="15">
        <f t="shared" si="17"/>
        <v>-0.3393501805054151</v>
      </c>
      <c r="AJ18" s="15">
        <f t="shared" si="18"/>
        <v>-5.7823129251700633E-2</v>
      </c>
      <c r="AK18" s="5">
        <f t="shared" si="19"/>
        <v>-0.3393501805054151</v>
      </c>
    </row>
    <row r="19" spans="1:37" x14ac:dyDescent="0.25">
      <c r="A19" t="s">
        <v>30</v>
      </c>
      <c r="B19" t="s">
        <v>31</v>
      </c>
      <c r="C19" s="56">
        <v>31</v>
      </c>
      <c r="D19" s="56">
        <v>12</v>
      </c>
      <c r="E19" s="56">
        <v>2015</v>
      </c>
      <c r="F19" s="65">
        <v>2.38</v>
      </c>
      <c r="G19" s="77">
        <v>2.2000000000000002</v>
      </c>
      <c r="H19" s="77">
        <v>2.0100000000000002</v>
      </c>
      <c r="I19" s="59">
        <v>1.67</v>
      </c>
      <c r="J19" s="59">
        <v>2.0499999999999998</v>
      </c>
      <c r="K19" s="59">
        <v>1.97</v>
      </c>
      <c r="L19" s="59">
        <v>1.56</v>
      </c>
      <c r="M19" s="59">
        <v>1.44</v>
      </c>
      <c r="N19" s="59">
        <v>1.36</v>
      </c>
      <c r="O19" s="59">
        <v>1.23</v>
      </c>
      <c r="P19" s="59">
        <v>1.04</v>
      </c>
      <c r="Q19" s="59"/>
      <c r="R19" s="60"/>
      <c r="S19" s="13">
        <f t="shared" si="1"/>
        <v>1.719090909090909</v>
      </c>
      <c r="T19" s="4">
        <f t="shared" ca="1" si="2"/>
        <v>0</v>
      </c>
      <c r="U19" s="4">
        <f t="shared" ca="1" si="3"/>
        <v>122</v>
      </c>
      <c r="V19" s="4">
        <f t="shared" ca="1" si="4"/>
        <v>238</v>
      </c>
      <c r="W19" s="13">
        <f t="shared" ca="1" si="5"/>
        <v>2.0743888888888891</v>
      </c>
      <c r="X19" s="5">
        <f t="shared" ca="1" si="6"/>
        <v>0.2066778306598509</v>
      </c>
      <c r="Y19" s="15">
        <f t="shared" si="7"/>
        <v>8.181818181818179E-2</v>
      </c>
      <c r="Z19" s="15">
        <f t="shared" si="8"/>
        <v>9.4527363184079505E-2</v>
      </c>
      <c r="AA19" s="15">
        <f t="shared" si="9"/>
        <v>0.20359281437125776</v>
      </c>
      <c r="AB19" s="15">
        <f t="shared" si="10"/>
        <v>-0.18536585365853653</v>
      </c>
      <c r="AC19" s="15">
        <f t="shared" si="11"/>
        <v>4.0609137055837463E-2</v>
      </c>
      <c r="AD19" s="15">
        <f t="shared" si="12"/>
        <v>0.26282051282051277</v>
      </c>
      <c r="AE19" s="15">
        <f t="shared" si="13"/>
        <v>8.3333333333333481E-2</v>
      </c>
      <c r="AF19" s="15">
        <f t="shared" si="14"/>
        <v>5.8823529411764497E-2</v>
      </c>
      <c r="AG19" s="15">
        <f t="shared" si="15"/>
        <v>0.10569105691056913</v>
      </c>
      <c r="AH19" s="15">
        <f t="shared" si="16"/>
        <v>0.18269230769230771</v>
      </c>
      <c r="AI19" s="15">
        <f t="shared" si="17"/>
        <v>99.999989999999997</v>
      </c>
      <c r="AJ19" s="15">
        <f t="shared" si="18"/>
        <v>99.999989999999997</v>
      </c>
      <c r="AK19" s="5">
        <f t="shared" si="19"/>
        <v>-0.18536585365853653</v>
      </c>
    </row>
    <row r="20" spans="1:37" x14ac:dyDescent="0.25">
      <c r="A20" t="s">
        <v>32</v>
      </c>
      <c r="B20" t="s">
        <v>33</v>
      </c>
      <c r="C20" s="56">
        <v>30</v>
      </c>
      <c r="D20" s="56">
        <v>9</v>
      </c>
      <c r="E20" s="56">
        <v>2015</v>
      </c>
      <c r="F20" s="65">
        <v>1.95</v>
      </c>
      <c r="G20" s="77">
        <v>1.81</v>
      </c>
      <c r="H20" s="77">
        <v>1.71</v>
      </c>
      <c r="I20" s="59">
        <v>1.48</v>
      </c>
      <c r="J20" s="59">
        <v>0.96</v>
      </c>
      <c r="K20" s="59">
        <v>0.68</v>
      </c>
      <c r="L20" s="59">
        <v>1.77</v>
      </c>
      <c r="M20" s="59">
        <v>1.48</v>
      </c>
      <c r="N20" s="59">
        <v>0.65</v>
      </c>
      <c r="O20" s="59">
        <v>0.5</v>
      </c>
      <c r="P20" s="59">
        <v>1.1599999999999999</v>
      </c>
      <c r="Q20" s="59"/>
      <c r="R20" s="60"/>
      <c r="S20" s="13">
        <f t="shared" si="1"/>
        <v>1.2863636363636364</v>
      </c>
      <c r="T20" s="4">
        <f t="shared" ca="1" si="2"/>
        <v>0</v>
      </c>
      <c r="U20" s="4">
        <f t="shared" ca="1" si="3"/>
        <v>213</v>
      </c>
      <c r="V20" s="4">
        <f t="shared" ca="1" si="4"/>
        <v>147</v>
      </c>
      <c r="W20" s="13">
        <f t="shared" ca="1" si="5"/>
        <v>1.7691666666666668</v>
      </c>
      <c r="X20" s="5">
        <f t="shared" ca="1" si="6"/>
        <v>0.37532391048292113</v>
      </c>
      <c r="Y20" s="15">
        <f t="shared" si="7"/>
        <v>7.7348066298342566E-2</v>
      </c>
      <c r="Z20" s="15">
        <f t="shared" si="8"/>
        <v>5.8479532163742798E-2</v>
      </c>
      <c r="AA20" s="15">
        <f t="shared" si="9"/>
        <v>0.15540540540540548</v>
      </c>
      <c r="AB20" s="15">
        <f t="shared" si="10"/>
        <v>0.54166666666666674</v>
      </c>
      <c r="AC20" s="15">
        <f t="shared" si="11"/>
        <v>0.41176470588235281</v>
      </c>
      <c r="AD20" s="15">
        <f t="shared" si="12"/>
        <v>-0.61581920903954801</v>
      </c>
      <c r="AE20" s="15">
        <f t="shared" si="13"/>
        <v>0.19594594594594605</v>
      </c>
      <c r="AF20" s="15">
        <f t="shared" si="14"/>
        <v>1.2769230769230768</v>
      </c>
      <c r="AG20" s="15">
        <f t="shared" si="15"/>
        <v>0.30000000000000004</v>
      </c>
      <c r="AH20" s="15">
        <f t="shared" si="16"/>
        <v>-0.56896551724137923</v>
      </c>
      <c r="AI20" s="15">
        <f t="shared" si="17"/>
        <v>99.999989999999997</v>
      </c>
      <c r="AJ20" s="15">
        <f t="shared" si="18"/>
        <v>99.999989999999997</v>
      </c>
      <c r="AK20" s="5">
        <f t="shared" si="19"/>
        <v>-0.61581920903954801</v>
      </c>
    </row>
    <row r="21" spans="1:37" x14ac:dyDescent="0.25">
      <c r="A21" t="s">
        <v>34</v>
      </c>
      <c r="B21" t="s">
        <v>35</v>
      </c>
      <c r="C21" s="56">
        <v>31</v>
      </c>
      <c r="D21" s="56">
        <v>3</v>
      </c>
      <c r="E21" s="56">
        <v>2015</v>
      </c>
      <c r="F21" s="65">
        <v>5.91E-2</v>
      </c>
      <c r="G21" s="77">
        <v>3.1899999999999998E-2</v>
      </c>
      <c r="H21" s="77">
        <v>0.158</v>
      </c>
      <c r="I21" s="61">
        <v>0.41699999999999998</v>
      </c>
      <c r="J21" s="59">
        <v>8.6999999999999994E-3</v>
      </c>
      <c r="K21" s="59">
        <v>0.14000000000000001</v>
      </c>
      <c r="L21" s="59">
        <v>0.15</v>
      </c>
      <c r="M21" s="59">
        <v>0.16</v>
      </c>
      <c r="N21" s="59">
        <v>0.06</v>
      </c>
      <c r="O21" s="59">
        <v>0.13</v>
      </c>
      <c r="P21" s="59">
        <v>-0.1</v>
      </c>
      <c r="Q21" s="59">
        <v>-0.28000000000000003</v>
      </c>
      <c r="R21" s="60">
        <v>-0.11</v>
      </c>
      <c r="S21" s="13">
        <f t="shared" si="1"/>
        <v>6.3438461538461541E-2</v>
      </c>
      <c r="T21" s="4">
        <f t="shared" ca="1" si="2"/>
        <v>32</v>
      </c>
      <c r="U21" s="4">
        <f t="shared" ca="1" si="3"/>
        <v>328</v>
      </c>
      <c r="V21" s="4">
        <f t="shared" ca="1" si="4"/>
        <v>0</v>
      </c>
      <c r="W21" s="13">
        <f t="shared" ca="1" si="5"/>
        <v>3.431777777777778E-2</v>
      </c>
      <c r="X21" s="5">
        <f t="shared" ca="1" si="6"/>
        <v>-0.45903830349083163</v>
      </c>
      <c r="Y21" s="15">
        <f t="shared" si="7"/>
        <v>0.85266457680250807</v>
      </c>
      <c r="Z21" s="15">
        <f t="shared" si="8"/>
        <v>-0.79810126582278484</v>
      </c>
      <c r="AA21" s="15">
        <f t="shared" si="9"/>
        <v>-0.62110311750599512</v>
      </c>
      <c r="AB21" s="15">
        <f t="shared" si="10"/>
        <v>46.931034482758619</v>
      </c>
      <c r="AC21" s="15">
        <f t="shared" si="11"/>
        <v>-0.93785714285714283</v>
      </c>
      <c r="AD21" s="15">
        <f t="shared" si="12"/>
        <v>-6.6666666666666541E-2</v>
      </c>
      <c r="AE21" s="15">
        <f t="shared" si="13"/>
        <v>-6.25E-2</v>
      </c>
      <c r="AF21" s="15">
        <f t="shared" si="14"/>
        <v>1.666666666666667</v>
      </c>
      <c r="AG21" s="15">
        <f t="shared" si="15"/>
        <v>-0.53846153846153855</v>
      </c>
      <c r="AH21" s="15">
        <f t="shared" si="16"/>
        <v>2.2999999999999998</v>
      </c>
      <c r="AI21" s="15">
        <f t="shared" si="17"/>
        <v>0.64285714285714279</v>
      </c>
      <c r="AJ21" s="15">
        <f t="shared" si="18"/>
        <v>-1.5454545454545459</v>
      </c>
      <c r="AK21" s="5">
        <f t="shared" si="19"/>
        <v>-1.5454545454545459</v>
      </c>
    </row>
    <row r="22" spans="1:37" x14ac:dyDescent="0.25">
      <c r="A22" t="s">
        <v>36</v>
      </c>
      <c r="B22" t="s">
        <v>37</v>
      </c>
      <c r="C22" s="56">
        <v>31</v>
      </c>
      <c r="D22" s="56">
        <v>12</v>
      </c>
      <c r="E22" s="56">
        <v>2015</v>
      </c>
      <c r="F22" s="65">
        <v>2.12</v>
      </c>
      <c r="G22" s="77">
        <v>1.96</v>
      </c>
      <c r="H22" s="77">
        <v>1.82</v>
      </c>
      <c r="I22" s="59">
        <v>1.79</v>
      </c>
      <c r="J22" s="59">
        <v>1.66</v>
      </c>
      <c r="K22" s="59">
        <v>1.54</v>
      </c>
      <c r="L22" s="59">
        <v>1.46</v>
      </c>
      <c r="M22" s="59">
        <v>1.46</v>
      </c>
      <c r="N22" s="59">
        <v>1.17</v>
      </c>
      <c r="O22" s="61">
        <v>1.21</v>
      </c>
      <c r="P22" s="59">
        <v>1.31</v>
      </c>
      <c r="Q22" s="61">
        <v>1.119</v>
      </c>
      <c r="R22" s="62">
        <v>1.129</v>
      </c>
      <c r="S22" s="13">
        <f t="shared" si="1"/>
        <v>1.5190769230769232</v>
      </c>
      <c r="T22" s="4">
        <f t="shared" ca="1" si="2"/>
        <v>0</v>
      </c>
      <c r="U22" s="4">
        <f t="shared" ca="1" si="3"/>
        <v>122</v>
      </c>
      <c r="V22" s="4">
        <f t="shared" ca="1" si="4"/>
        <v>238</v>
      </c>
      <c r="W22" s="13">
        <f t="shared" ca="1" si="5"/>
        <v>1.8674444444444445</v>
      </c>
      <c r="X22" s="5">
        <f t="shared" ca="1" si="6"/>
        <v>0.22932842706997048</v>
      </c>
      <c r="Y22" s="15">
        <f t="shared" si="7"/>
        <v>8.163265306122458E-2</v>
      </c>
      <c r="Z22" s="15">
        <f t="shared" si="8"/>
        <v>7.6923076923076872E-2</v>
      </c>
      <c r="AA22" s="15">
        <f t="shared" si="9"/>
        <v>1.6759776536312776E-2</v>
      </c>
      <c r="AB22" s="15">
        <f t="shared" si="10"/>
        <v>7.8313253012048278E-2</v>
      </c>
      <c r="AC22" s="15">
        <f t="shared" si="11"/>
        <v>7.7922077922077948E-2</v>
      </c>
      <c r="AD22" s="15">
        <f t="shared" si="12"/>
        <v>5.4794520547945202E-2</v>
      </c>
      <c r="AE22" s="15">
        <f t="shared" si="13"/>
        <v>0</v>
      </c>
      <c r="AF22" s="15">
        <f t="shared" si="14"/>
        <v>0.24786324786324787</v>
      </c>
      <c r="AG22" s="15">
        <f t="shared" si="15"/>
        <v>-3.3057851239669422E-2</v>
      </c>
      <c r="AH22" s="15">
        <f t="shared" si="16"/>
        <v>-7.6335877862595436E-2</v>
      </c>
      <c r="AI22" s="15">
        <f t="shared" si="17"/>
        <v>0.17068811438784626</v>
      </c>
      <c r="AJ22" s="15">
        <f t="shared" si="18"/>
        <v>-8.8573959255978663E-3</v>
      </c>
      <c r="AK22" s="5">
        <f t="shared" si="19"/>
        <v>-7.6335877862595436E-2</v>
      </c>
    </row>
    <row r="23" spans="1:37" x14ac:dyDescent="0.25">
      <c r="A23" t="s">
        <v>38</v>
      </c>
      <c r="B23" t="s">
        <v>39</v>
      </c>
      <c r="C23" s="56">
        <v>31</v>
      </c>
      <c r="D23" s="56">
        <v>12</v>
      </c>
      <c r="E23" s="56">
        <v>2015</v>
      </c>
      <c r="F23" s="65">
        <v>2.65</v>
      </c>
      <c r="G23" s="77">
        <v>2.6</v>
      </c>
      <c r="H23" s="77">
        <v>2.52</v>
      </c>
      <c r="I23" s="61">
        <v>2.5099999999999998</v>
      </c>
      <c r="J23" s="61">
        <v>2.5</v>
      </c>
      <c r="K23" s="61">
        <v>2.31</v>
      </c>
      <c r="L23" s="61">
        <v>2.16</v>
      </c>
      <c r="M23" s="61">
        <v>2.35</v>
      </c>
      <c r="N23" s="59">
        <v>2.12</v>
      </c>
      <c r="O23" s="59">
        <v>2.16</v>
      </c>
      <c r="P23" s="59">
        <v>1.94</v>
      </c>
      <c r="Q23" s="59">
        <v>1.89</v>
      </c>
      <c r="R23" s="60">
        <v>1.42</v>
      </c>
      <c r="S23" s="13">
        <f t="shared" si="1"/>
        <v>2.2407692307692311</v>
      </c>
      <c r="T23" s="4">
        <f t="shared" ca="1" si="2"/>
        <v>0</v>
      </c>
      <c r="U23" s="4">
        <f t="shared" ca="1" si="3"/>
        <v>122</v>
      </c>
      <c r="V23" s="4">
        <f t="shared" ca="1" si="4"/>
        <v>238</v>
      </c>
      <c r="W23" s="13">
        <f t="shared" ca="1" si="5"/>
        <v>2.5471111111111111</v>
      </c>
      <c r="X23" s="5">
        <f t="shared" ca="1" si="6"/>
        <v>0.13671281992600215</v>
      </c>
      <c r="Y23" s="15">
        <f t="shared" si="7"/>
        <v>1.9230769230769162E-2</v>
      </c>
      <c r="Z23" s="15">
        <f t="shared" si="8"/>
        <v>3.1746031746031855E-2</v>
      </c>
      <c r="AA23" s="15">
        <f t="shared" si="9"/>
        <v>3.9840637450199168E-3</v>
      </c>
      <c r="AB23" s="15">
        <f t="shared" si="10"/>
        <v>4.0000000000000036E-3</v>
      </c>
      <c r="AC23" s="15">
        <f t="shared" si="11"/>
        <v>8.2251082251082241E-2</v>
      </c>
      <c r="AD23" s="15">
        <f t="shared" si="12"/>
        <v>6.944444444444442E-2</v>
      </c>
      <c r="AE23" s="15">
        <f t="shared" si="13"/>
        <v>-8.085106382978724E-2</v>
      </c>
      <c r="AF23" s="15">
        <f t="shared" si="14"/>
        <v>0.10849056603773577</v>
      </c>
      <c r="AG23" s="15">
        <f t="shared" si="15"/>
        <v>-1.851851851851849E-2</v>
      </c>
      <c r="AH23" s="15">
        <f t="shared" si="16"/>
        <v>0.11340206185567014</v>
      </c>
      <c r="AI23" s="15">
        <f t="shared" si="17"/>
        <v>2.6455026455026509E-2</v>
      </c>
      <c r="AJ23" s="15">
        <f t="shared" si="18"/>
        <v>0.33098591549295775</v>
      </c>
      <c r="AK23" s="5">
        <f t="shared" si="19"/>
        <v>-8.085106382978724E-2</v>
      </c>
    </row>
    <row r="24" spans="1:37" x14ac:dyDescent="0.25">
      <c r="A24" t="s">
        <v>95</v>
      </c>
      <c r="B24" t="s">
        <v>199</v>
      </c>
      <c r="C24" s="56">
        <v>31</v>
      </c>
      <c r="D24" s="56">
        <v>12</v>
      </c>
      <c r="E24" s="56">
        <v>2015</v>
      </c>
      <c r="F24" s="65">
        <v>26</v>
      </c>
      <c r="G24" s="77">
        <v>23</v>
      </c>
      <c r="H24" s="77">
        <v>20.100000000000001</v>
      </c>
      <c r="I24" s="59">
        <v>19.25</v>
      </c>
      <c r="J24" s="59">
        <v>16.87</v>
      </c>
      <c r="K24" s="59">
        <v>13.79</v>
      </c>
      <c r="L24" s="59">
        <v>12.37</v>
      </c>
      <c r="M24" s="59">
        <v>10.55</v>
      </c>
      <c r="N24" s="59">
        <v>6.11</v>
      </c>
      <c r="O24" s="59">
        <v>5.78</v>
      </c>
      <c r="P24" s="59">
        <v>6.22</v>
      </c>
      <c r="Q24" s="59">
        <v>5.29</v>
      </c>
      <c r="R24" s="60">
        <v>4</v>
      </c>
      <c r="S24" s="13">
        <f t="shared" si="1"/>
        <v>13.025384615384617</v>
      </c>
      <c r="T24" s="4">
        <f t="shared" ca="1" si="2"/>
        <v>0</v>
      </c>
      <c r="U24" s="4">
        <f t="shared" ca="1" si="3"/>
        <v>122</v>
      </c>
      <c r="V24" s="4">
        <f t="shared" ca="1" si="4"/>
        <v>238</v>
      </c>
      <c r="W24" s="13">
        <f t="shared" ca="1" si="5"/>
        <v>21.082777777777778</v>
      </c>
      <c r="X24" s="5">
        <f t="shared" ca="1" si="6"/>
        <v>0.61859157332493409</v>
      </c>
      <c r="Y24" s="15">
        <f t="shared" si="7"/>
        <v>0.13043478260869557</v>
      </c>
      <c r="Z24" s="15">
        <f t="shared" si="8"/>
        <v>0.14427860696517403</v>
      </c>
      <c r="AA24" s="15">
        <f t="shared" si="9"/>
        <v>4.4155844155844282E-2</v>
      </c>
      <c r="AB24" s="15">
        <f t="shared" si="10"/>
        <v>0.1410788381742738</v>
      </c>
      <c r="AC24" s="15">
        <f t="shared" si="11"/>
        <v>0.22335025380710682</v>
      </c>
      <c r="AD24" s="15">
        <f t="shared" si="12"/>
        <v>0.11479385610347626</v>
      </c>
      <c r="AE24" s="15">
        <f t="shared" si="13"/>
        <v>0.17251184834123201</v>
      </c>
      <c r="AF24" s="15">
        <f t="shared" si="14"/>
        <v>0.72667757774140762</v>
      </c>
      <c r="AG24" s="15">
        <f t="shared" si="15"/>
        <v>5.709342560553643E-2</v>
      </c>
      <c r="AH24" s="15">
        <f t="shared" si="16"/>
        <v>-7.0739549839228255E-2</v>
      </c>
      <c r="AI24" s="15">
        <f t="shared" si="17"/>
        <v>0.17580340264650274</v>
      </c>
      <c r="AJ24" s="15">
        <f t="shared" si="18"/>
        <v>0.32250000000000001</v>
      </c>
      <c r="AK24" s="5">
        <f t="shared" si="19"/>
        <v>-7.0739549839228255E-2</v>
      </c>
    </row>
    <row r="25" spans="1:37" x14ac:dyDescent="0.25">
      <c r="A25" t="s">
        <v>40</v>
      </c>
      <c r="B25" t="s">
        <v>41</v>
      </c>
      <c r="C25" s="56">
        <v>31</v>
      </c>
      <c r="D25" s="56">
        <v>12</v>
      </c>
      <c r="E25" s="56">
        <v>2015</v>
      </c>
      <c r="F25" s="65">
        <v>2.25</v>
      </c>
      <c r="G25" s="77">
        <v>2.1</v>
      </c>
      <c r="H25" s="77">
        <v>1.95</v>
      </c>
      <c r="I25" s="59">
        <v>1.6</v>
      </c>
      <c r="J25" s="59">
        <v>1.9</v>
      </c>
      <c r="K25" s="59">
        <v>1.97</v>
      </c>
      <c r="L25" s="59">
        <v>1.85</v>
      </c>
      <c r="M25" s="61">
        <v>1.61</v>
      </c>
      <c r="N25" s="59">
        <v>1.47</v>
      </c>
      <c r="O25" s="61">
        <v>1.51</v>
      </c>
      <c r="P25" s="59">
        <v>1.29</v>
      </c>
      <c r="Q25" s="59">
        <v>1.08</v>
      </c>
      <c r="R25" s="60">
        <v>1.02</v>
      </c>
      <c r="S25" s="13">
        <f t="shared" si="1"/>
        <v>1.6615384615384614</v>
      </c>
      <c r="T25" s="4">
        <f t="shared" ca="1" si="2"/>
        <v>0</v>
      </c>
      <c r="U25" s="4">
        <f t="shared" ca="1" si="3"/>
        <v>122</v>
      </c>
      <c r="V25" s="4">
        <f t="shared" ca="1" si="4"/>
        <v>238</v>
      </c>
      <c r="W25" s="13">
        <f t="shared" ca="1" si="5"/>
        <v>2.0008333333333335</v>
      </c>
      <c r="X25" s="5">
        <f t="shared" ca="1" si="6"/>
        <v>0.20420524691358044</v>
      </c>
      <c r="Y25" s="15">
        <f t="shared" si="7"/>
        <v>7.1428571428571397E-2</v>
      </c>
      <c r="Z25" s="15">
        <f t="shared" si="8"/>
        <v>7.6923076923077094E-2</v>
      </c>
      <c r="AA25" s="15">
        <f t="shared" si="9"/>
        <v>0.21875</v>
      </c>
      <c r="AB25" s="15">
        <f t="shared" si="10"/>
        <v>-0.1578947368421052</v>
      </c>
      <c r="AC25" s="15">
        <f t="shared" si="11"/>
        <v>-3.5532994923857864E-2</v>
      </c>
      <c r="AD25" s="15">
        <f t="shared" si="12"/>
        <v>6.4864864864864868E-2</v>
      </c>
      <c r="AE25" s="15">
        <f t="shared" si="13"/>
        <v>0.14906832298136652</v>
      </c>
      <c r="AF25" s="15">
        <f t="shared" si="14"/>
        <v>9.5238095238095344E-2</v>
      </c>
      <c r="AG25" s="15">
        <f t="shared" si="15"/>
        <v>-2.6490066225165587E-2</v>
      </c>
      <c r="AH25" s="15">
        <f t="shared" si="16"/>
        <v>0.17054263565891481</v>
      </c>
      <c r="AI25" s="15">
        <f t="shared" si="17"/>
        <v>0.19444444444444442</v>
      </c>
      <c r="AJ25" s="15">
        <f t="shared" si="18"/>
        <v>5.8823529411764719E-2</v>
      </c>
      <c r="AK25" s="5">
        <f t="shared" si="19"/>
        <v>-0.1578947368421052</v>
      </c>
    </row>
    <row r="26" spans="1:37" x14ac:dyDescent="0.25">
      <c r="A26" t="s">
        <v>42</v>
      </c>
      <c r="B26" t="s">
        <v>43</v>
      </c>
      <c r="C26" s="56">
        <v>31</v>
      </c>
      <c r="D26" s="56">
        <v>12</v>
      </c>
      <c r="E26" s="56">
        <v>2015</v>
      </c>
      <c r="F26" s="65">
        <v>3.51</v>
      </c>
      <c r="G26" s="77">
        <v>3.18</v>
      </c>
      <c r="H26" s="77">
        <v>2.87</v>
      </c>
      <c r="I26" s="59">
        <v>2.36</v>
      </c>
      <c r="J26" s="59">
        <v>2.38</v>
      </c>
      <c r="K26" s="59">
        <v>2.58</v>
      </c>
      <c r="L26" s="59">
        <v>2.4700000000000002</v>
      </c>
      <c r="M26" s="59">
        <v>2.15</v>
      </c>
      <c r="N26" s="59">
        <v>2.19</v>
      </c>
      <c r="O26" s="59">
        <v>1.83</v>
      </c>
      <c r="P26" s="59">
        <v>1.6</v>
      </c>
      <c r="Q26" s="59">
        <v>1.23</v>
      </c>
      <c r="R26" s="60">
        <v>1.22</v>
      </c>
      <c r="S26" s="13">
        <f t="shared" si="1"/>
        <v>2.2746153846153843</v>
      </c>
      <c r="T26" s="4">
        <f t="shared" ca="1" si="2"/>
        <v>0</v>
      </c>
      <c r="U26" s="4">
        <f t="shared" ca="1" si="3"/>
        <v>122</v>
      </c>
      <c r="V26" s="4">
        <f t="shared" ca="1" si="4"/>
        <v>238</v>
      </c>
      <c r="W26" s="13">
        <f t="shared" ca="1" si="5"/>
        <v>2.9750555555555556</v>
      </c>
      <c r="X26" s="5">
        <f t="shared" ca="1" si="6"/>
        <v>0.30793784992297013</v>
      </c>
      <c r="Y26" s="15">
        <f t="shared" si="7"/>
        <v>0.10377358490566024</v>
      </c>
      <c r="Z26" s="15">
        <f t="shared" si="8"/>
        <v>0.10801393728222997</v>
      </c>
      <c r="AA26" s="15">
        <f t="shared" si="9"/>
        <v>0.21610169491525433</v>
      </c>
      <c r="AB26" s="15">
        <f t="shared" si="10"/>
        <v>-8.4033613445377853E-3</v>
      </c>
      <c r="AC26" s="15">
        <f t="shared" si="11"/>
        <v>-7.7519379844961267E-2</v>
      </c>
      <c r="AD26" s="15">
        <f t="shared" si="12"/>
        <v>4.4534412955465452E-2</v>
      </c>
      <c r="AE26" s="15">
        <f t="shared" si="13"/>
        <v>0.1488372093023258</v>
      </c>
      <c r="AF26" s="15">
        <f t="shared" si="14"/>
        <v>-1.8264840182648401E-2</v>
      </c>
      <c r="AG26" s="15">
        <f t="shared" si="15"/>
        <v>0.19672131147540983</v>
      </c>
      <c r="AH26" s="15">
        <f t="shared" si="16"/>
        <v>0.14375000000000004</v>
      </c>
      <c r="AI26" s="15">
        <f t="shared" si="17"/>
        <v>0.30081300813008149</v>
      </c>
      <c r="AJ26" s="15">
        <f t="shared" si="18"/>
        <v>8.1967213114753079E-3</v>
      </c>
      <c r="AK26" s="5">
        <f t="shared" si="19"/>
        <v>-7.7519379844961267E-2</v>
      </c>
    </row>
    <row r="27" spans="1:37" x14ac:dyDescent="0.25">
      <c r="A27" t="s">
        <v>44</v>
      </c>
      <c r="B27" t="s">
        <v>45</v>
      </c>
      <c r="C27" s="56">
        <v>31</v>
      </c>
      <c r="D27" s="56">
        <v>12</v>
      </c>
      <c r="E27" s="56">
        <v>2015</v>
      </c>
      <c r="F27" s="65">
        <v>1.7</v>
      </c>
      <c r="G27" s="77">
        <v>1.47</v>
      </c>
      <c r="H27" s="77">
        <v>0.66</v>
      </c>
      <c r="I27" s="59">
        <v>1.5</v>
      </c>
      <c r="J27" s="59">
        <v>1.27</v>
      </c>
      <c r="K27" s="59">
        <v>1.29</v>
      </c>
      <c r="L27" s="59">
        <v>1.23</v>
      </c>
      <c r="M27" s="59">
        <v>1.06</v>
      </c>
      <c r="N27" s="59">
        <v>1.01</v>
      </c>
      <c r="O27" s="59">
        <v>1.72</v>
      </c>
      <c r="P27" s="59">
        <v>2.17</v>
      </c>
      <c r="Q27" s="59">
        <v>2</v>
      </c>
      <c r="R27" s="60">
        <v>1.54</v>
      </c>
      <c r="S27" s="13">
        <f t="shared" si="1"/>
        <v>1.4323076923076921</v>
      </c>
      <c r="T27" s="4">
        <f t="shared" ca="1" si="2"/>
        <v>0</v>
      </c>
      <c r="U27" s="4">
        <f t="shared" ca="1" si="3"/>
        <v>122</v>
      </c>
      <c r="V27" s="4">
        <f t="shared" ca="1" si="4"/>
        <v>238</v>
      </c>
      <c r="W27" s="13">
        <f t="shared" ca="1" si="5"/>
        <v>0.93449999999999989</v>
      </c>
      <c r="X27" s="5">
        <f t="shared" ca="1" si="6"/>
        <v>-0.34755639097744362</v>
      </c>
      <c r="Y27" s="15">
        <f t="shared" si="7"/>
        <v>0.15646258503401356</v>
      </c>
      <c r="Z27" s="15">
        <f t="shared" si="8"/>
        <v>1.2272727272727271</v>
      </c>
      <c r="AA27" s="15">
        <f t="shared" si="9"/>
        <v>-0.56000000000000005</v>
      </c>
      <c r="AB27" s="15">
        <f t="shared" si="10"/>
        <v>0.18110236220472431</v>
      </c>
      <c r="AC27" s="15">
        <f t="shared" si="11"/>
        <v>-1.5503875968992276E-2</v>
      </c>
      <c r="AD27" s="15">
        <f t="shared" si="12"/>
        <v>4.8780487804878092E-2</v>
      </c>
      <c r="AE27" s="15">
        <f t="shared" si="13"/>
        <v>0.16037735849056589</v>
      </c>
      <c r="AF27" s="15">
        <f t="shared" si="14"/>
        <v>4.9504950495049549E-2</v>
      </c>
      <c r="AG27" s="15">
        <f t="shared" si="15"/>
        <v>-0.41279069767441856</v>
      </c>
      <c r="AH27" s="15">
        <f t="shared" si="16"/>
        <v>-0.20737327188940091</v>
      </c>
      <c r="AI27" s="15">
        <f t="shared" si="17"/>
        <v>8.4999999999999964E-2</v>
      </c>
      <c r="AJ27" s="15">
        <f t="shared" si="18"/>
        <v>0.29870129870129869</v>
      </c>
      <c r="AK27" s="5">
        <f t="shared" si="19"/>
        <v>-0.56000000000000005</v>
      </c>
    </row>
    <row r="28" spans="1:37" x14ac:dyDescent="0.25">
      <c r="A28" t="s">
        <v>46</v>
      </c>
      <c r="B28" t="s">
        <v>47</v>
      </c>
      <c r="C28" s="56">
        <v>31</v>
      </c>
      <c r="D28" s="56">
        <v>12</v>
      </c>
      <c r="E28" s="56">
        <v>2015</v>
      </c>
      <c r="F28" s="65">
        <v>16.8</v>
      </c>
      <c r="G28" s="77">
        <v>15.3</v>
      </c>
      <c r="H28" s="77">
        <v>14.5</v>
      </c>
      <c r="I28" s="61">
        <v>15.59</v>
      </c>
      <c r="J28" s="59">
        <v>14.94</v>
      </c>
      <c r="K28" s="59">
        <v>14.37</v>
      </c>
      <c r="L28" s="59">
        <v>13.06</v>
      </c>
      <c r="M28" s="59">
        <v>11.52</v>
      </c>
      <c r="N28" s="59">
        <v>10.01</v>
      </c>
      <c r="O28" s="59">
        <v>8.93</v>
      </c>
      <c r="P28" s="59">
        <v>7.18</v>
      </c>
      <c r="Q28" s="59">
        <v>6.11</v>
      </c>
      <c r="R28" s="60">
        <v>4.88</v>
      </c>
      <c r="S28" s="13">
        <f t="shared" si="1"/>
        <v>11.783846153846156</v>
      </c>
      <c r="T28" s="4">
        <f t="shared" ca="1" si="2"/>
        <v>0</v>
      </c>
      <c r="U28" s="4">
        <f t="shared" ca="1" si="3"/>
        <v>122</v>
      </c>
      <c r="V28" s="4">
        <f t="shared" ca="1" si="4"/>
        <v>238</v>
      </c>
      <c r="W28" s="13">
        <f t="shared" ca="1" si="5"/>
        <v>14.771111111111113</v>
      </c>
      <c r="X28" s="5">
        <f t="shared" ca="1" si="6"/>
        <v>0.25350508808959082</v>
      </c>
      <c r="Y28" s="15">
        <f t="shared" si="7"/>
        <v>9.8039215686274606E-2</v>
      </c>
      <c r="Z28" s="15">
        <f t="shared" si="8"/>
        <v>5.5172413793103559E-2</v>
      </c>
      <c r="AA28" s="15">
        <f t="shared" si="9"/>
        <v>-6.9916613213598433E-2</v>
      </c>
      <c r="AB28" s="15">
        <f t="shared" si="10"/>
        <v>4.3507362784471315E-2</v>
      </c>
      <c r="AC28" s="15">
        <f t="shared" si="11"/>
        <v>3.9665970772442716E-2</v>
      </c>
      <c r="AD28" s="15">
        <f t="shared" si="12"/>
        <v>0.10030627871362929</v>
      </c>
      <c r="AE28" s="15">
        <f t="shared" si="13"/>
        <v>0.13368055555555558</v>
      </c>
      <c r="AF28" s="15">
        <f t="shared" si="14"/>
        <v>0.15084915084915074</v>
      </c>
      <c r="AG28" s="15">
        <f t="shared" si="15"/>
        <v>0.12094064949608074</v>
      </c>
      <c r="AH28" s="15">
        <f t="shared" si="16"/>
        <v>0.24373259052924801</v>
      </c>
      <c r="AI28" s="15">
        <f t="shared" si="17"/>
        <v>0.17512274959083451</v>
      </c>
      <c r="AJ28" s="15">
        <f t="shared" si="18"/>
        <v>0.25204918032786905</v>
      </c>
      <c r="AK28" s="5">
        <f t="shared" si="19"/>
        <v>-6.9916613213598433E-2</v>
      </c>
    </row>
    <row r="29" spans="1:37" x14ac:dyDescent="0.25">
      <c r="A29" t="s">
        <v>48</v>
      </c>
      <c r="B29" t="s">
        <v>49</v>
      </c>
      <c r="C29" s="56">
        <v>31</v>
      </c>
      <c r="D29" s="56">
        <v>12</v>
      </c>
      <c r="E29" s="56">
        <v>2015</v>
      </c>
      <c r="F29" s="65">
        <v>6.5</v>
      </c>
      <c r="G29" s="77">
        <v>6.05</v>
      </c>
      <c r="H29" s="77">
        <v>5.88</v>
      </c>
      <c r="I29" s="59">
        <v>5.7</v>
      </c>
      <c r="J29" s="61">
        <v>5.68</v>
      </c>
      <c r="K29" s="61">
        <v>4.4400000000000004</v>
      </c>
      <c r="L29" s="61">
        <v>4.46</v>
      </c>
      <c r="M29" s="59">
        <v>4.78</v>
      </c>
      <c r="N29" s="59">
        <v>4.4000000000000004</v>
      </c>
      <c r="O29" s="59">
        <v>4.57</v>
      </c>
      <c r="P29" s="59">
        <v>3.63</v>
      </c>
      <c r="Q29" s="59">
        <v>3.73</v>
      </c>
      <c r="R29" s="60">
        <v>3.46</v>
      </c>
      <c r="S29" s="13">
        <f t="shared" si="1"/>
        <v>4.867692307692308</v>
      </c>
      <c r="T29" s="4">
        <f t="shared" ca="1" si="2"/>
        <v>0</v>
      </c>
      <c r="U29" s="4">
        <f t="shared" ca="1" si="3"/>
        <v>122</v>
      </c>
      <c r="V29" s="4">
        <f t="shared" ca="1" si="4"/>
        <v>238</v>
      </c>
      <c r="W29" s="13">
        <f t="shared" ca="1" si="5"/>
        <v>5.9376111111111101</v>
      </c>
      <c r="X29" s="5">
        <f t="shared" ca="1" si="6"/>
        <v>0.21980000702345803</v>
      </c>
      <c r="Y29" s="15">
        <f t="shared" si="7"/>
        <v>7.4380165289256173E-2</v>
      </c>
      <c r="Z29" s="15">
        <f t="shared" si="8"/>
        <v>2.8911564625850428E-2</v>
      </c>
      <c r="AA29" s="15">
        <f t="shared" si="9"/>
        <v>3.1578947368420929E-2</v>
      </c>
      <c r="AB29" s="15">
        <f t="shared" si="10"/>
        <v>3.5211267605634866E-3</v>
      </c>
      <c r="AC29" s="15">
        <f t="shared" si="11"/>
        <v>0.27927927927927909</v>
      </c>
      <c r="AD29" s="15">
        <f t="shared" si="12"/>
        <v>-4.4843049327353279E-3</v>
      </c>
      <c r="AE29" s="15">
        <f t="shared" si="13"/>
        <v>-6.6945606694560733E-2</v>
      </c>
      <c r="AF29" s="15">
        <f t="shared" si="14"/>
        <v>8.636363636363642E-2</v>
      </c>
      <c r="AG29" s="15">
        <f t="shared" si="15"/>
        <v>-3.7199124726477018E-2</v>
      </c>
      <c r="AH29" s="15">
        <f t="shared" si="16"/>
        <v>0.25895316804407731</v>
      </c>
      <c r="AI29" s="15">
        <f t="shared" si="17"/>
        <v>-2.6809651474530849E-2</v>
      </c>
      <c r="AJ29" s="15">
        <f t="shared" si="18"/>
        <v>7.8034682080924789E-2</v>
      </c>
      <c r="AK29" s="5">
        <f t="shared" si="19"/>
        <v>-6.6945606694560733E-2</v>
      </c>
    </row>
    <row r="30" spans="1:37" x14ac:dyDescent="0.25">
      <c r="A30" t="s">
        <v>50</v>
      </c>
      <c r="B30" t="s">
        <v>51</v>
      </c>
      <c r="C30" s="56">
        <v>31</v>
      </c>
      <c r="D30" s="56">
        <v>12</v>
      </c>
      <c r="E30" s="56">
        <v>2015</v>
      </c>
      <c r="F30" s="65">
        <v>3.68</v>
      </c>
      <c r="G30" s="77">
        <v>3.44</v>
      </c>
      <c r="H30" s="77">
        <v>3.23</v>
      </c>
      <c r="I30" s="61">
        <v>3.4</v>
      </c>
      <c r="J30" s="61">
        <v>2.79</v>
      </c>
      <c r="K30" s="59">
        <v>2.75</v>
      </c>
      <c r="L30" s="59">
        <v>3</v>
      </c>
      <c r="M30" s="61">
        <v>3.2</v>
      </c>
      <c r="N30" s="61">
        <v>3.21</v>
      </c>
      <c r="O30" s="61">
        <v>2.38</v>
      </c>
      <c r="P30" s="59"/>
      <c r="Q30" s="59"/>
      <c r="R30" s="60"/>
      <c r="S30" s="13">
        <f t="shared" si="1"/>
        <v>3.1079999999999997</v>
      </c>
      <c r="T30" s="4">
        <f t="shared" ca="1" si="2"/>
        <v>0</v>
      </c>
      <c r="U30" s="4">
        <f t="shared" ca="1" si="3"/>
        <v>122</v>
      </c>
      <c r="V30" s="4">
        <f t="shared" ca="1" si="4"/>
        <v>238</v>
      </c>
      <c r="W30" s="13">
        <f t="shared" ca="1" si="5"/>
        <v>3.3011666666666661</v>
      </c>
      <c r="X30" s="5">
        <f t="shared" ca="1" si="6"/>
        <v>6.2151437151437117E-2</v>
      </c>
      <c r="Y30" s="15">
        <f t="shared" si="7"/>
        <v>6.976744186046524E-2</v>
      </c>
      <c r="Z30" s="15">
        <f t="shared" si="8"/>
        <v>6.5015479876161075E-2</v>
      </c>
      <c r="AA30" s="15">
        <f t="shared" si="9"/>
        <v>-4.9999999999999933E-2</v>
      </c>
      <c r="AB30" s="15">
        <f t="shared" si="10"/>
        <v>0.21863799283154117</v>
      </c>
      <c r="AC30" s="15">
        <f t="shared" si="11"/>
        <v>1.4545454545454639E-2</v>
      </c>
      <c r="AD30" s="15">
        <f t="shared" si="12"/>
        <v>-8.333333333333337E-2</v>
      </c>
      <c r="AE30" s="15">
        <f t="shared" si="13"/>
        <v>-6.25E-2</v>
      </c>
      <c r="AF30" s="15">
        <f t="shared" si="14"/>
        <v>-3.1152647975076775E-3</v>
      </c>
      <c r="AG30" s="15">
        <f t="shared" si="15"/>
        <v>0.34873949579831942</v>
      </c>
      <c r="AH30" s="15">
        <f t="shared" si="16"/>
        <v>99.999989999999997</v>
      </c>
      <c r="AI30" s="15">
        <f t="shared" si="17"/>
        <v>99.999989999999997</v>
      </c>
      <c r="AJ30" s="15">
        <f t="shared" si="18"/>
        <v>99.999989999999997</v>
      </c>
      <c r="AK30" s="5">
        <f t="shared" si="19"/>
        <v>-8.333333333333337E-2</v>
      </c>
    </row>
    <row r="31" spans="1:37" x14ac:dyDescent="0.25">
      <c r="A31" t="s">
        <v>52</v>
      </c>
      <c r="B31" t="s">
        <v>53</v>
      </c>
      <c r="C31" s="56">
        <v>31</v>
      </c>
      <c r="D31" s="56">
        <v>12</v>
      </c>
      <c r="E31" s="56">
        <v>2015</v>
      </c>
      <c r="F31" s="65">
        <v>5.72</v>
      </c>
      <c r="G31" s="77">
        <v>5.15</v>
      </c>
      <c r="H31" s="77">
        <v>4.8099999999999996</v>
      </c>
      <c r="I31" s="59">
        <v>4.82</v>
      </c>
      <c r="J31" s="59">
        <v>5.55</v>
      </c>
      <c r="K31" s="59">
        <v>5.36</v>
      </c>
      <c r="L31" s="59">
        <v>5.27</v>
      </c>
      <c r="M31" s="59">
        <v>4.58</v>
      </c>
      <c r="N31" s="59">
        <v>4.1100000000000003</v>
      </c>
      <c r="O31" s="59">
        <v>3.76</v>
      </c>
      <c r="P31" s="61">
        <v>3.3</v>
      </c>
      <c r="Q31" s="59">
        <v>2.83</v>
      </c>
      <c r="R31" s="60">
        <v>2.04</v>
      </c>
      <c r="S31" s="13">
        <f t="shared" si="1"/>
        <v>4.4076923076923071</v>
      </c>
      <c r="T31" s="4">
        <f t="shared" ca="1" si="2"/>
        <v>0</v>
      </c>
      <c r="U31" s="4">
        <f t="shared" ca="1" si="3"/>
        <v>122</v>
      </c>
      <c r="V31" s="4">
        <f t="shared" ca="1" si="4"/>
        <v>238</v>
      </c>
      <c r="W31" s="13">
        <f t="shared" ca="1" si="5"/>
        <v>4.9252222222222217</v>
      </c>
      <c r="X31" s="5">
        <f t="shared" ca="1" si="6"/>
        <v>0.11741516385495454</v>
      </c>
      <c r="Y31" s="15">
        <f t="shared" si="7"/>
        <v>0.11067961165048534</v>
      </c>
      <c r="Z31" s="15">
        <f t="shared" si="8"/>
        <v>7.0686070686070801E-2</v>
      </c>
      <c r="AA31" s="15">
        <f t="shared" si="9"/>
        <v>-2.0746887966806016E-3</v>
      </c>
      <c r="AB31" s="15">
        <f t="shared" si="10"/>
        <v>-0.13153153153153141</v>
      </c>
      <c r="AC31" s="15">
        <f t="shared" si="11"/>
        <v>3.5447761194029814E-2</v>
      </c>
      <c r="AD31" s="15">
        <f t="shared" si="12"/>
        <v>1.7077798861480309E-2</v>
      </c>
      <c r="AE31" s="15">
        <f t="shared" si="13"/>
        <v>0.15065502183406099</v>
      </c>
      <c r="AF31" s="15">
        <f t="shared" si="14"/>
        <v>0.11435523114355228</v>
      </c>
      <c r="AG31" s="15">
        <f t="shared" si="15"/>
        <v>9.3085106382978955E-2</v>
      </c>
      <c r="AH31" s="15">
        <f t="shared" si="16"/>
        <v>0.1393939393939394</v>
      </c>
      <c r="AI31" s="15">
        <f t="shared" si="17"/>
        <v>0.16607773851590091</v>
      </c>
      <c r="AJ31" s="15">
        <f t="shared" si="18"/>
        <v>0.38725490196078427</v>
      </c>
      <c r="AK31" s="5">
        <f t="shared" si="19"/>
        <v>-0.13153153153153141</v>
      </c>
    </row>
    <row r="32" spans="1:37" x14ac:dyDescent="0.25">
      <c r="A32" t="s">
        <v>54</v>
      </c>
      <c r="B32" t="s">
        <v>55</v>
      </c>
      <c r="C32" s="56">
        <v>31</v>
      </c>
      <c r="D32" s="56">
        <v>12</v>
      </c>
      <c r="E32" s="56">
        <v>2015</v>
      </c>
      <c r="F32" s="65">
        <v>3.06</v>
      </c>
      <c r="G32" s="77">
        <v>2.6</v>
      </c>
      <c r="H32" s="77">
        <v>1.78</v>
      </c>
      <c r="I32" s="61">
        <v>1.67</v>
      </c>
      <c r="J32" s="59">
        <v>1.47</v>
      </c>
      <c r="K32" s="59">
        <v>2</v>
      </c>
      <c r="L32" s="59">
        <v>2.02</v>
      </c>
      <c r="M32" s="61">
        <v>3.42</v>
      </c>
      <c r="N32" s="61">
        <v>1.31</v>
      </c>
      <c r="O32" s="61">
        <v>2.85</v>
      </c>
      <c r="P32" s="59">
        <v>1.49</v>
      </c>
      <c r="Q32" s="59">
        <v>2.0299999999999998</v>
      </c>
      <c r="R32" s="60">
        <v>2.1</v>
      </c>
      <c r="S32" s="13">
        <f t="shared" si="1"/>
        <v>2.1384615384615384</v>
      </c>
      <c r="T32" s="4">
        <f t="shared" ca="1" si="2"/>
        <v>0</v>
      </c>
      <c r="U32" s="4">
        <f t="shared" ca="1" si="3"/>
        <v>122</v>
      </c>
      <c r="V32" s="4">
        <f t="shared" ca="1" si="4"/>
        <v>238</v>
      </c>
      <c r="W32" s="13">
        <f t="shared" ca="1" si="5"/>
        <v>2.0578888888888889</v>
      </c>
      <c r="X32" s="5">
        <f t="shared" ca="1" si="6"/>
        <v>-3.7677857713828922E-2</v>
      </c>
      <c r="Y32" s="15">
        <f t="shared" si="7"/>
        <v>0.17692307692307696</v>
      </c>
      <c r="Z32" s="15">
        <f t="shared" si="8"/>
        <v>0.4606741573033708</v>
      </c>
      <c r="AA32" s="15">
        <f t="shared" si="9"/>
        <v>6.5868263473053856E-2</v>
      </c>
      <c r="AB32" s="15">
        <f t="shared" si="10"/>
        <v>0.13605442176870741</v>
      </c>
      <c r="AC32" s="15">
        <f t="shared" si="11"/>
        <v>-0.26500000000000001</v>
      </c>
      <c r="AD32" s="15">
        <f t="shared" si="12"/>
        <v>-9.9009900990099098E-3</v>
      </c>
      <c r="AE32" s="15">
        <f t="shared" si="13"/>
        <v>-0.40935672514619881</v>
      </c>
      <c r="AF32" s="15">
        <f t="shared" si="14"/>
        <v>1.610687022900763</v>
      </c>
      <c r="AG32" s="15">
        <f t="shared" si="15"/>
        <v>-0.54035087719298247</v>
      </c>
      <c r="AH32" s="15">
        <f t="shared" si="16"/>
        <v>0.91275167785234901</v>
      </c>
      <c r="AI32" s="15">
        <f t="shared" si="17"/>
        <v>-0.26600985221674867</v>
      </c>
      <c r="AJ32" s="15">
        <f t="shared" si="18"/>
        <v>-3.3333333333333437E-2</v>
      </c>
      <c r="AK32" s="5">
        <f t="shared" si="19"/>
        <v>-0.54035087719298247</v>
      </c>
    </row>
    <row r="33" spans="1:37" x14ac:dyDescent="0.25">
      <c r="A33" t="s">
        <v>56</v>
      </c>
      <c r="B33" t="s">
        <v>57</v>
      </c>
      <c r="C33" s="56">
        <v>30</v>
      </c>
      <c r="D33" s="56">
        <v>6</v>
      </c>
      <c r="E33" s="56">
        <v>2015</v>
      </c>
      <c r="F33" s="65">
        <v>3.24</v>
      </c>
      <c r="G33" s="77">
        <v>2.84</v>
      </c>
      <c r="H33" s="77">
        <v>2.4300000000000002</v>
      </c>
      <c r="I33" s="59">
        <v>2.63</v>
      </c>
      <c r="J33" s="61">
        <v>2.67</v>
      </c>
      <c r="K33" s="61">
        <v>2.73</v>
      </c>
      <c r="L33" s="59">
        <v>2.69</v>
      </c>
      <c r="M33" s="59">
        <v>2.1</v>
      </c>
      <c r="N33" s="59">
        <v>1.62</v>
      </c>
      <c r="O33" s="59">
        <v>1.87</v>
      </c>
      <c r="P33" s="59">
        <v>1.42</v>
      </c>
      <c r="Q33" s="59">
        <v>1.2</v>
      </c>
      <c r="R33" s="60">
        <v>1.1200000000000001</v>
      </c>
      <c r="S33" s="13">
        <f t="shared" si="1"/>
        <v>2.1969230769230772</v>
      </c>
      <c r="T33" s="4">
        <f t="shared" ca="1" si="2"/>
        <v>0</v>
      </c>
      <c r="U33" s="4">
        <f t="shared" ca="1" si="3"/>
        <v>303</v>
      </c>
      <c r="V33" s="4">
        <f t="shared" ca="1" si="4"/>
        <v>57</v>
      </c>
      <c r="W33" s="13">
        <f t="shared" ca="1" si="5"/>
        <v>2.7750833333333329</v>
      </c>
      <c r="X33" s="5">
        <f t="shared" ca="1" si="6"/>
        <v>0.26316818394024244</v>
      </c>
      <c r="Y33" s="15">
        <f t="shared" si="7"/>
        <v>0.14084507042253525</v>
      </c>
      <c r="Z33" s="15">
        <f t="shared" si="8"/>
        <v>0.16872427983539073</v>
      </c>
      <c r="AA33" s="15">
        <f t="shared" si="9"/>
        <v>-7.6045627376425728E-2</v>
      </c>
      <c r="AB33" s="15">
        <f t="shared" si="10"/>
        <v>-1.4981273408239737E-2</v>
      </c>
      <c r="AC33" s="15">
        <f t="shared" si="11"/>
        <v>-2.1978021978022011E-2</v>
      </c>
      <c r="AD33" s="15">
        <f t="shared" si="12"/>
        <v>1.4869888475836479E-2</v>
      </c>
      <c r="AE33" s="15">
        <f t="shared" si="13"/>
        <v>0.28095238095238084</v>
      </c>
      <c r="AF33" s="15">
        <f t="shared" si="14"/>
        <v>0.29629629629629628</v>
      </c>
      <c r="AG33" s="15">
        <f t="shared" si="15"/>
        <v>-0.13368983957219249</v>
      </c>
      <c r="AH33" s="15">
        <f t="shared" si="16"/>
        <v>0.31690140845070447</v>
      </c>
      <c r="AI33" s="15">
        <f t="shared" si="17"/>
        <v>0.18333333333333335</v>
      </c>
      <c r="AJ33" s="15">
        <f t="shared" si="18"/>
        <v>7.1428571428571397E-2</v>
      </c>
      <c r="AK33" s="5">
        <f t="shared" si="19"/>
        <v>-0.13368983957219249</v>
      </c>
    </row>
    <row r="34" spans="1:37" x14ac:dyDescent="0.25">
      <c r="A34" t="s">
        <v>58</v>
      </c>
      <c r="B34" t="s">
        <v>59</v>
      </c>
      <c r="C34" s="56">
        <v>31</v>
      </c>
      <c r="D34" s="56">
        <v>12</v>
      </c>
      <c r="E34" s="56">
        <v>2015</v>
      </c>
      <c r="F34" s="65">
        <v>2.12</v>
      </c>
      <c r="G34" s="77">
        <v>1.86</v>
      </c>
      <c r="H34" s="77">
        <v>1.59</v>
      </c>
      <c r="I34" s="59">
        <v>1.28</v>
      </c>
      <c r="J34" s="61">
        <v>1.29</v>
      </c>
      <c r="K34" s="61">
        <v>0.86</v>
      </c>
      <c r="L34" s="61">
        <v>0.97</v>
      </c>
      <c r="M34" s="61">
        <v>0.38</v>
      </c>
      <c r="N34" s="61">
        <v>0.56999999999999995</v>
      </c>
      <c r="O34" s="61">
        <v>0.09</v>
      </c>
      <c r="P34" s="59"/>
      <c r="Q34" s="59"/>
      <c r="R34" s="60"/>
      <c r="S34" s="13">
        <f t="shared" si="1"/>
        <v>1.1010000000000002</v>
      </c>
      <c r="T34" s="4">
        <f t="shared" ca="1" si="2"/>
        <v>0</v>
      </c>
      <c r="U34" s="4">
        <f t="shared" ca="1" si="3"/>
        <v>122</v>
      </c>
      <c r="V34" s="4">
        <f t="shared" ca="1" si="4"/>
        <v>238</v>
      </c>
      <c r="W34" s="13">
        <f t="shared" ca="1" si="5"/>
        <v>1.6815000000000002</v>
      </c>
      <c r="X34" s="5">
        <f t="shared" ca="1" si="6"/>
        <v>0.52724795640326971</v>
      </c>
      <c r="Y34" s="15">
        <f t="shared" si="7"/>
        <v>0.13978494623655924</v>
      </c>
      <c r="Z34" s="15">
        <f t="shared" si="8"/>
        <v>0.16981132075471694</v>
      </c>
      <c r="AA34" s="15">
        <f t="shared" si="9"/>
        <v>0.2421875</v>
      </c>
      <c r="AB34" s="15">
        <f t="shared" si="10"/>
        <v>-7.7519379844961378E-3</v>
      </c>
      <c r="AC34" s="15">
        <f t="shared" si="11"/>
        <v>0.5</v>
      </c>
      <c r="AD34" s="15">
        <f t="shared" si="12"/>
        <v>-0.11340206185567014</v>
      </c>
      <c r="AE34" s="15">
        <f t="shared" si="13"/>
        <v>1.5526315789473681</v>
      </c>
      <c r="AF34" s="15">
        <f t="shared" si="14"/>
        <v>-0.33333333333333326</v>
      </c>
      <c r="AG34" s="15">
        <f t="shared" si="15"/>
        <v>5.333333333333333</v>
      </c>
      <c r="AH34" s="15">
        <f t="shared" si="16"/>
        <v>99.999989999999997</v>
      </c>
      <c r="AI34" s="15">
        <f t="shared" si="17"/>
        <v>99.999989999999997</v>
      </c>
      <c r="AJ34" s="15">
        <f t="shared" si="18"/>
        <v>99.999989999999997</v>
      </c>
      <c r="AK34" s="5">
        <f t="shared" si="19"/>
        <v>-0.33333333333333326</v>
      </c>
    </row>
    <row r="35" spans="1:37" x14ac:dyDescent="0.25">
      <c r="A35" t="s">
        <v>60</v>
      </c>
      <c r="B35" t="s">
        <v>61</v>
      </c>
      <c r="C35" s="56">
        <v>31</v>
      </c>
      <c r="D35" s="56">
        <v>8</v>
      </c>
      <c r="E35" s="56">
        <v>2015</v>
      </c>
      <c r="F35" s="65">
        <v>7.63</v>
      </c>
      <c r="G35" s="77">
        <v>6.72</v>
      </c>
      <c r="H35" s="77">
        <v>5.78</v>
      </c>
      <c r="I35" s="59">
        <v>5.22</v>
      </c>
      <c r="J35" s="59">
        <v>4.5999999999999996</v>
      </c>
      <c r="K35" s="59">
        <v>3.79</v>
      </c>
      <c r="L35" s="59">
        <v>2.96</v>
      </c>
      <c r="M35" s="61">
        <v>2.29</v>
      </c>
      <c r="N35" s="61">
        <v>4.28</v>
      </c>
      <c r="O35" s="59">
        <v>3.62</v>
      </c>
      <c r="P35" s="59">
        <v>1.79</v>
      </c>
      <c r="Q35" s="59">
        <v>1.25</v>
      </c>
      <c r="R35" s="60">
        <v>0.47</v>
      </c>
      <c r="S35" s="13">
        <f t="shared" si="1"/>
        <v>3.8769230769230765</v>
      </c>
      <c r="T35" s="4">
        <f t="shared" ca="1" si="2"/>
        <v>0</v>
      </c>
      <c r="U35" s="4">
        <f t="shared" ca="1" si="3"/>
        <v>242</v>
      </c>
      <c r="V35" s="4">
        <f t="shared" ca="1" si="4"/>
        <v>118</v>
      </c>
      <c r="W35" s="13">
        <f t="shared" ca="1" si="5"/>
        <v>6.411888888888889</v>
      </c>
      <c r="X35" s="5">
        <f t="shared" ca="1" si="6"/>
        <v>0.65386022927689624</v>
      </c>
      <c r="Y35" s="15">
        <f t="shared" si="7"/>
        <v>0.13541666666666674</v>
      </c>
      <c r="Z35" s="15">
        <f t="shared" si="8"/>
        <v>0.16262975778546696</v>
      </c>
      <c r="AA35" s="15">
        <f t="shared" si="9"/>
        <v>0.10727969348659006</v>
      </c>
      <c r="AB35" s="15">
        <f t="shared" si="10"/>
        <v>0.13478260869565228</v>
      </c>
      <c r="AC35" s="15">
        <f t="shared" si="11"/>
        <v>0.21372031662269109</v>
      </c>
      <c r="AD35" s="15">
        <f t="shared" si="12"/>
        <v>0.28040540540540548</v>
      </c>
      <c r="AE35" s="15">
        <f t="shared" si="13"/>
        <v>0.2925764192139737</v>
      </c>
      <c r="AF35" s="15">
        <f t="shared" si="14"/>
        <v>-0.46495327102803741</v>
      </c>
      <c r="AG35" s="15">
        <f t="shared" si="15"/>
        <v>0.18232044198895037</v>
      </c>
      <c r="AH35" s="15">
        <f t="shared" si="16"/>
        <v>1.022346368715084</v>
      </c>
      <c r="AI35" s="15">
        <f t="shared" si="17"/>
        <v>0.43199999999999994</v>
      </c>
      <c r="AJ35" s="15">
        <f t="shared" si="18"/>
        <v>1.6595744680851063</v>
      </c>
      <c r="AK35" s="5">
        <f t="shared" si="19"/>
        <v>-0.46495327102803741</v>
      </c>
    </row>
    <row r="36" spans="1:37" x14ac:dyDescent="0.25">
      <c r="A36" t="s">
        <v>62</v>
      </c>
      <c r="B36" t="s">
        <v>63</v>
      </c>
      <c r="C36" s="56">
        <v>31</v>
      </c>
      <c r="D36" s="56">
        <v>5</v>
      </c>
      <c r="E36" s="56">
        <v>2015</v>
      </c>
      <c r="F36" s="65">
        <v>2.71</v>
      </c>
      <c r="G36" s="77">
        <v>2.52</v>
      </c>
      <c r="H36" s="77">
        <v>2.3199999999999998</v>
      </c>
      <c r="I36" s="59">
        <v>2.38</v>
      </c>
      <c r="J36" s="59">
        <v>2.2599999999999998</v>
      </c>
      <c r="K36" s="59">
        <v>1.96</v>
      </c>
      <c r="L36" s="59">
        <v>1.67</v>
      </c>
      <c r="M36" s="59">
        <v>1.21</v>
      </c>
      <c r="N36" s="59">
        <v>1.0900000000000001</v>
      </c>
      <c r="O36" s="59">
        <v>1.06</v>
      </c>
      <c r="P36" s="59">
        <v>0.81</v>
      </c>
      <c r="Q36" s="59">
        <v>0.64</v>
      </c>
      <c r="R36" s="60">
        <v>0.55000000000000004</v>
      </c>
      <c r="S36" s="13">
        <f t="shared" ref="S36:S102" si="20">AVERAGE(F36:R36)</f>
        <v>1.629230769230769</v>
      </c>
      <c r="T36" s="4">
        <f t="shared" ref="T36:T102" ca="1" si="21">IF(DAYS360(TODAY(),DATE(E36+2,D36,C36))&gt;=720,0,360-U36)</f>
        <v>0</v>
      </c>
      <c r="U36" s="4">
        <f t="shared" ref="U36:U102" ca="1" si="22">IF(DAYS360(TODAY(),DATE(E36+1,D36,C36))&lt;=360,DAYS360(TODAY(),DATE(E36+1,D36,C36)),360-V36)</f>
        <v>332</v>
      </c>
      <c r="V36" s="4">
        <f t="shared" ref="V36:V103" ca="1" si="23">IF(DATE(E36,D36,C36)&lt;=TODAY(),0,DAYS360(TODAY(),DATE(E36,D36,C36)))</f>
        <v>28</v>
      </c>
      <c r="W36" s="13">
        <f t="shared" ref="W36:W102" ca="1" si="24">(F36/360*T36)+(G36/360*U36)+(H36/360*V36)</f>
        <v>2.5044444444444443</v>
      </c>
      <c r="X36" s="5">
        <f t="shared" ref="X36:X102" ca="1" si="25">IF(W36&lt;0,IF(W36&lt;0,((W36/S36)-1)*-1,(W36/S36)-1),IF(S36&lt;0,ABS((W36/S36)-1),(W36/S36)-1))</f>
        <v>0.53719441821424829</v>
      </c>
      <c r="Y36" s="15">
        <f t="shared" ref="Y36:Y103" si="26">IF(F36&lt;&gt;"",IF(G36&lt;&gt;"",IF(F36&lt;0,IF(G36&lt;0,((F36/G36)-1)*-1,(F36/G36)-1),IF(G36&lt;0,ABS((F36/G36)-1),(F36/G36)-1))),99.99999)</f>
        <v>7.5396825396825351E-2</v>
      </c>
      <c r="Z36" s="15">
        <f t="shared" ref="Z36:Z103" si="27">IF(H36&lt;&gt;"",IF(G36&lt;0,IF(H36&lt;0,((G36/H36)-1)*-1,(G36/H36)-1),IF(H36&lt;0,ABS((G36/H36)-1),(G36/H36)-1)),99.99999)</f>
        <v>8.6206896551724199E-2</v>
      </c>
      <c r="AA36" s="15">
        <f t="shared" ref="AA36:AA103" si="28">IF(I36&lt;&gt;"",IF(H36&lt;0,IF(I36&lt;0,((H36/I36)-1)*-1,(H36/I36)-1),IF(I36&lt;0,ABS((H36/I36)-1),(H36/I36)-1)),99.99999)</f>
        <v>-2.5210084033613467E-2</v>
      </c>
      <c r="AB36" s="15">
        <f t="shared" ref="AB36:AB103" si="29">IF(J36&lt;&gt;"",IF(I36&lt;0,IF(J36&lt;0,((I36/J36)-1)*-1,(I36/J36)-1),IF(J36&lt;0,ABS((I36/J36)-1),(I36/J36)-1)),99.99999)</f>
        <v>5.3097345132743445E-2</v>
      </c>
      <c r="AC36" s="15">
        <f t="shared" ref="AC36:AC103" si="30">IF(K36&lt;&gt;"",IF(J36&lt;0,IF(K36&lt;0,((J36/K36)-1)*-1,(J36/K36)-1),IF(K36&lt;0,ABS((J36/K36)-1),(J36/K36)-1)),99.99999)</f>
        <v>0.15306122448979576</v>
      </c>
      <c r="AD36" s="15">
        <f t="shared" ref="AD36:AD103" si="31">IF(L36&lt;&gt;"",IF(K36&lt;0,IF(L36&lt;0,((K36/L36)-1)*-1,(K36/L36)-1),IF(L36&lt;0,ABS((K36/L36)-1),(K36/L36)-1)),99.99999)</f>
        <v>0.17365269461077837</v>
      </c>
      <c r="AE36" s="15">
        <f t="shared" ref="AE36:AE103" si="32">IF(M36&lt;&gt;"",IF(L36&lt;0,IF(M36&lt;0,((L36/M36)-1)*-1,(L36/M36)-1),IF(M36&lt;0,ABS((L36/M36)-1),(L36/M36)-1)),99.99999)</f>
        <v>0.38016528925619841</v>
      </c>
      <c r="AF36" s="15">
        <f t="shared" ref="AF36:AF103" si="33">IF(N36&lt;&gt;"",IF(M36&lt;0,IF(N36&lt;0,((M36/N36)-1)*-1,(M36/N36)-1),IF(N36&lt;0,ABS((M36/N36)-1),(M36/N36)-1)),99.99999)</f>
        <v>0.11009174311926584</v>
      </c>
      <c r="AG36" s="15">
        <f t="shared" ref="AG36:AG103" si="34">IF(O36&lt;&gt;"",IF(N36&lt;0,IF(O36&lt;0,((N36/O36)-1)*-1,(N36/O36)-1),IF(O36&lt;0,ABS((N36/O36)-1),(N36/O36)-1)),99.99999)</f>
        <v>2.8301886792452935E-2</v>
      </c>
      <c r="AH36" s="15">
        <f t="shared" ref="AH36:AH103" si="35">IF(P36&lt;&gt;"",IF(O36&lt;0,IF(P36&lt;0,((O36/P36)-1)*-1,(O36/P36)-1),IF(P36&lt;0,ABS((O36/P36)-1),(O36/P36)-1)),99.99999)</f>
        <v>0.30864197530864201</v>
      </c>
      <c r="AI36" s="15">
        <f t="shared" ref="AI36:AI103" si="36">IF(Q36&lt;&gt;"",IF(P36&lt;0,IF(Q36&lt;0,((P36/Q36)-1)*-1,(P36/Q36)-1),IF(Q36&lt;0,ABS((P36/Q36)-1),(P36/Q36)-1)),99.99999)</f>
        <v>0.265625</v>
      </c>
      <c r="AJ36" s="15">
        <f t="shared" ref="AJ36:AJ103" si="37">IF(R36&lt;&gt;"",IF(Q36&lt;0,IF(R36&lt;0,((Q36/R36)-1)*-1,(Q36/R36)-1),IF(R36&lt;0,ABS((Q36/R36)-1),(Q36/R36)-1)),99.99999)</f>
        <v>0.16363636363636358</v>
      </c>
      <c r="AK36" s="5">
        <f t="shared" ref="AK36:AK102" si="38">MIN(Y36:AJ36)</f>
        <v>-2.5210084033613467E-2</v>
      </c>
    </row>
    <row r="37" spans="1:37" x14ac:dyDescent="0.25">
      <c r="A37" t="s">
        <v>64</v>
      </c>
      <c r="B37" t="s">
        <v>65</v>
      </c>
      <c r="C37" s="56">
        <v>31</v>
      </c>
      <c r="D37" s="56">
        <v>12</v>
      </c>
      <c r="E37" s="56">
        <v>2015</v>
      </c>
      <c r="F37" s="65">
        <v>5.3</v>
      </c>
      <c r="G37" s="77">
        <v>4.8899999999999997</v>
      </c>
      <c r="H37" s="77">
        <v>4.46</v>
      </c>
      <c r="I37" s="59">
        <v>4.2699999999999996</v>
      </c>
      <c r="J37" s="59">
        <v>4.32</v>
      </c>
      <c r="K37" s="59">
        <v>3.92</v>
      </c>
      <c r="L37" s="59">
        <v>4.03</v>
      </c>
      <c r="M37" s="59">
        <v>3.91</v>
      </c>
      <c r="N37" s="59">
        <v>3.77</v>
      </c>
      <c r="O37" s="59">
        <v>3.21</v>
      </c>
      <c r="P37" s="59">
        <v>3.41</v>
      </c>
      <c r="Q37" s="59">
        <v>3.34</v>
      </c>
      <c r="R37" s="60">
        <v>2.39</v>
      </c>
      <c r="S37" s="13">
        <f t="shared" si="20"/>
        <v>3.94</v>
      </c>
      <c r="T37" s="4">
        <f t="shared" ca="1" si="21"/>
        <v>0</v>
      </c>
      <c r="U37" s="4">
        <f t="shared" ca="1" si="22"/>
        <v>122</v>
      </c>
      <c r="V37" s="4">
        <f t="shared" ca="1" si="23"/>
        <v>238</v>
      </c>
      <c r="W37" s="13">
        <f t="shared" ca="1" si="24"/>
        <v>4.6057222222222221</v>
      </c>
      <c r="X37" s="5">
        <f t="shared" ca="1" si="25"/>
        <v>0.16896503102086857</v>
      </c>
      <c r="Y37" s="15">
        <f t="shared" si="26"/>
        <v>8.3844580777096223E-2</v>
      </c>
      <c r="Z37" s="15">
        <f t="shared" si="27"/>
        <v>9.6412556053811604E-2</v>
      </c>
      <c r="AA37" s="15">
        <f t="shared" si="28"/>
        <v>4.4496487119437989E-2</v>
      </c>
      <c r="AB37" s="15">
        <f t="shared" si="29"/>
        <v>-1.1574074074074292E-2</v>
      </c>
      <c r="AC37" s="15">
        <f t="shared" si="30"/>
        <v>0.10204081632653073</v>
      </c>
      <c r="AD37" s="15">
        <f t="shared" si="31"/>
        <v>-2.7295285359801524E-2</v>
      </c>
      <c r="AE37" s="15">
        <f t="shared" si="32"/>
        <v>3.0690537084399061E-2</v>
      </c>
      <c r="AF37" s="15">
        <f t="shared" si="33"/>
        <v>3.7135278514588865E-2</v>
      </c>
      <c r="AG37" s="15">
        <f t="shared" si="34"/>
        <v>0.17445482866043616</v>
      </c>
      <c r="AH37" s="15">
        <f t="shared" si="35"/>
        <v>-5.8651026392961936E-2</v>
      </c>
      <c r="AI37" s="15">
        <f t="shared" si="36"/>
        <v>2.0958083832335328E-2</v>
      </c>
      <c r="AJ37" s="15">
        <f t="shared" si="37"/>
        <v>0.39748953974895374</v>
      </c>
      <c r="AK37" s="5">
        <f t="shared" si="38"/>
        <v>-5.8651026392961936E-2</v>
      </c>
    </row>
    <row r="38" spans="1:37" x14ac:dyDescent="0.25">
      <c r="A38" t="s">
        <v>66</v>
      </c>
      <c r="B38" t="s">
        <v>67</v>
      </c>
      <c r="C38" s="56">
        <v>31</v>
      </c>
      <c r="D38" s="56">
        <v>12</v>
      </c>
      <c r="E38" s="56">
        <v>2015</v>
      </c>
      <c r="F38" s="65">
        <v>1.96</v>
      </c>
      <c r="G38" s="77">
        <v>1.84</v>
      </c>
      <c r="H38" s="77">
        <v>1.71</v>
      </c>
      <c r="I38" s="59">
        <v>1.42</v>
      </c>
      <c r="J38" s="61">
        <v>1.65</v>
      </c>
      <c r="K38" s="59">
        <v>1.94</v>
      </c>
      <c r="L38" s="59">
        <v>1.27</v>
      </c>
      <c r="M38" s="59">
        <v>1.02</v>
      </c>
      <c r="N38" s="59">
        <v>1.23</v>
      </c>
      <c r="O38" s="59">
        <v>1.2</v>
      </c>
      <c r="P38" s="59">
        <v>1.17</v>
      </c>
      <c r="Q38" s="61">
        <v>1.52</v>
      </c>
      <c r="R38" s="60">
        <v>1.0900000000000001</v>
      </c>
      <c r="S38" s="13">
        <f t="shared" si="20"/>
        <v>1.4630769230769227</v>
      </c>
      <c r="T38" s="4">
        <f t="shared" ca="1" si="21"/>
        <v>0</v>
      </c>
      <c r="U38" s="4">
        <f t="shared" ca="1" si="22"/>
        <v>122</v>
      </c>
      <c r="V38" s="4">
        <f t="shared" ca="1" si="23"/>
        <v>238</v>
      </c>
      <c r="W38" s="13">
        <f t="shared" ca="1" si="24"/>
        <v>1.7540555555555557</v>
      </c>
      <c r="X38" s="5">
        <f t="shared" ca="1" si="25"/>
        <v>0.19888129454375547</v>
      </c>
      <c r="Y38" s="15">
        <f t="shared" si="26"/>
        <v>6.5217391304347672E-2</v>
      </c>
      <c r="Z38" s="15">
        <f t="shared" si="27"/>
        <v>7.6023391812865659E-2</v>
      </c>
      <c r="AA38" s="15">
        <f t="shared" si="28"/>
        <v>0.20422535211267601</v>
      </c>
      <c r="AB38" s="15">
        <f t="shared" si="29"/>
        <v>-0.1393939393939394</v>
      </c>
      <c r="AC38" s="15">
        <f t="shared" si="30"/>
        <v>-0.14948453608247425</v>
      </c>
      <c r="AD38" s="15">
        <f t="shared" si="31"/>
        <v>0.52755905511811019</v>
      </c>
      <c r="AE38" s="15">
        <f t="shared" si="32"/>
        <v>0.24509803921568629</v>
      </c>
      <c r="AF38" s="15">
        <f t="shared" si="33"/>
        <v>-0.1707317073170731</v>
      </c>
      <c r="AG38" s="15">
        <f t="shared" si="34"/>
        <v>2.5000000000000133E-2</v>
      </c>
      <c r="AH38" s="15">
        <f t="shared" si="35"/>
        <v>2.5641025641025772E-2</v>
      </c>
      <c r="AI38" s="15">
        <f t="shared" si="36"/>
        <v>-0.23026315789473695</v>
      </c>
      <c r="AJ38" s="15">
        <f t="shared" si="37"/>
        <v>0.39449541284403655</v>
      </c>
      <c r="AK38" s="5">
        <f t="shared" si="38"/>
        <v>-0.23026315789473695</v>
      </c>
    </row>
    <row r="39" spans="1:37" x14ac:dyDescent="0.25">
      <c r="A39" t="s">
        <v>68</v>
      </c>
      <c r="B39" t="s">
        <v>69</v>
      </c>
      <c r="C39" s="56">
        <v>31</v>
      </c>
      <c r="D39" s="56">
        <v>12</v>
      </c>
      <c r="E39" s="56">
        <v>2015</v>
      </c>
      <c r="F39" s="65">
        <v>5.0599999999999996</v>
      </c>
      <c r="G39" s="77">
        <v>4.7300000000000004</v>
      </c>
      <c r="H39" s="77">
        <v>4.32</v>
      </c>
      <c r="I39" s="59">
        <v>4.76</v>
      </c>
      <c r="J39" s="59">
        <v>5.26</v>
      </c>
      <c r="K39" s="59">
        <v>5.17</v>
      </c>
      <c r="L39" s="59">
        <v>4.8499999999999996</v>
      </c>
      <c r="M39" s="59">
        <v>3.92</v>
      </c>
      <c r="N39" s="59">
        <v>3.24</v>
      </c>
      <c r="O39" s="59">
        <v>3.31</v>
      </c>
      <c r="P39" s="59"/>
      <c r="Q39" s="59"/>
      <c r="R39" s="60"/>
      <c r="S39" s="13">
        <f t="shared" si="20"/>
        <v>4.4620000000000006</v>
      </c>
      <c r="T39" s="4">
        <f t="shared" ca="1" si="21"/>
        <v>0</v>
      </c>
      <c r="U39" s="4">
        <f t="shared" ca="1" si="22"/>
        <v>122</v>
      </c>
      <c r="V39" s="4">
        <f t="shared" ca="1" si="23"/>
        <v>238</v>
      </c>
      <c r="W39" s="13">
        <f t="shared" ca="1" si="24"/>
        <v>4.4589444444444446</v>
      </c>
      <c r="X39" s="5">
        <f t="shared" ca="1" si="25"/>
        <v>-6.8479505951501984E-4</v>
      </c>
      <c r="Y39" s="15">
        <f t="shared" si="26"/>
        <v>6.9767441860465018E-2</v>
      </c>
      <c r="Z39" s="15">
        <f t="shared" si="27"/>
        <v>9.490740740740744E-2</v>
      </c>
      <c r="AA39" s="15">
        <f t="shared" si="28"/>
        <v>-9.243697478991586E-2</v>
      </c>
      <c r="AB39" s="15">
        <f t="shared" si="29"/>
        <v>-9.5057034220532355E-2</v>
      </c>
      <c r="AC39" s="15">
        <f t="shared" si="30"/>
        <v>1.740812379110257E-2</v>
      </c>
      <c r="AD39" s="15">
        <f t="shared" si="31"/>
        <v>6.5979381443298957E-2</v>
      </c>
      <c r="AE39" s="15">
        <f t="shared" si="32"/>
        <v>0.23724489795918369</v>
      </c>
      <c r="AF39" s="15">
        <f t="shared" si="33"/>
        <v>0.20987654320987637</v>
      </c>
      <c r="AG39" s="15">
        <f t="shared" si="34"/>
        <v>-2.114803625377637E-2</v>
      </c>
      <c r="AH39" s="15">
        <f t="shared" si="35"/>
        <v>99.999989999999997</v>
      </c>
      <c r="AI39" s="15">
        <f t="shared" si="36"/>
        <v>99.999989999999997</v>
      </c>
      <c r="AJ39" s="15">
        <f t="shared" si="37"/>
        <v>99.999989999999997</v>
      </c>
      <c r="AK39" s="5">
        <f t="shared" si="38"/>
        <v>-9.5057034220532355E-2</v>
      </c>
    </row>
    <row r="40" spans="1:37" x14ac:dyDescent="0.25">
      <c r="A40" t="s">
        <v>70</v>
      </c>
      <c r="B40" t="s">
        <v>71</v>
      </c>
      <c r="C40" s="56">
        <v>30</v>
      </c>
      <c r="D40" s="56">
        <v>6</v>
      </c>
      <c r="E40" s="56">
        <v>2015</v>
      </c>
      <c r="F40" s="65">
        <v>4.6399999999999997</v>
      </c>
      <c r="G40" s="77">
        <v>4.18</v>
      </c>
      <c r="H40" s="77">
        <v>3.7</v>
      </c>
      <c r="I40" s="61">
        <v>3.98</v>
      </c>
      <c r="J40" s="61">
        <v>3.83</v>
      </c>
      <c r="K40" s="61">
        <v>3.06</v>
      </c>
      <c r="L40" s="61">
        <v>3.85</v>
      </c>
      <c r="M40" s="61">
        <v>3.47</v>
      </c>
      <c r="N40" s="61">
        <v>3.39</v>
      </c>
      <c r="O40" s="61">
        <v>3.4</v>
      </c>
      <c r="P40" s="61">
        <v>2.84</v>
      </c>
      <c r="Q40" s="61">
        <v>2.4900000000000002</v>
      </c>
      <c r="R40" s="62">
        <v>2.5299999999999998</v>
      </c>
      <c r="S40" s="13">
        <f t="shared" si="20"/>
        <v>3.4892307692307685</v>
      </c>
      <c r="T40" s="4">
        <f t="shared" ca="1" si="21"/>
        <v>0</v>
      </c>
      <c r="U40" s="4">
        <f t="shared" ca="1" si="22"/>
        <v>303</v>
      </c>
      <c r="V40" s="4">
        <f t="shared" ca="1" si="23"/>
        <v>57</v>
      </c>
      <c r="W40" s="13">
        <f t="shared" ca="1" si="24"/>
        <v>4.1039999999999992</v>
      </c>
      <c r="X40" s="5">
        <f t="shared" ca="1" si="25"/>
        <v>0.17619047619047623</v>
      </c>
      <c r="Y40" s="15">
        <f t="shared" si="26"/>
        <v>0.11004784688995217</v>
      </c>
      <c r="Z40" s="15">
        <f t="shared" si="27"/>
        <v>0.12972972972972951</v>
      </c>
      <c r="AA40" s="15">
        <f t="shared" si="28"/>
        <v>-7.0351758793969821E-2</v>
      </c>
      <c r="AB40" s="15">
        <f t="shared" si="29"/>
        <v>3.9164490861618884E-2</v>
      </c>
      <c r="AC40" s="15">
        <f t="shared" si="30"/>
        <v>0.25163398692810457</v>
      </c>
      <c r="AD40" s="15">
        <f t="shared" si="31"/>
        <v>-0.20519480519480515</v>
      </c>
      <c r="AE40" s="15">
        <f t="shared" si="32"/>
        <v>0.10951008645533133</v>
      </c>
      <c r="AF40" s="15">
        <f t="shared" si="33"/>
        <v>2.3598820058997161E-2</v>
      </c>
      <c r="AG40" s="15">
        <f t="shared" si="34"/>
        <v>-2.9411764705882248E-3</v>
      </c>
      <c r="AH40" s="15">
        <f t="shared" si="35"/>
        <v>0.19718309859154926</v>
      </c>
      <c r="AI40" s="15">
        <f t="shared" si="36"/>
        <v>0.14056224899598369</v>
      </c>
      <c r="AJ40" s="15">
        <f t="shared" si="37"/>
        <v>-1.5810276679841695E-2</v>
      </c>
      <c r="AK40" s="5">
        <f t="shared" si="38"/>
        <v>-0.20519480519480515</v>
      </c>
    </row>
    <row r="41" spans="1:37" x14ac:dyDescent="0.25">
      <c r="A41" t="s">
        <v>72</v>
      </c>
      <c r="B41" t="s">
        <v>73</v>
      </c>
      <c r="C41" s="56">
        <v>31</v>
      </c>
      <c r="D41" s="56">
        <v>12</v>
      </c>
      <c r="E41" s="56">
        <v>2015</v>
      </c>
      <c r="F41" s="65">
        <v>4.1500000000000004</v>
      </c>
      <c r="G41" s="77">
        <v>4.03</v>
      </c>
      <c r="H41" s="77">
        <v>3.84</v>
      </c>
      <c r="I41" s="59">
        <v>2.42</v>
      </c>
      <c r="J41" s="59">
        <v>4</v>
      </c>
      <c r="K41" s="61">
        <v>2.2400000000000002</v>
      </c>
      <c r="L41" s="61">
        <v>2.15</v>
      </c>
      <c r="M41" s="61">
        <v>2.2000000000000002</v>
      </c>
      <c r="N41" s="61">
        <v>2.4</v>
      </c>
      <c r="O41" s="59">
        <v>2.2599999999999998</v>
      </c>
      <c r="P41" s="59">
        <v>1.9</v>
      </c>
      <c r="Q41" s="59">
        <v>2.15</v>
      </c>
      <c r="R41" s="60">
        <v>2.65</v>
      </c>
      <c r="S41" s="13">
        <f t="shared" si="20"/>
        <v>2.7992307692307685</v>
      </c>
      <c r="T41" s="4">
        <f t="shared" ca="1" si="21"/>
        <v>0</v>
      </c>
      <c r="U41" s="4">
        <f t="shared" ca="1" si="22"/>
        <v>122</v>
      </c>
      <c r="V41" s="4">
        <f t="shared" ca="1" si="23"/>
        <v>238</v>
      </c>
      <c r="W41" s="13">
        <f t="shared" ca="1" si="24"/>
        <v>3.9043888888888887</v>
      </c>
      <c r="X41" s="5">
        <f t="shared" ca="1" si="25"/>
        <v>0.39480779212848494</v>
      </c>
      <c r="Y41" s="15">
        <f t="shared" si="26"/>
        <v>2.977667493796532E-2</v>
      </c>
      <c r="Z41" s="15">
        <f t="shared" si="27"/>
        <v>4.9479166666666741E-2</v>
      </c>
      <c r="AA41" s="15">
        <f t="shared" si="28"/>
        <v>0.58677685950413228</v>
      </c>
      <c r="AB41" s="15">
        <f t="shared" si="29"/>
        <v>-0.39500000000000002</v>
      </c>
      <c r="AC41" s="15">
        <f t="shared" si="30"/>
        <v>0.78571428571428559</v>
      </c>
      <c r="AD41" s="15">
        <f t="shared" si="31"/>
        <v>4.1860465116279277E-2</v>
      </c>
      <c r="AE41" s="15">
        <f t="shared" si="32"/>
        <v>-2.2727272727272818E-2</v>
      </c>
      <c r="AF41" s="15">
        <f t="shared" si="33"/>
        <v>-8.3333333333333259E-2</v>
      </c>
      <c r="AG41" s="15">
        <f t="shared" si="34"/>
        <v>6.1946902654867353E-2</v>
      </c>
      <c r="AH41" s="15">
        <f t="shared" si="35"/>
        <v>0.18947368421052624</v>
      </c>
      <c r="AI41" s="15">
        <f t="shared" si="36"/>
        <v>-0.11627906976744184</v>
      </c>
      <c r="AJ41" s="15">
        <f t="shared" si="37"/>
        <v>-0.18867924528301883</v>
      </c>
      <c r="AK41" s="5">
        <f t="shared" si="38"/>
        <v>-0.39500000000000002</v>
      </c>
    </row>
    <row r="42" spans="1:37" x14ac:dyDescent="0.25">
      <c r="A42" t="s">
        <v>74</v>
      </c>
      <c r="B42" t="s">
        <v>75</v>
      </c>
      <c r="C42" s="56">
        <v>31</v>
      </c>
      <c r="D42" s="56">
        <v>1</v>
      </c>
      <c r="E42" s="56">
        <v>2015</v>
      </c>
      <c r="F42" s="65">
        <v>5.17</v>
      </c>
      <c r="G42" s="77">
        <v>4.88</v>
      </c>
      <c r="H42" s="59">
        <v>5.05</v>
      </c>
      <c r="I42" s="59">
        <v>4.88</v>
      </c>
      <c r="J42" s="59">
        <v>5.0199999999999996</v>
      </c>
      <c r="K42" s="59">
        <v>4.5199999999999996</v>
      </c>
      <c r="L42" s="59">
        <v>4.47</v>
      </c>
      <c r="M42" s="59">
        <v>3.7</v>
      </c>
      <c r="N42" s="59">
        <v>3.39</v>
      </c>
      <c r="O42" s="59">
        <v>3.13</v>
      </c>
      <c r="P42" s="59">
        <v>2.71</v>
      </c>
      <c r="Q42" s="59">
        <v>2.68</v>
      </c>
      <c r="R42" s="60">
        <v>2.41</v>
      </c>
      <c r="S42" s="13">
        <f t="shared" si="20"/>
        <v>4.0007692307692313</v>
      </c>
      <c r="T42" s="4">
        <f t="shared" ca="1" si="21"/>
        <v>92</v>
      </c>
      <c r="U42" s="4">
        <f t="shared" ca="1" si="22"/>
        <v>268</v>
      </c>
      <c r="V42" s="4">
        <f t="shared" ca="1" si="23"/>
        <v>0</v>
      </c>
      <c r="W42" s="13">
        <f t="shared" ca="1" si="24"/>
        <v>4.9541111111111107</v>
      </c>
      <c r="X42" s="5">
        <f t="shared" ca="1" si="25"/>
        <v>0.23828964515370954</v>
      </c>
      <c r="Y42" s="15">
        <f t="shared" si="26"/>
        <v>5.9426229508196649E-2</v>
      </c>
      <c r="Z42" s="15">
        <f t="shared" si="27"/>
        <v>-3.3663366336633693E-2</v>
      </c>
      <c r="AA42" s="15">
        <f t="shared" si="28"/>
        <v>3.4836065573770503E-2</v>
      </c>
      <c r="AB42" s="15">
        <f t="shared" si="29"/>
        <v>-2.7888446215139417E-2</v>
      </c>
      <c r="AC42" s="15">
        <f t="shared" si="30"/>
        <v>0.11061946902654873</v>
      </c>
      <c r="AD42" s="15">
        <f t="shared" si="31"/>
        <v>1.1185682326621871E-2</v>
      </c>
      <c r="AE42" s="15">
        <f t="shared" si="32"/>
        <v>0.20810810810810798</v>
      </c>
      <c r="AF42" s="15">
        <f t="shared" si="33"/>
        <v>9.1445427728613637E-2</v>
      </c>
      <c r="AG42" s="15">
        <f t="shared" si="34"/>
        <v>8.3067092651757157E-2</v>
      </c>
      <c r="AH42" s="15">
        <f t="shared" si="35"/>
        <v>0.15498154981549805</v>
      </c>
      <c r="AI42" s="15">
        <f t="shared" si="36"/>
        <v>1.1194029850746245E-2</v>
      </c>
      <c r="AJ42" s="15">
        <f t="shared" si="37"/>
        <v>0.11203319502074693</v>
      </c>
      <c r="AK42" s="5">
        <f t="shared" si="38"/>
        <v>-3.3663366336633693E-2</v>
      </c>
    </row>
    <row r="43" spans="1:37" x14ac:dyDescent="0.25">
      <c r="A43" t="s">
        <v>76</v>
      </c>
      <c r="B43" t="s">
        <v>77</v>
      </c>
      <c r="C43" s="56">
        <v>31</v>
      </c>
      <c r="D43" s="56">
        <v>12</v>
      </c>
      <c r="E43" s="56">
        <v>2015</v>
      </c>
      <c r="F43" s="65">
        <v>6.11</v>
      </c>
      <c r="G43" s="77">
        <v>5.78</v>
      </c>
      <c r="H43" s="77">
        <v>5.5</v>
      </c>
      <c r="I43" s="59">
        <v>5.54</v>
      </c>
      <c r="J43" s="61">
        <v>4.91</v>
      </c>
      <c r="K43" s="59">
        <v>4.45</v>
      </c>
      <c r="L43" s="59">
        <v>3.63</v>
      </c>
      <c r="M43" s="59">
        <v>2.5</v>
      </c>
      <c r="N43" s="59">
        <v>2.9</v>
      </c>
      <c r="O43" s="59">
        <v>1.93</v>
      </c>
      <c r="P43" s="59"/>
      <c r="Q43" s="59"/>
      <c r="R43" s="60"/>
      <c r="S43" s="13">
        <f t="shared" si="20"/>
        <v>4.3250000000000002</v>
      </c>
      <c r="T43" s="4">
        <f t="shared" ca="1" si="21"/>
        <v>0</v>
      </c>
      <c r="U43" s="4">
        <f t="shared" ca="1" si="22"/>
        <v>122</v>
      </c>
      <c r="V43" s="4">
        <f t="shared" ca="1" si="23"/>
        <v>238</v>
      </c>
      <c r="W43" s="13">
        <f t="shared" ca="1" si="24"/>
        <v>5.5948888888888888</v>
      </c>
      <c r="X43" s="5">
        <f t="shared" ca="1" si="25"/>
        <v>0.29361592806679515</v>
      </c>
      <c r="Y43" s="15">
        <f t="shared" si="26"/>
        <v>5.709342560553643E-2</v>
      </c>
      <c r="Z43" s="15">
        <f t="shared" si="27"/>
        <v>5.0909090909091015E-2</v>
      </c>
      <c r="AA43" s="15">
        <f t="shared" si="28"/>
        <v>-7.2202166064981865E-3</v>
      </c>
      <c r="AB43" s="15">
        <f t="shared" si="29"/>
        <v>0.12830957230142559</v>
      </c>
      <c r="AC43" s="15">
        <f t="shared" si="30"/>
        <v>0.10337078651685383</v>
      </c>
      <c r="AD43" s="15">
        <f t="shared" si="31"/>
        <v>0.22589531680440778</v>
      </c>
      <c r="AE43" s="15">
        <f t="shared" si="32"/>
        <v>0.45199999999999996</v>
      </c>
      <c r="AF43" s="15">
        <f t="shared" si="33"/>
        <v>-0.13793103448275856</v>
      </c>
      <c r="AG43" s="15">
        <f t="shared" si="34"/>
        <v>0.50259067357512954</v>
      </c>
      <c r="AH43" s="15">
        <f t="shared" si="35"/>
        <v>99.999989999999997</v>
      </c>
      <c r="AI43" s="15">
        <f t="shared" si="36"/>
        <v>99.999989999999997</v>
      </c>
      <c r="AJ43" s="15">
        <f t="shared" si="37"/>
        <v>99.999989999999997</v>
      </c>
      <c r="AK43" s="5">
        <f t="shared" si="38"/>
        <v>-0.13793103448275856</v>
      </c>
    </row>
    <row r="44" spans="1:37" x14ac:dyDescent="0.25">
      <c r="A44" t="s">
        <v>78</v>
      </c>
      <c r="B44" t="s">
        <v>79</v>
      </c>
      <c r="C44" s="56">
        <v>31</v>
      </c>
      <c r="D44" s="56">
        <v>12</v>
      </c>
      <c r="E44" s="56">
        <v>2015</v>
      </c>
      <c r="F44" s="65">
        <v>1911</v>
      </c>
      <c r="G44" s="77">
        <v>1758</v>
      </c>
      <c r="H44" s="77">
        <v>1587</v>
      </c>
      <c r="I44" s="59">
        <v>1460</v>
      </c>
      <c r="J44" s="59">
        <v>1314</v>
      </c>
      <c r="K44" s="59">
        <v>1187</v>
      </c>
      <c r="L44" s="59">
        <v>1078</v>
      </c>
      <c r="M44" s="59">
        <v>1055</v>
      </c>
      <c r="N44" s="59">
        <v>850.9</v>
      </c>
      <c r="O44" s="59">
        <v>1140</v>
      </c>
      <c r="P44" s="59">
        <v>1091</v>
      </c>
      <c r="Q44" s="59">
        <v>921.2</v>
      </c>
      <c r="R44" s="60">
        <v>768.2</v>
      </c>
      <c r="S44" s="13">
        <f t="shared" si="20"/>
        <v>1240.1000000000001</v>
      </c>
      <c r="T44" s="4">
        <f t="shared" ca="1" si="21"/>
        <v>0</v>
      </c>
      <c r="U44" s="4">
        <f t="shared" ca="1" si="22"/>
        <v>122</v>
      </c>
      <c r="V44" s="4">
        <f t="shared" ca="1" si="23"/>
        <v>238</v>
      </c>
      <c r="W44" s="13">
        <f t="shared" ca="1" si="24"/>
        <v>1644.9500000000003</v>
      </c>
      <c r="X44" s="5">
        <f t="shared" ca="1" si="25"/>
        <v>0.32646560761228938</v>
      </c>
      <c r="Y44" s="15">
        <f t="shared" si="26"/>
        <v>8.7030716723549562E-2</v>
      </c>
      <c r="Z44" s="15">
        <f t="shared" si="27"/>
        <v>0.10775047258979198</v>
      </c>
      <c r="AA44" s="15">
        <f t="shared" si="28"/>
        <v>8.6986301369863073E-2</v>
      </c>
      <c r="AB44" s="15">
        <f t="shared" si="29"/>
        <v>0.11111111111111116</v>
      </c>
      <c r="AC44" s="15">
        <f t="shared" si="30"/>
        <v>0.10699241786015157</v>
      </c>
      <c r="AD44" s="15">
        <f t="shared" si="31"/>
        <v>0.10111317254174401</v>
      </c>
      <c r="AE44" s="15">
        <f t="shared" si="32"/>
        <v>2.180094786729847E-2</v>
      </c>
      <c r="AF44" s="15">
        <f t="shared" si="33"/>
        <v>0.23986367375719819</v>
      </c>
      <c r="AG44" s="15">
        <f t="shared" si="34"/>
        <v>-0.25359649122807015</v>
      </c>
      <c r="AH44" s="15">
        <f t="shared" si="35"/>
        <v>4.4912923923006387E-2</v>
      </c>
      <c r="AI44" s="15">
        <f t="shared" si="36"/>
        <v>0.18432479374728605</v>
      </c>
      <c r="AJ44" s="15">
        <f t="shared" si="37"/>
        <v>0.19916688362405632</v>
      </c>
      <c r="AK44" s="5">
        <f t="shared" si="38"/>
        <v>-0.25359649122807015</v>
      </c>
    </row>
    <row r="45" spans="1:37" x14ac:dyDescent="0.25">
      <c r="A45" t="s">
        <v>81</v>
      </c>
      <c r="B45" t="s">
        <v>82</v>
      </c>
      <c r="C45" s="56">
        <v>31</v>
      </c>
      <c r="D45" s="56">
        <v>12</v>
      </c>
      <c r="E45" s="56">
        <v>2015</v>
      </c>
      <c r="F45" s="65">
        <v>5.56</v>
      </c>
      <c r="G45" s="77">
        <v>5.0199999999999996</v>
      </c>
      <c r="H45" s="77">
        <v>4.6100000000000003</v>
      </c>
      <c r="I45" s="59">
        <v>3.76</v>
      </c>
      <c r="J45" s="59">
        <v>3.67</v>
      </c>
      <c r="K45" s="59">
        <v>3.49</v>
      </c>
      <c r="L45" s="59">
        <v>2.89</v>
      </c>
      <c r="M45" s="59">
        <v>2.58</v>
      </c>
      <c r="N45" s="59">
        <v>1.4</v>
      </c>
      <c r="O45" s="61">
        <v>1.84</v>
      </c>
      <c r="P45" s="59">
        <v>2.14</v>
      </c>
      <c r="Q45" s="59">
        <v>1.99</v>
      </c>
      <c r="R45" s="60">
        <v>1.77</v>
      </c>
      <c r="S45" s="13">
        <f t="shared" si="20"/>
        <v>3.1323076923076929</v>
      </c>
      <c r="T45" s="4">
        <f t="shared" ca="1" si="21"/>
        <v>0</v>
      </c>
      <c r="U45" s="4">
        <f t="shared" ca="1" si="22"/>
        <v>122</v>
      </c>
      <c r="V45" s="4">
        <f t="shared" ca="1" si="23"/>
        <v>238</v>
      </c>
      <c r="W45" s="13">
        <f t="shared" ca="1" si="24"/>
        <v>4.7489444444444446</v>
      </c>
      <c r="X45" s="5">
        <f t="shared" ca="1" si="25"/>
        <v>0.51611684130102575</v>
      </c>
      <c r="Y45" s="15">
        <f t="shared" si="26"/>
        <v>0.10756972111553798</v>
      </c>
      <c r="Z45" s="15">
        <f t="shared" si="27"/>
        <v>8.8937093275487822E-2</v>
      </c>
      <c r="AA45" s="15">
        <f t="shared" si="28"/>
        <v>0.22606382978723416</v>
      </c>
      <c r="AB45" s="15">
        <f t="shared" si="29"/>
        <v>2.4523160762942808E-2</v>
      </c>
      <c r="AC45" s="15">
        <f t="shared" si="30"/>
        <v>5.1575931232091587E-2</v>
      </c>
      <c r="AD45" s="15">
        <f t="shared" si="31"/>
        <v>0.20761245674740492</v>
      </c>
      <c r="AE45" s="15">
        <f t="shared" si="32"/>
        <v>0.12015503875968991</v>
      </c>
      <c r="AF45" s="15">
        <f t="shared" si="33"/>
        <v>0.84285714285714297</v>
      </c>
      <c r="AG45" s="15">
        <f t="shared" si="34"/>
        <v>-0.23913043478260876</v>
      </c>
      <c r="AH45" s="15">
        <f t="shared" si="35"/>
        <v>-0.14018691588785048</v>
      </c>
      <c r="AI45" s="15">
        <f t="shared" si="36"/>
        <v>7.5376884422110546E-2</v>
      </c>
      <c r="AJ45" s="15">
        <f t="shared" si="37"/>
        <v>0.12429378531073443</v>
      </c>
      <c r="AK45" s="5">
        <f t="shared" si="38"/>
        <v>-0.23913043478260876</v>
      </c>
    </row>
    <row r="46" spans="1:37" x14ac:dyDescent="0.25">
      <c r="A46" s="52" t="s">
        <v>273</v>
      </c>
      <c r="B46" s="52" t="s">
        <v>278</v>
      </c>
      <c r="C46" s="90">
        <v>31</v>
      </c>
      <c r="D46" s="90">
        <v>12</v>
      </c>
      <c r="E46" s="90">
        <v>2015</v>
      </c>
      <c r="F46" s="65">
        <v>9.84</v>
      </c>
      <c r="G46" s="77">
        <v>8.9</v>
      </c>
      <c r="H46" s="77">
        <v>7.78</v>
      </c>
      <c r="I46" s="59">
        <v>5.94</v>
      </c>
      <c r="J46" s="59">
        <v>7.08</v>
      </c>
      <c r="K46" s="59">
        <v>6.97</v>
      </c>
      <c r="L46" s="59">
        <v>6.82</v>
      </c>
      <c r="M46" s="59">
        <v>5.86</v>
      </c>
      <c r="N46" s="59">
        <v>3.48</v>
      </c>
      <c r="O46" s="59">
        <v>4.24</v>
      </c>
      <c r="P46" s="61">
        <v>3.1280000000000001</v>
      </c>
      <c r="Q46" s="61">
        <v>4.8049999999999997</v>
      </c>
      <c r="R46" s="60">
        <v>3.96</v>
      </c>
      <c r="S46" s="13">
        <f t="shared" si="20"/>
        <v>6.0617692307692295</v>
      </c>
      <c r="T46" s="4">
        <f t="shared" ca="1" si="21"/>
        <v>0</v>
      </c>
      <c r="U46" s="4">
        <f t="shared" ca="1" si="22"/>
        <v>122</v>
      </c>
      <c r="V46" s="4">
        <f t="shared" ca="1" si="23"/>
        <v>238</v>
      </c>
      <c r="W46" s="13">
        <f t="shared" ca="1" si="24"/>
        <v>8.1595555555555563</v>
      </c>
      <c r="X46" s="5">
        <f t="shared" ca="1" si="25"/>
        <v>0.34606832509196672</v>
      </c>
      <c r="Y46" s="15">
        <f t="shared" si="26"/>
        <v>0.10561797752808988</v>
      </c>
      <c r="Z46" s="15">
        <f t="shared" si="27"/>
        <v>0.14395886889460163</v>
      </c>
      <c r="AA46" s="15">
        <f t="shared" si="28"/>
        <v>0.30976430976430969</v>
      </c>
      <c r="AB46" s="15">
        <f t="shared" si="29"/>
        <v>-0.16101694915254228</v>
      </c>
      <c r="AC46" s="15">
        <f t="shared" si="30"/>
        <v>1.5781922525107683E-2</v>
      </c>
      <c r="AD46" s="15">
        <f t="shared" si="31"/>
        <v>2.1994134897360684E-2</v>
      </c>
      <c r="AE46" s="15">
        <f t="shared" si="32"/>
        <v>0.16382252559726962</v>
      </c>
      <c r="AF46" s="15">
        <f t="shared" si="33"/>
        <v>0.68390804597701149</v>
      </c>
      <c r="AG46" s="15">
        <f t="shared" si="34"/>
        <v>-0.179245283018868</v>
      </c>
      <c r="AH46" s="15">
        <f t="shared" si="35"/>
        <v>0.35549872122762149</v>
      </c>
      <c r="AI46" s="15">
        <f t="shared" si="36"/>
        <v>-0.34901144640998949</v>
      </c>
      <c r="AJ46" s="15">
        <f t="shared" si="37"/>
        <v>0.21338383838383823</v>
      </c>
      <c r="AK46" s="5">
        <f t="shared" si="38"/>
        <v>-0.34901144640998949</v>
      </c>
    </row>
    <row r="47" spans="1:37" x14ac:dyDescent="0.25">
      <c r="A47" s="52" t="s">
        <v>275</v>
      </c>
      <c r="B47" s="52" t="s">
        <v>280</v>
      </c>
      <c r="C47" s="90">
        <v>31</v>
      </c>
      <c r="D47" s="90">
        <v>12</v>
      </c>
      <c r="E47" s="90">
        <v>2015</v>
      </c>
      <c r="F47" s="65">
        <v>17.2</v>
      </c>
      <c r="G47" s="77">
        <v>15.2</v>
      </c>
      <c r="H47" s="77">
        <v>12.2</v>
      </c>
      <c r="I47" s="59">
        <v>10.07</v>
      </c>
      <c r="J47" s="59">
        <v>9.35</v>
      </c>
      <c r="K47" s="59">
        <v>7.77</v>
      </c>
      <c r="L47" s="59">
        <v>6</v>
      </c>
      <c r="M47" s="59">
        <v>4.92</v>
      </c>
      <c r="N47" s="59">
        <v>3.56</v>
      </c>
      <c r="O47" s="59">
        <v>3.11</v>
      </c>
      <c r="P47" s="59">
        <v>2.68</v>
      </c>
      <c r="Q47" s="59">
        <v>2</v>
      </c>
      <c r="R47" s="60">
        <v>1.78</v>
      </c>
      <c r="S47" s="13">
        <f t="shared" si="20"/>
        <v>7.3723076923076922</v>
      </c>
      <c r="T47" s="4">
        <f t="shared" ca="1" si="21"/>
        <v>0</v>
      </c>
      <c r="U47" s="4">
        <f t="shared" ca="1" si="22"/>
        <v>122</v>
      </c>
      <c r="V47" s="4">
        <f t="shared" ca="1" si="23"/>
        <v>238</v>
      </c>
      <c r="W47" s="13">
        <f t="shared" ca="1" si="24"/>
        <v>13.216666666666667</v>
      </c>
      <c r="X47" s="5">
        <f t="shared" ca="1" si="25"/>
        <v>0.79274485253199778</v>
      </c>
      <c r="Y47" s="15">
        <f t="shared" si="26"/>
        <v>0.13157894736842102</v>
      </c>
      <c r="Z47" s="15">
        <f t="shared" si="27"/>
        <v>0.24590163934426235</v>
      </c>
      <c r="AA47" s="15">
        <f t="shared" si="28"/>
        <v>0.21151936444885799</v>
      </c>
      <c r="AB47" s="15">
        <f t="shared" si="29"/>
        <v>7.7005347593583018E-2</v>
      </c>
      <c r="AC47" s="15">
        <f t="shared" si="30"/>
        <v>0.20334620334620346</v>
      </c>
      <c r="AD47" s="15">
        <f t="shared" si="31"/>
        <v>0.29499999999999993</v>
      </c>
      <c r="AE47" s="15">
        <f t="shared" si="32"/>
        <v>0.21951219512195119</v>
      </c>
      <c r="AF47" s="15">
        <f t="shared" si="33"/>
        <v>0.3820224719101124</v>
      </c>
      <c r="AG47" s="15">
        <f t="shared" si="34"/>
        <v>0.14469453376205799</v>
      </c>
      <c r="AH47" s="15">
        <f t="shared" si="35"/>
        <v>0.16044776119402981</v>
      </c>
      <c r="AI47" s="15">
        <f t="shared" si="36"/>
        <v>0.34000000000000008</v>
      </c>
      <c r="AJ47" s="15">
        <f t="shared" si="37"/>
        <v>0.12359550561797761</v>
      </c>
      <c r="AK47" s="5">
        <f t="shared" si="38"/>
        <v>7.7005347593583018E-2</v>
      </c>
    </row>
    <row r="48" spans="1:37" x14ac:dyDescent="0.25">
      <c r="A48" t="s">
        <v>83</v>
      </c>
      <c r="B48" t="s">
        <v>84</v>
      </c>
      <c r="C48" s="56">
        <v>31</v>
      </c>
      <c r="D48" s="56">
        <v>12</v>
      </c>
      <c r="E48" s="56">
        <v>2015</v>
      </c>
      <c r="F48" s="65">
        <v>7.22</v>
      </c>
      <c r="G48" s="77">
        <v>6.71</v>
      </c>
      <c r="H48" s="77">
        <v>6.21</v>
      </c>
      <c r="I48" s="59">
        <v>5.34</v>
      </c>
      <c r="J48" s="59">
        <v>5.13</v>
      </c>
      <c r="K48" s="59">
        <v>4.91</v>
      </c>
      <c r="L48" s="59">
        <v>4.32</v>
      </c>
      <c r="M48" s="59">
        <v>4.01</v>
      </c>
      <c r="N48" s="59">
        <v>3.42</v>
      </c>
      <c r="O48" s="59">
        <v>3.49</v>
      </c>
      <c r="P48" s="59">
        <v>3.36</v>
      </c>
      <c r="Q48" s="59">
        <v>2.98</v>
      </c>
      <c r="R48" s="60">
        <v>2.6</v>
      </c>
      <c r="S48" s="13">
        <f t="shared" si="20"/>
        <v>4.592307692307692</v>
      </c>
      <c r="T48" s="4">
        <f t="shared" ca="1" si="21"/>
        <v>0</v>
      </c>
      <c r="U48" s="4">
        <f t="shared" ca="1" si="22"/>
        <v>122</v>
      </c>
      <c r="V48" s="4">
        <f t="shared" ca="1" si="23"/>
        <v>238</v>
      </c>
      <c r="W48" s="13">
        <f t="shared" ca="1" si="24"/>
        <v>6.3794444444444451</v>
      </c>
      <c r="X48" s="5">
        <f t="shared" ca="1" si="25"/>
        <v>0.38915875674669675</v>
      </c>
      <c r="Y48" s="15">
        <f t="shared" si="26"/>
        <v>7.6005961251862875E-2</v>
      </c>
      <c r="Z48" s="15">
        <f t="shared" si="27"/>
        <v>8.0515297906602168E-2</v>
      </c>
      <c r="AA48" s="15">
        <f t="shared" si="28"/>
        <v>0.16292134831460681</v>
      </c>
      <c r="AB48" s="15">
        <f t="shared" si="29"/>
        <v>4.0935672514619936E-2</v>
      </c>
      <c r="AC48" s="15">
        <f t="shared" si="30"/>
        <v>4.4806517311609007E-2</v>
      </c>
      <c r="AD48" s="15">
        <f t="shared" si="31"/>
        <v>0.13657407407407396</v>
      </c>
      <c r="AE48" s="15">
        <f t="shared" si="32"/>
        <v>7.7306733167082475E-2</v>
      </c>
      <c r="AF48" s="15">
        <f t="shared" si="33"/>
        <v>0.17251461988304095</v>
      </c>
      <c r="AG48" s="15">
        <f t="shared" si="34"/>
        <v>-2.0057306590257951E-2</v>
      </c>
      <c r="AH48" s="15">
        <f t="shared" si="35"/>
        <v>3.8690476190476275E-2</v>
      </c>
      <c r="AI48" s="15">
        <f t="shared" si="36"/>
        <v>0.12751677852348986</v>
      </c>
      <c r="AJ48" s="15">
        <f t="shared" si="37"/>
        <v>0.14615384615384608</v>
      </c>
      <c r="AK48" s="5">
        <f t="shared" si="38"/>
        <v>-2.0057306590257951E-2</v>
      </c>
    </row>
    <row r="49" spans="1:37" x14ac:dyDescent="0.25">
      <c r="A49" t="s">
        <v>85</v>
      </c>
      <c r="B49" t="s">
        <v>86</v>
      </c>
      <c r="C49" s="56">
        <v>31</v>
      </c>
      <c r="D49" s="56">
        <v>12</v>
      </c>
      <c r="E49" s="56">
        <v>2015</v>
      </c>
      <c r="F49" s="65">
        <v>5.32</v>
      </c>
      <c r="G49" s="77">
        <v>4.82</v>
      </c>
      <c r="H49" s="77">
        <v>4.51</v>
      </c>
      <c r="I49" s="59">
        <v>3.3</v>
      </c>
      <c r="J49" s="59">
        <v>2.78</v>
      </c>
      <c r="K49" s="59">
        <v>3.74</v>
      </c>
      <c r="L49" s="59">
        <v>4.29</v>
      </c>
      <c r="M49" s="59">
        <v>4.18</v>
      </c>
      <c r="N49" s="59">
        <v>4.03</v>
      </c>
      <c r="O49" s="59">
        <v>2.94</v>
      </c>
      <c r="P49" s="59">
        <v>3.89</v>
      </c>
      <c r="Q49" s="59">
        <v>2.95</v>
      </c>
      <c r="R49" s="60">
        <v>1.68</v>
      </c>
      <c r="S49" s="13">
        <f t="shared" si="20"/>
        <v>3.7253846153846153</v>
      </c>
      <c r="T49" s="4">
        <f t="shared" ca="1" si="21"/>
        <v>0</v>
      </c>
      <c r="U49" s="4">
        <f t="shared" ca="1" si="22"/>
        <v>122</v>
      </c>
      <c r="V49" s="4">
        <f t="shared" ca="1" si="23"/>
        <v>238</v>
      </c>
      <c r="W49" s="13">
        <f t="shared" ca="1" si="24"/>
        <v>4.6150555555555552</v>
      </c>
      <c r="X49" s="5">
        <f t="shared" ca="1" si="25"/>
        <v>0.23881317824121862</v>
      </c>
      <c r="Y49" s="15">
        <f t="shared" si="26"/>
        <v>0.10373443983402497</v>
      </c>
      <c r="Z49" s="15">
        <f t="shared" si="27"/>
        <v>6.8736141906873716E-2</v>
      </c>
      <c r="AA49" s="15">
        <f t="shared" si="28"/>
        <v>0.3666666666666667</v>
      </c>
      <c r="AB49" s="15">
        <f t="shared" si="29"/>
        <v>0.18705035971223016</v>
      </c>
      <c r="AC49" s="15">
        <f t="shared" si="30"/>
        <v>-0.25668449197860976</v>
      </c>
      <c r="AD49" s="15">
        <f t="shared" si="31"/>
        <v>-0.12820512820512819</v>
      </c>
      <c r="AE49" s="15">
        <f t="shared" si="32"/>
        <v>2.6315789473684292E-2</v>
      </c>
      <c r="AF49" s="15">
        <f t="shared" si="33"/>
        <v>3.7220843672456372E-2</v>
      </c>
      <c r="AG49" s="15">
        <f t="shared" si="34"/>
        <v>0.37074829931972797</v>
      </c>
      <c r="AH49" s="15">
        <f t="shared" si="35"/>
        <v>-0.24421593830334198</v>
      </c>
      <c r="AI49" s="15">
        <f t="shared" si="36"/>
        <v>0.31864406779661003</v>
      </c>
      <c r="AJ49" s="15">
        <f t="shared" si="37"/>
        <v>0.75595238095238115</v>
      </c>
      <c r="AK49" s="5">
        <f t="shared" si="38"/>
        <v>-0.25668449197860976</v>
      </c>
    </row>
    <row r="50" spans="1:37" x14ac:dyDescent="0.25">
      <c r="A50" t="s">
        <v>87</v>
      </c>
      <c r="B50" t="s">
        <v>88</v>
      </c>
      <c r="C50" s="56">
        <v>30</v>
      </c>
      <c r="D50" s="56">
        <v>6</v>
      </c>
      <c r="E50" s="56">
        <v>2015</v>
      </c>
      <c r="F50" s="65">
        <v>1.04</v>
      </c>
      <c r="G50" s="77">
        <v>0.96900000000000008</v>
      </c>
      <c r="H50" s="77">
        <v>0.877</v>
      </c>
      <c r="I50" s="59">
        <v>0.89300000000000002</v>
      </c>
      <c r="J50" s="59">
        <v>0.99</v>
      </c>
      <c r="K50" s="59">
        <v>0.77</v>
      </c>
      <c r="L50" s="59">
        <v>0.76</v>
      </c>
      <c r="M50" s="59">
        <v>0.66</v>
      </c>
      <c r="N50" s="59">
        <v>0.65</v>
      </c>
      <c r="O50" s="59">
        <v>0.59</v>
      </c>
      <c r="P50" s="59">
        <v>0.55000000000000004</v>
      </c>
      <c r="Q50" s="59">
        <v>0.67</v>
      </c>
      <c r="R50" s="60">
        <v>0.46</v>
      </c>
      <c r="S50" s="13">
        <f t="shared" si="20"/>
        <v>0.75992307692307703</v>
      </c>
      <c r="T50" s="4">
        <f t="shared" ca="1" si="21"/>
        <v>0</v>
      </c>
      <c r="U50" s="4">
        <f t="shared" ca="1" si="22"/>
        <v>303</v>
      </c>
      <c r="V50" s="4">
        <f t="shared" ca="1" si="23"/>
        <v>57</v>
      </c>
      <c r="W50" s="13">
        <f t="shared" ca="1" si="24"/>
        <v>0.95443333333333336</v>
      </c>
      <c r="X50" s="5">
        <f t="shared" ca="1" si="25"/>
        <v>0.25596045483685925</v>
      </c>
      <c r="Y50" s="15">
        <f t="shared" si="26"/>
        <v>7.3271413828689402E-2</v>
      </c>
      <c r="Z50" s="15">
        <f t="shared" si="27"/>
        <v>0.10490307867730908</v>
      </c>
      <c r="AA50" s="15">
        <f t="shared" si="28"/>
        <v>-1.7917133258678608E-2</v>
      </c>
      <c r="AB50" s="15">
        <f t="shared" si="29"/>
        <v>-9.7979797979797945E-2</v>
      </c>
      <c r="AC50" s="15">
        <f t="shared" si="30"/>
        <v>0.28571428571428559</v>
      </c>
      <c r="AD50" s="15">
        <f t="shared" si="31"/>
        <v>1.3157894736842035E-2</v>
      </c>
      <c r="AE50" s="15">
        <f t="shared" si="32"/>
        <v>0.15151515151515138</v>
      </c>
      <c r="AF50" s="15">
        <f t="shared" si="33"/>
        <v>1.538461538461533E-2</v>
      </c>
      <c r="AG50" s="15">
        <f t="shared" si="34"/>
        <v>0.10169491525423746</v>
      </c>
      <c r="AH50" s="15">
        <f t="shared" si="35"/>
        <v>7.2727272727272529E-2</v>
      </c>
      <c r="AI50" s="15">
        <f t="shared" si="36"/>
        <v>-0.17910447761194026</v>
      </c>
      <c r="AJ50" s="15">
        <f t="shared" si="37"/>
        <v>0.45652173913043481</v>
      </c>
      <c r="AK50" s="5">
        <f t="shared" si="38"/>
        <v>-0.17910447761194026</v>
      </c>
    </row>
    <row r="51" spans="1:37" x14ac:dyDescent="0.25">
      <c r="A51" t="s">
        <v>89</v>
      </c>
      <c r="B51" t="s">
        <v>90</v>
      </c>
      <c r="C51" s="56">
        <v>31</v>
      </c>
      <c r="D51" s="56">
        <v>3</v>
      </c>
      <c r="E51" s="56">
        <v>2015</v>
      </c>
      <c r="F51" s="65">
        <v>2.4500000000000002</v>
      </c>
      <c r="G51" s="77">
        <v>2.25</v>
      </c>
      <c r="H51" s="77">
        <v>2.31</v>
      </c>
      <c r="I51" s="59">
        <v>2.09</v>
      </c>
      <c r="J51" s="59">
        <v>2.04</v>
      </c>
      <c r="K51" s="59">
        <v>2.64</v>
      </c>
      <c r="L51" s="59">
        <v>1.52</v>
      </c>
      <c r="M51" s="59">
        <v>1.22</v>
      </c>
      <c r="N51" s="59">
        <v>1.25</v>
      </c>
      <c r="O51" s="59">
        <v>1.34</v>
      </c>
      <c r="P51" s="59">
        <v>1.1000000000000001</v>
      </c>
      <c r="Q51" s="59"/>
      <c r="R51" s="60"/>
      <c r="S51" s="13">
        <f t="shared" si="20"/>
        <v>1.8372727272727274</v>
      </c>
      <c r="T51" s="4">
        <f t="shared" ca="1" si="21"/>
        <v>32</v>
      </c>
      <c r="U51" s="4">
        <f t="shared" ca="1" si="22"/>
        <v>328</v>
      </c>
      <c r="V51" s="4">
        <f t="shared" ca="1" si="23"/>
        <v>0</v>
      </c>
      <c r="W51" s="13">
        <f t="shared" ca="1" si="24"/>
        <v>2.2677777777777779</v>
      </c>
      <c r="X51" s="5">
        <f t="shared" ca="1" si="25"/>
        <v>0.2343174446093792</v>
      </c>
      <c r="Y51" s="15">
        <f t="shared" si="26"/>
        <v>8.8888888888889017E-2</v>
      </c>
      <c r="Z51" s="15">
        <f t="shared" si="27"/>
        <v>-2.5974025974025983E-2</v>
      </c>
      <c r="AA51" s="15">
        <f t="shared" si="28"/>
        <v>0.10526315789473695</v>
      </c>
      <c r="AB51" s="15">
        <f t="shared" si="29"/>
        <v>2.450980392156854E-2</v>
      </c>
      <c r="AC51" s="15">
        <f t="shared" si="30"/>
        <v>-0.22727272727272729</v>
      </c>
      <c r="AD51" s="15">
        <f t="shared" si="31"/>
        <v>0.73684210526315796</v>
      </c>
      <c r="AE51" s="15">
        <f t="shared" si="32"/>
        <v>0.24590163934426235</v>
      </c>
      <c r="AF51" s="15">
        <f t="shared" si="33"/>
        <v>-2.4000000000000021E-2</v>
      </c>
      <c r="AG51" s="15">
        <f t="shared" si="34"/>
        <v>-6.7164179104477695E-2</v>
      </c>
      <c r="AH51" s="15">
        <f t="shared" si="35"/>
        <v>0.21818181818181825</v>
      </c>
      <c r="AI51" s="15">
        <f t="shared" si="36"/>
        <v>99.999989999999997</v>
      </c>
      <c r="AJ51" s="15">
        <f t="shared" si="37"/>
        <v>99.999989999999997</v>
      </c>
      <c r="AK51" s="5">
        <f t="shared" si="38"/>
        <v>-0.22727272727272729</v>
      </c>
    </row>
    <row r="52" spans="1:37" x14ac:dyDescent="0.25">
      <c r="A52" t="s">
        <v>91</v>
      </c>
      <c r="B52" t="s">
        <v>92</v>
      </c>
      <c r="C52" s="56">
        <v>31</v>
      </c>
      <c r="D52" s="56">
        <v>12</v>
      </c>
      <c r="E52" s="56">
        <v>2015</v>
      </c>
      <c r="F52" s="65">
        <v>2.7600000000000002</v>
      </c>
      <c r="G52" s="77">
        <v>2.54</v>
      </c>
      <c r="H52" s="77">
        <v>2.36</v>
      </c>
      <c r="I52" s="61">
        <v>2.3050000000000002</v>
      </c>
      <c r="J52" s="61">
        <v>2.2210000000000001</v>
      </c>
      <c r="K52" s="59">
        <v>2.5</v>
      </c>
      <c r="L52" s="59">
        <v>2.37</v>
      </c>
      <c r="M52" s="59">
        <v>2.14</v>
      </c>
      <c r="N52" s="59">
        <v>1.95</v>
      </c>
      <c r="O52" s="59">
        <v>1.55</v>
      </c>
      <c r="P52" s="59">
        <v>1.28</v>
      </c>
      <c r="Q52" s="59">
        <v>0.92</v>
      </c>
      <c r="R52" s="60">
        <v>0.9</v>
      </c>
      <c r="S52" s="13">
        <f t="shared" si="20"/>
        <v>1.9843076923076925</v>
      </c>
      <c r="T52" s="4">
        <f t="shared" ca="1" si="21"/>
        <v>0</v>
      </c>
      <c r="U52" s="4">
        <f t="shared" ca="1" si="22"/>
        <v>122</v>
      </c>
      <c r="V52" s="4">
        <f t="shared" ca="1" si="23"/>
        <v>238</v>
      </c>
      <c r="W52" s="13">
        <f t="shared" ca="1" si="24"/>
        <v>2.4209999999999998</v>
      </c>
      <c r="X52" s="5">
        <f t="shared" ca="1" si="25"/>
        <v>0.22007287951620391</v>
      </c>
      <c r="Y52" s="15">
        <f t="shared" si="26"/>
        <v>8.6614173228346525E-2</v>
      </c>
      <c r="Z52" s="15">
        <f t="shared" si="27"/>
        <v>7.6271186440677985E-2</v>
      </c>
      <c r="AA52" s="15">
        <f t="shared" si="28"/>
        <v>2.3861171366594158E-2</v>
      </c>
      <c r="AB52" s="15">
        <f t="shared" si="29"/>
        <v>3.7820801440792362E-2</v>
      </c>
      <c r="AC52" s="15">
        <f t="shared" si="30"/>
        <v>-0.11159999999999992</v>
      </c>
      <c r="AD52" s="15">
        <f t="shared" si="31"/>
        <v>5.4852320675105481E-2</v>
      </c>
      <c r="AE52" s="15">
        <f t="shared" si="32"/>
        <v>0.10747663551401865</v>
      </c>
      <c r="AF52" s="15">
        <f t="shared" si="33"/>
        <v>9.7435897435897534E-2</v>
      </c>
      <c r="AG52" s="15">
        <f t="shared" si="34"/>
        <v>0.25806451612903225</v>
      </c>
      <c r="AH52" s="15">
        <f t="shared" si="35"/>
        <v>0.2109375</v>
      </c>
      <c r="AI52" s="15">
        <f t="shared" si="36"/>
        <v>0.39130434782608692</v>
      </c>
      <c r="AJ52" s="15">
        <f t="shared" si="37"/>
        <v>2.2222222222222143E-2</v>
      </c>
      <c r="AK52" s="5">
        <f t="shared" si="38"/>
        <v>-0.11159999999999992</v>
      </c>
    </row>
    <row r="53" spans="1:37" x14ac:dyDescent="0.25">
      <c r="A53" s="52" t="s">
        <v>288</v>
      </c>
      <c r="B53" s="52" t="s">
        <v>289</v>
      </c>
      <c r="C53" s="90">
        <v>31</v>
      </c>
      <c r="D53" s="90">
        <v>8</v>
      </c>
      <c r="E53" s="90">
        <v>2015</v>
      </c>
      <c r="F53" s="65">
        <v>5.72</v>
      </c>
      <c r="G53" s="77">
        <v>5.16</v>
      </c>
      <c r="H53" s="77">
        <v>4.72</v>
      </c>
      <c r="I53" s="59">
        <v>4.5199999999999996</v>
      </c>
      <c r="J53" s="61">
        <v>4.21</v>
      </c>
      <c r="K53" s="59">
        <v>3.84</v>
      </c>
      <c r="L53" s="59">
        <v>3.4</v>
      </c>
      <c r="M53" s="59">
        <v>2.66</v>
      </c>
      <c r="N53" s="59">
        <v>2.44</v>
      </c>
      <c r="O53" s="59">
        <v>2.65</v>
      </c>
      <c r="P53" s="59">
        <v>1.97</v>
      </c>
      <c r="Q53" s="59">
        <v>1.59</v>
      </c>
      <c r="R53" s="60">
        <v>1.56</v>
      </c>
      <c r="S53" s="13">
        <f t="shared" si="20"/>
        <v>3.4184615384615382</v>
      </c>
      <c r="T53" s="4">
        <f t="shared" ca="1" si="21"/>
        <v>0</v>
      </c>
      <c r="U53" s="4">
        <f t="shared" ca="1" si="22"/>
        <v>242</v>
      </c>
      <c r="V53" s="4">
        <f t="shared" ca="1" si="23"/>
        <v>118</v>
      </c>
      <c r="W53" s="13">
        <f t="shared" ca="1" si="24"/>
        <v>5.0157777777777772</v>
      </c>
      <c r="X53" s="5">
        <f t="shared" ca="1" si="25"/>
        <v>0.4672617261726173</v>
      </c>
      <c r="Y53" s="15">
        <f t="shared" si="26"/>
        <v>0.10852713178294571</v>
      </c>
      <c r="Z53" s="15">
        <f t="shared" si="27"/>
        <v>9.3220338983051043E-2</v>
      </c>
      <c r="AA53" s="15">
        <f t="shared" si="28"/>
        <v>4.4247787610619538E-2</v>
      </c>
      <c r="AB53" s="15">
        <f t="shared" si="29"/>
        <v>7.3634204275534243E-2</v>
      </c>
      <c r="AC53" s="15">
        <f t="shared" si="30"/>
        <v>9.6354166666666741E-2</v>
      </c>
      <c r="AD53" s="15">
        <f t="shared" si="31"/>
        <v>0.12941176470588234</v>
      </c>
      <c r="AE53" s="15">
        <f t="shared" si="32"/>
        <v>0.27819548872180433</v>
      </c>
      <c r="AF53" s="15">
        <f t="shared" si="33"/>
        <v>9.0163934426229497E-2</v>
      </c>
      <c r="AG53" s="15">
        <f t="shared" si="34"/>
        <v>-7.9245283018867907E-2</v>
      </c>
      <c r="AH53" s="15">
        <f t="shared" si="35"/>
        <v>0.34517766497461921</v>
      </c>
      <c r="AI53" s="15">
        <f t="shared" si="36"/>
        <v>0.23899371069182385</v>
      </c>
      <c r="AJ53" s="15">
        <f t="shared" si="37"/>
        <v>1.9230769230769162E-2</v>
      </c>
      <c r="AK53" s="5">
        <f t="shared" si="38"/>
        <v>-7.9245283018867907E-2</v>
      </c>
    </row>
    <row r="54" spans="1:37" x14ac:dyDescent="0.25">
      <c r="A54" t="s">
        <v>257</v>
      </c>
      <c r="B54" t="s">
        <v>258</v>
      </c>
      <c r="C54" s="56">
        <v>30</v>
      </c>
      <c r="D54" s="56">
        <v>4</v>
      </c>
      <c r="E54" s="56">
        <v>2015</v>
      </c>
      <c r="F54" s="65">
        <v>3.76</v>
      </c>
      <c r="G54" s="77">
        <v>3.41</v>
      </c>
      <c r="H54" s="77">
        <v>3.71</v>
      </c>
      <c r="I54" s="61">
        <v>3.78</v>
      </c>
      <c r="J54" s="59">
        <v>3.37</v>
      </c>
      <c r="K54" s="59">
        <v>3.41</v>
      </c>
      <c r="L54" s="59">
        <v>2.86</v>
      </c>
      <c r="M54" s="59">
        <v>2.79</v>
      </c>
      <c r="N54" s="61">
        <v>2.4700000000000002</v>
      </c>
      <c r="O54" s="61">
        <v>2.19</v>
      </c>
      <c r="P54" s="59">
        <v>2.41</v>
      </c>
      <c r="Q54" s="59">
        <v>2.09</v>
      </c>
      <c r="R54" s="62">
        <v>1.9</v>
      </c>
      <c r="S54" s="13">
        <f t="shared" si="20"/>
        <v>2.9346153846153844</v>
      </c>
      <c r="T54" s="4">
        <f t="shared" ca="1" si="21"/>
        <v>3</v>
      </c>
      <c r="U54" s="4">
        <f t="shared" ca="1" si="22"/>
        <v>357</v>
      </c>
      <c r="V54" s="4">
        <f t="shared" ca="1" si="23"/>
        <v>0</v>
      </c>
      <c r="W54" s="13">
        <f t="shared" ca="1" si="24"/>
        <v>3.4129166666666668</v>
      </c>
      <c r="X54" s="5">
        <f t="shared" ca="1" si="25"/>
        <v>0.16298602009611196</v>
      </c>
      <c r="Y54" s="15">
        <f t="shared" si="26"/>
        <v>0.10263929618768319</v>
      </c>
      <c r="Z54" s="15">
        <f t="shared" si="27"/>
        <v>-8.0862533692722338E-2</v>
      </c>
      <c r="AA54" s="15">
        <f t="shared" si="28"/>
        <v>-1.851851851851849E-2</v>
      </c>
      <c r="AB54" s="15">
        <f t="shared" si="29"/>
        <v>0.12166172106824913</v>
      </c>
      <c r="AC54" s="15">
        <f t="shared" si="30"/>
        <v>-1.1730205278592365E-2</v>
      </c>
      <c r="AD54" s="15">
        <f t="shared" si="31"/>
        <v>0.19230769230769251</v>
      </c>
      <c r="AE54" s="15">
        <f t="shared" si="32"/>
        <v>2.5089605734766929E-2</v>
      </c>
      <c r="AF54" s="15">
        <f t="shared" si="33"/>
        <v>0.12955465587044523</v>
      </c>
      <c r="AG54" s="15">
        <f t="shared" si="34"/>
        <v>0.12785388127853903</v>
      </c>
      <c r="AH54" s="15">
        <f t="shared" si="35"/>
        <v>-9.1286307053942028E-2</v>
      </c>
      <c r="AI54" s="15">
        <f t="shared" si="36"/>
        <v>0.15311004784689008</v>
      </c>
      <c r="AJ54" s="15">
        <f t="shared" si="37"/>
        <v>9.9999999999999867E-2</v>
      </c>
      <c r="AK54" s="5">
        <f t="shared" si="38"/>
        <v>-9.1286307053942028E-2</v>
      </c>
    </row>
    <row r="55" spans="1:37" x14ac:dyDescent="0.25">
      <c r="A55" t="s">
        <v>93</v>
      </c>
      <c r="B55" t="s">
        <v>94</v>
      </c>
      <c r="C55" s="56">
        <v>31</v>
      </c>
      <c r="D55" s="56">
        <v>12</v>
      </c>
      <c r="E55" s="56">
        <v>2015</v>
      </c>
      <c r="F55" s="65">
        <v>3.21</v>
      </c>
      <c r="G55" s="77">
        <v>3.02</v>
      </c>
      <c r="H55" s="77">
        <v>2.77</v>
      </c>
      <c r="I55" s="59">
        <v>2.56</v>
      </c>
      <c r="J55" s="59">
        <v>2.2599999999999998</v>
      </c>
      <c r="K55" s="59">
        <v>2.06</v>
      </c>
      <c r="L55" s="59">
        <v>1.64</v>
      </c>
      <c r="M55" s="59">
        <v>1.87</v>
      </c>
      <c r="N55" s="59">
        <v>1.54</v>
      </c>
      <c r="O55" s="61">
        <v>1.48</v>
      </c>
      <c r="P55" s="61">
        <v>1.48</v>
      </c>
      <c r="Q55" s="61">
        <v>1.51</v>
      </c>
      <c r="R55" s="62">
        <v>1.22</v>
      </c>
      <c r="S55" s="13">
        <f t="shared" si="20"/>
        <v>2.0476923076923077</v>
      </c>
      <c r="T55" s="4">
        <f t="shared" ca="1" si="21"/>
        <v>0</v>
      </c>
      <c r="U55" s="4">
        <f t="shared" ca="1" si="22"/>
        <v>122</v>
      </c>
      <c r="V55" s="4">
        <f t="shared" ca="1" si="23"/>
        <v>238</v>
      </c>
      <c r="W55" s="13">
        <f t="shared" ca="1" si="24"/>
        <v>2.8547222222222222</v>
      </c>
      <c r="X55" s="5">
        <f t="shared" ca="1" si="25"/>
        <v>0.39411678771182901</v>
      </c>
      <c r="Y55" s="15">
        <f t="shared" si="26"/>
        <v>6.29139072847682E-2</v>
      </c>
      <c r="Z55" s="15">
        <f t="shared" si="27"/>
        <v>9.0252707581227387E-2</v>
      </c>
      <c r="AA55" s="15">
        <f t="shared" si="28"/>
        <v>8.203125E-2</v>
      </c>
      <c r="AB55" s="15">
        <f t="shared" si="29"/>
        <v>0.13274336283185861</v>
      </c>
      <c r="AC55" s="15">
        <f t="shared" si="30"/>
        <v>9.7087378640776656E-2</v>
      </c>
      <c r="AD55" s="15">
        <f t="shared" si="31"/>
        <v>0.25609756097560976</v>
      </c>
      <c r="AE55" s="15">
        <f t="shared" si="32"/>
        <v>-0.12299465240641716</v>
      </c>
      <c r="AF55" s="15">
        <f t="shared" si="33"/>
        <v>0.21428571428571441</v>
      </c>
      <c r="AG55" s="15">
        <f t="shared" si="34"/>
        <v>4.0540540540540571E-2</v>
      </c>
      <c r="AH55" s="15">
        <f t="shared" si="35"/>
        <v>0</v>
      </c>
      <c r="AI55" s="15">
        <f t="shared" si="36"/>
        <v>-1.9867549668874163E-2</v>
      </c>
      <c r="AJ55" s="15">
        <f t="shared" si="37"/>
        <v>0.23770491803278682</v>
      </c>
      <c r="AK55" s="5">
        <f t="shared" si="38"/>
        <v>-0.12299465240641716</v>
      </c>
    </row>
    <row r="56" spans="1:37" x14ac:dyDescent="0.25">
      <c r="A56" s="52" t="s">
        <v>274</v>
      </c>
      <c r="B56" s="52" t="s">
        <v>279</v>
      </c>
      <c r="C56" s="90">
        <v>31</v>
      </c>
      <c r="D56" s="90">
        <v>12</v>
      </c>
      <c r="E56" s="90">
        <v>2015</v>
      </c>
      <c r="F56" s="65">
        <v>6.53</v>
      </c>
      <c r="G56" s="77">
        <v>5.64</v>
      </c>
      <c r="H56" s="77">
        <v>4.8899999999999997</v>
      </c>
      <c r="I56" s="59">
        <v>3.96</v>
      </c>
      <c r="J56" s="59">
        <v>3.74</v>
      </c>
      <c r="K56" s="59">
        <v>3.02</v>
      </c>
      <c r="L56" s="59">
        <v>2.57</v>
      </c>
      <c r="M56" s="59">
        <v>2.4900000000000002</v>
      </c>
      <c r="N56" s="59">
        <v>2.5499999999999998</v>
      </c>
      <c r="O56" s="59">
        <v>2.1800000000000002</v>
      </c>
      <c r="P56" s="59">
        <v>1.92</v>
      </c>
      <c r="Q56" s="59">
        <v>1.6</v>
      </c>
      <c r="R56" s="60">
        <v>1.45</v>
      </c>
      <c r="S56" s="13">
        <f t="shared" si="20"/>
        <v>3.2723076923076921</v>
      </c>
      <c r="T56" s="4">
        <f t="shared" ca="1" si="21"/>
        <v>0</v>
      </c>
      <c r="U56" s="4">
        <f t="shared" ca="1" si="22"/>
        <v>122</v>
      </c>
      <c r="V56" s="4">
        <f t="shared" ca="1" si="23"/>
        <v>238</v>
      </c>
      <c r="W56" s="13">
        <f t="shared" ca="1" si="24"/>
        <v>5.1441666666666661</v>
      </c>
      <c r="X56" s="5">
        <f t="shared" ca="1" si="25"/>
        <v>0.57203024604293984</v>
      </c>
      <c r="Y56" s="15">
        <f t="shared" si="26"/>
        <v>0.15780141843971651</v>
      </c>
      <c r="Z56" s="15">
        <f t="shared" si="27"/>
        <v>0.15337423312883436</v>
      </c>
      <c r="AA56" s="15">
        <f t="shared" si="28"/>
        <v>0.23484848484848486</v>
      </c>
      <c r="AB56" s="15">
        <f t="shared" si="29"/>
        <v>5.8823529411764719E-2</v>
      </c>
      <c r="AC56" s="15">
        <f t="shared" si="30"/>
        <v>0.23841059602649017</v>
      </c>
      <c r="AD56" s="15">
        <f t="shared" si="31"/>
        <v>0.17509727626459148</v>
      </c>
      <c r="AE56" s="15">
        <f t="shared" si="32"/>
        <v>3.2128514056224855E-2</v>
      </c>
      <c r="AF56" s="15">
        <f t="shared" si="33"/>
        <v>-2.3529411764705688E-2</v>
      </c>
      <c r="AG56" s="15">
        <f t="shared" si="34"/>
        <v>0.16972477064220159</v>
      </c>
      <c r="AH56" s="15">
        <f t="shared" si="35"/>
        <v>0.13541666666666674</v>
      </c>
      <c r="AI56" s="15">
        <f t="shared" si="36"/>
        <v>0.19999999999999996</v>
      </c>
      <c r="AJ56" s="15">
        <f t="shared" si="37"/>
        <v>0.10344827586206895</v>
      </c>
      <c r="AK56" s="5">
        <f t="shared" si="38"/>
        <v>-2.3529411764705688E-2</v>
      </c>
    </row>
    <row r="57" spans="1:37" x14ac:dyDescent="0.25">
      <c r="A57" s="52" t="s">
        <v>291</v>
      </c>
      <c r="B57" s="52" t="s">
        <v>292</v>
      </c>
      <c r="C57" s="90">
        <v>31</v>
      </c>
      <c r="D57" s="90">
        <v>7</v>
      </c>
      <c r="E57" s="90">
        <v>2015</v>
      </c>
      <c r="F57" s="65">
        <v>2.09</v>
      </c>
      <c r="G57" s="77">
        <v>1.92</v>
      </c>
      <c r="H57" s="77">
        <v>1.75</v>
      </c>
      <c r="I57" s="59">
        <v>1.49</v>
      </c>
      <c r="J57" s="59">
        <v>1.86</v>
      </c>
      <c r="K57" s="59">
        <v>1.49</v>
      </c>
      <c r="L57" s="61">
        <v>1.29</v>
      </c>
      <c r="M57" s="59">
        <v>1.33</v>
      </c>
      <c r="N57" s="59">
        <v>1.05</v>
      </c>
      <c r="O57" s="59">
        <v>1.31</v>
      </c>
      <c r="P57" s="59">
        <v>1.17</v>
      </c>
      <c r="Q57" s="59">
        <v>0.89</v>
      </c>
      <c r="R57" s="60">
        <v>0.87</v>
      </c>
      <c r="S57" s="13">
        <f t="shared" si="20"/>
        <v>1.423846153846154</v>
      </c>
      <c r="T57" s="4">
        <f t="shared" ca="1" si="21"/>
        <v>0</v>
      </c>
      <c r="U57" s="4">
        <f t="shared" ca="1" si="22"/>
        <v>272</v>
      </c>
      <c r="V57" s="4">
        <f t="shared" ca="1" si="23"/>
        <v>88</v>
      </c>
      <c r="W57" s="13">
        <f t="shared" ca="1" si="24"/>
        <v>1.8784444444444444</v>
      </c>
      <c r="X57" s="5">
        <f t="shared" ca="1" si="25"/>
        <v>0.31927486643856162</v>
      </c>
      <c r="Y57" s="15">
        <f t="shared" si="26"/>
        <v>8.8541666666666741E-2</v>
      </c>
      <c r="Z57" s="15">
        <f t="shared" si="27"/>
        <v>9.7142857142857197E-2</v>
      </c>
      <c r="AA57" s="15">
        <f t="shared" si="28"/>
        <v>0.17449664429530198</v>
      </c>
      <c r="AB57" s="15">
        <f t="shared" si="29"/>
        <v>-0.19892473118279574</v>
      </c>
      <c r="AC57" s="15">
        <f t="shared" si="30"/>
        <v>0.24832214765100669</v>
      </c>
      <c r="AD57" s="15">
        <f t="shared" si="31"/>
        <v>0.15503875968992253</v>
      </c>
      <c r="AE57" s="15">
        <f t="shared" si="32"/>
        <v>-3.007518796992481E-2</v>
      </c>
      <c r="AF57" s="15">
        <f t="shared" si="33"/>
        <v>0.26666666666666661</v>
      </c>
      <c r="AG57" s="15">
        <f t="shared" si="34"/>
        <v>-0.19847328244274809</v>
      </c>
      <c r="AH57" s="15">
        <f t="shared" si="35"/>
        <v>0.11965811965811968</v>
      </c>
      <c r="AI57" s="15">
        <f t="shared" si="36"/>
        <v>0.31460674157303359</v>
      </c>
      <c r="AJ57" s="15">
        <f t="shared" si="37"/>
        <v>2.2988505747126409E-2</v>
      </c>
      <c r="AK57" s="5">
        <f t="shared" si="38"/>
        <v>-0.19892473118279574</v>
      </c>
    </row>
    <row r="58" spans="1:37" x14ac:dyDescent="0.25">
      <c r="A58" s="52" t="s">
        <v>272</v>
      </c>
      <c r="B58" s="52" t="s">
        <v>277</v>
      </c>
      <c r="C58" s="90">
        <v>31</v>
      </c>
      <c r="D58" s="90">
        <v>12</v>
      </c>
      <c r="E58" s="90">
        <v>2015</v>
      </c>
      <c r="F58" s="65">
        <v>5.48</v>
      </c>
      <c r="G58" s="77">
        <v>4.68</v>
      </c>
      <c r="H58" s="77">
        <v>3.88</v>
      </c>
      <c r="I58" s="59">
        <v>3.92</v>
      </c>
      <c r="J58" s="61">
        <v>3.1070000000000002</v>
      </c>
      <c r="K58" s="59">
        <v>2.95</v>
      </c>
      <c r="L58" s="59">
        <v>3.68</v>
      </c>
      <c r="M58" s="59">
        <v>3.28</v>
      </c>
      <c r="N58" s="59">
        <v>1.92</v>
      </c>
      <c r="O58" s="61">
        <v>2.5099999999999998</v>
      </c>
      <c r="P58" s="59">
        <v>3.22</v>
      </c>
      <c r="Q58" s="59">
        <v>3.38</v>
      </c>
      <c r="R58" s="60">
        <v>2.0699999999999998</v>
      </c>
      <c r="S58" s="13">
        <f t="shared" si="20"/>
        <v>3.3905384615384615</v>
      </c>
      <c r="T58" s="4">
        <f t="shared" ca="1" si="21"/>
        <v>0</v>
      </c>
      <c r="U58" s="4">
        <f t="shared" ca="1" si="22"/>
        <v>122</v>
      </c>
      <c r="V58" s="4">
        <f t="shared" ca="1" si="23"/>
        <v>238</v>
      </c>
      <c r="W58" s="13">
        <f t="shared" ca="1" si="24"/>
        <v>4.1511111111111108</v>
      </c>
      <c r="X58" s="5">
        <f t="shared" ca="1" si="25"/>
        <v>0.22432208281971189</v>
      </c>
      <c r="Y58" s="15">
        <f t="shared" si="26"/>
        <v>0.170940170940171</v>
      </c>
      <c r="Z58" s="15">
        <f t="shared" si="27"/>
        <v>0.20618556701030921</v>
      </c>
      <c r="AA58" s="15">
        <f t="shared" si="28"/>
        <v>-1.0204081632653073E-2</v>
      </c>
      <c r="AB58" s="15">
        <f t="shared" si="29"/>
        <v>0.26166720308979707</v>
      </c>
      <c r="AC58" s="15">
        <f t="shared" si="30"/>
        <v>5.3220338983050786E-2</v>
      </c>
      <c r="AD58" s="15">
        <f t="shared" si="31"/>
        <v>-0.19836956521739124</v>
      </c>
      <c r="AE58" s="15">
        <f t="shared" si="32"/>
        <v>0.12195121951219523</v>
      </c>
      <c r="AF58" s="15">
        <f t="shared" si="33"/>
        <v>0.70833333333333326</v>
      </c>
      <c r="AG58" s="15">
        <f t="shared" si="34"/>
        <v>-0.23505976095617531</v>
      </c>
      <c r="AH58" s="15">
        <f t="shared" si="35"/>
        <v>-0.22049689440993803</v>
      </c>
      <c r="AI58" s="15">
        <f t="shared" si="36"/>
        <v>-4.7337278106508784E-2</v>
      </c>
      <c r="AJ58" s="15">
        <f t="shared" si="37"/>
        <v>0.63285024154589387</v>
      </c>
      <c r="AK58" s="5">
        <f t="shared" si="38"/>
        <v>-0.23505976095617531</v>
      </c>
    </row>
    <row r="59" spans="1:37" x14ac:dyDescent="0.25">
      <c r="A59" t="s">
        <v>97</v>
      </c>
      <c r="B59" t="s">
        <v>98</v>
      </c>
      <c r="C59" s="56">
        <v>31</v>
      </c>
      <c r="D59" s="56">
        <v>5</v>
      </c>
      <c r="E59" s="56">
        <v>2015</v>
      </c>
      <c r="F59" s="65">
        <v>3.23</v>
      </c>
      <c r="G59" s="77">
        <v>2.99</v>
      </c>
      <c r="H59" s="77">
        <v>2.54</v>
      </c>
      <c r="I59" s="59">
        <v>2.83</v>
      </c>
      <c r="J59" s="59">
        <v>2.79</v>
      </c>
      <c r="K59" s="59">
        <v>2.35</v>
      </c>
      <c r="L59" s="59">
        <v>2.7</v>
      </c>
      <c r="M59" s="59">
        <v>2.2400000000000002</v>
      </c>
      <c r="N59" s="59">
        <v>1.9</v>
      </c>
      <c r="O59" s="59">
        <v>1.86</v>
      </c>
      <c r="P59" s="59">
        <v>1.59</v>
      </c>
      <c r="Q59" s="59">
        <v>1.45</v>
      </c>
      <c r="R59" s="60">
        <v>1.54</v>
      </c>
      <c r="S59" s="13">
        <f t="shared" si="20"/>
        <v>2.3084615384615383</v>
      </c>
      <c r="T59" s="4">
        <f t="shared" ca="1" si="21"/>
        <v>0</v>
      </c>
      <c r="U59" s="4">
        <f t="shared" ca="1" si="22"/>
        <v>332</v>
      </c>
      <c r="V59" s="4">
        <f t="shared" ca="1" si="23"/>
        <v>28</v>
      </c>
      <c r="W59" s="13">
        <f t="shared" ca="1" si="24"/>
        <v>2.9550000000000001</v>
      </c>
      <c r="X59" s="5">
        <f t="shared" ca="1" si="25"/>
        <v>0.28007330889703441</v>
      </c>
      <c r="Y59" s="15">
        <f t="shared" si="26"/>
        <v>8.026755852842804E-2</v>
      </c>
      <c r="Z59" s="15">
        <f t="shared" si="27"/>
        <v>0.17716535433070879</v>
      </c>
      <c r="AA59" s="15">
        <f t="shared" si="28"/>
        <v>-0.10247349823321561</v>
      </c>
      <c r="AB59" s="15">
        <f t="shared" si="29"/>
        <v>1.4336917562723928E-2</v>
      </c>
      <c r="AC59" s="15">
        <f t="shared" si="30"/>
        <v>0.18723404255319154</v>
      </c>
      <c r="AD59" s="15">
        <f t="shared" si="31"/>
        <v>-0.12962962962962965</v>
      </c>
      <c r="AE59" s="15">
        <f t="shared" si="32"/>
        <v>0.20535714285714279</v>
      </c>
      <c r="AF59" s="15">
        <f t="shared" si="33"/>
        <v>0.17894736842105274</v>
      </c>
      <c r="AG59" s="15">
        <f t="shared" si="34"/>
        <v>2.1505376344086002E-2</v>
      </c>
      <c r="AH59" s="15">
        <f t="shared" si="35"/>
        <v>0.16981132075471694</v>
      </c>
      <c r="AI59" s="15">
        <f t="shared" si="36"/>
        <v>9.6551724137931227E-2</v>
      </c>
      <c r="AJ59" s="15">
        <f t="shared" si="37"/>
        <v>-5.8441558441558517E-2</v>
      </c>
      <c r="AK59" s="5">
        <f t="shared" si="38"/>
        <v>-0.12962962962962965</v>
      </c>
    </row>
    <row r="60" spans="1:37" x14ac:dyDescent="0.25">
      <c r="A60" t="s">
        <v>259</v>
      </c>
      <c r="B60" t="s">
        <v>260</v>
      </c>
      <c r="C60" s="56">
        <v>31</v>
      </c>
      <c r="D60" s="56">
        <v>12</v>
      </c>
      <c r="E60" s="56">
        <v>2015</v>
      </c>
      <c r="F60" s="65">
        <v>4.01</v>
      </c>
      <c r="G60" s="77">
        <v>3.67</v>
      </c>
      <c r="H60" s="77">
        <v>3.51</v>
      </c>
      <c r="I60" s="61">
        <v>3.82</v>
      </c>
      <c r="J60" s="61">
        <v>3.8</v>
      </c>
      <c r="K60" s="61">
        <v>3.62</v>
      </c>
      <c r="L60" s="61">
        <v>3.64</v>
      </c>
      <c r="M60" s="59">
        <v>3.3</v>
      </c>
      <c r="N60" s="59">
        <v>3.16</v>
      </c>
      <c r="O60" s="59">
        <v>2.99</v>
      </c>
      <c r="P60" s="59">
        <v>2.76</v>
      </c>
      <c r="Q60" s="59">
        <v>2.5099999999999998</v>
      </c>
      <c r="R60" s="60">
        <v>2.36</v>
      </c>
      <c r="S60" s="13">
        <f t="shared" si="20"/>
        <v>3.319230769230769</v>
      </c>
      <c r="T60" s="4">
        <f t="shared" ca="1" si="21"/>
        <v>0</v>
      </c>
      <c r="U60" s="4">
        <f t="shared" ca="1" si="22"/>
        <v>122</v>
      </c>
      <c r="V60" s="4">
        <f t="shared" ca="1" si="23"/>
        <v>238</v>
      </c>
      <c r="W60" s="13">
        <f t="shared" ca="1" si="24"/>
        <v>3.564222222222222</v>
      </c>
      <c r="X60" s="5">
        <f t="shared" ca="1" si="25"/>
        <v>7.3809707737865438E-2</v>
      </c>
      <c r="Y60" s="15">
        <f t="shared" si="26"/>
        <v>9.2643051771117202E-2</v>
      </c>
      <c r="Z60" s="15">
        <f t="shared" si="27"/>
        <v>4.5584045584045718E-2</v>
      </c>
      <c r="AA60" s="15">
        <f t="shared" si="28"/>
        <v>-8.1151832460732987E-2</v>
      </c>
      <c r="AB60" s="15">
        <f t="shared" si="29"/>
        <v>5.2631578947368585E-3</v>
      </c>
      <c r="AC60" s="15">
        <f t="shared" si="30"/>
        <v>4.9723756906077332E-2</v>
      </c>
      <c r="AD60" s="15">
        <f t="shared" si="31"/>
        <v>-5.494505494505475E-3</v>
      </c>
      <c r="AE60" s="15">
        <f t="shared" si="32"/>
        <v>0.10303030303030303</v>
      </c>
      <c r="AF60" s="15">
        <f t="shared" si="33"/>
        <v>4.4303797468354222E-2</v>
      </c>
      <c r="AG60" s="15">
        <f t="shared" si="34"/>
        <v>5.6856187290969862E-2</v>
      </c>
      <c r="AH60" s="15">
        <f t="shared" si="35"/>
        <v>8.3333333333333481E-2</v>
      </c>
      <c r="AI60" s="15">
        <f t="shared" si="36"/>
        <v>9.960159362549792E-2</v>
      </c>
      <c r="AJ60" s="15">
        <f t="shared" si="37"/>
        <v>6.3559322033898358E-2</v>
      </c>
      <c r="AK60" s="5">
        <f t="shared" si="38"/>
        <v>-8.1151832460732987E-2</v>
      </c>
    </row>
    <row r="61" spans="1:37" x14ac:dyDescent="0.25">
      <c r="A61" t="s">
        <v>99</v>
      </c>
      <c r="B61" t="s">
        <v>100</v>
      </c>
      <c r="C61" s="56">
        <v>31</v>
      </c>
      <c r="D61" s="56">
        <v>12</v>
      </c>
      <c r="E61" s="56">
        <v>2015</v>
      </c>
      <c r="F61" s="65">
        <v>6.51</v>
      </c>
      <c r="G61" s="77">
        <v>6.17</v>
      </c>
      <c r="H61" s="77">
        <v>5.31</v>
      </c>
      <c r="I61" s="61">
        <v>5.51</v>
      </c>
      <c r="J61" s="59">
        <v>5.53</v>
      </c>
      <c r="K61" s="59">
        <v>4.42</v>
      </c>
      <c r="L61" s="59">
        <v>3.99</v>
      </c>
      <c r="M61" s="59">
        <v>4.45</v>
      </c>
      <c r="N61" s="59">
        <v>4.5199999999999996</v>
      </c>
      <c r="O61" s="59">
        <v>4.04</v>
      </c>
      <c r="P61" s="59">
        <v>4.09</v>
      </c>
      <c r="Q61" s="59">
        <v>3.25</v>
      </c>
      <c r="R61" s="60">
        <v>3.28</v>
      </c>
      <c r="S61" s="13">
        <f t="shared" si="20"/>
        <v>4.6976923076923081</v>
      </c>
      <c r="T61" s="4">
        <f t="shared" ca="1" si="21"/>
        <v>0</v>
      </c>
      <c r="U61" s="4">
        <f t="shared" ca="1" si="22"/>
        <v>122</v>
      </c>
      <c r="V61" s="4">
        <f t="shared" ca="1" si="23"/>
        <v>238</v>
      </c>
      <c r="W61" s="13">
        <f t="shared" ca="1" si="24"/>
        <v>5.6014444444444447</v>
      </c>
      <c r="X61" s="5">
        <f t="shared" ca="1" si="25"/>
        <v>0.19238214799046638</v>
      </c>
      <c r="Y61" s="15">
        <f t="shared" si="26"/>
        <v>5.5105348460291692E-2</v>
      </c>
      <c r="Z61" s="15">
        <f t="shared" si="27"/>
        <v>0.16195856873822989</v>
      </c>
      <c r="AA61" s="15">
        <f t="shared" si="28"/>
        <v>-3.629764065335761E-2</v>
      </c>
      <c r="AB61" s="15">
        <f t="shared" si="29"/>
        <v>-3.6166365280290158E-3</v>
      </c>
      <c r="AC61" s="15">
        <f t="shared" si="30"/>
        <v>0.25113122171945701</v>
      </c>
      <c r="AD61" s="15">
        <f t="shared" si="31"/>
        <v>0.10776942355889707</v>
      </c>
      <c r="AE61" s="15">
        <f t="shared" si="32"/>
        <v>-0.10337078651685394</v>
      </c>
      <c r="AF61" s="15">
        <f t="shared" si="33"/>
        <v>-1.5486725663716672E-2</v>
      </c>
      <c r="AG61" s="15">
        <f t="shared" si="34"/>
        <v>0.1188118811881187</v>
      </c>
      <c r="AH61" s="15">
        <f t="shared" si="35"/>
        <v>-1.2224938875305624E-2</v>
      </c>
      <c r="AI61" s="15">
        <f t="shared" si="36"/>
        <v>0.25846153846153852</v>
      </c>
      <c r="AJ61" s="15">
        <f t="shared" si="37"/>
        <v>-9.1463414634145312E-3</v>
      </c>
      <c r="AK61" s="5">
        <f t="shared" si="38"/>
        <v>-0.10337078651685394</v>
      </c>
    </row>
    <row r="62" spans="1:37" x14ac:dyDescent="0.25">
      <c r="A62" t="s">
        <v>261</v>
      </c>
      <c r="B62" t="s">
        <v>262</v>
      </c>
      <c r="C62" s="56">
        <v>31</v>
      </c>
      <c r="D62" s="56">
        <v>12</v>
      </c>
      <c r="E62" s="56">
        <v>2015</v>
      </c>
      <c r="F62" s="65">
        <v>5.05</v>
      </c>
      <c r="G62" s="77">
        <v>4.16</v>
      </c>
      <c r="H62" s="77">
        <v>3.46</v>
      </c>
      <c r="I62" s="59">
        <v>3.1</v>
      </c>
      <c r="J62" s="59">
        <v>2.56</v>
      </c>
      <c r="K62" s="59">
        <v>2.19</v>
      </c>
      <c r="L62" s="59">
        <v>1.49</v>
      </c>
      <c r="M62" s="59">
        <v>1.41</v>
      </c>
      <c r="N62" s="59">
        <v>1.1200000000000001</v>
      </c>
      <c r="O62" s="61">
        <v>1.05</v>
      </c>
      <c r="P62" s="59">
        <v>0.79</v>
      </c>
      <c r="Q62" s="61">
        <v>0.34</v>
      </c>
      <c r="R62" s="60"/>
      <c r="S62" s="13">
        <f t="shared" si="20"/>
        <v>2.226666666666667</v>
      </c>
      <c r="T62" s="4">
        <f t="shared" ca="1" si="21"/>
        <v>0</v>
      </c>
      <c r="U62" s="4">
        <f t="shared" ca="1" si="22"/>
        <v>122</v>
      </c>
      <c r="V62" s="4">
        <f t="shared" ca="1" si="23"/>
        <v>238</v>
      </c>
      <c r="W62" s="13">
        <f t="shared" ca="1" si="24"/>
        <v>3.697222222222222</v>
      </c>
      <c r="X62" s="5">
        <f t="shared" ca="1" si="25"/>
        <v>0.66042914171656641</v>
      </c>
      <c r="Y62" s="15">
        <f t="shared" si="26"/>
        <v>0.21394230769230771</v>
      </c>
      <c r="Z62" s="15">
        <f t="shared" si="27"/>
        <v>0.20231213872832376</v>
      </c>
      <c r="AA62" s="15">
        <f t="shared" si="28"/>
        <v>0.11612903225806437</v>
      </c>
      <c r="AB62" s="15">
        <f t="shared" si="29"/>
        <v>0.2109375</v>
      </c>
      <c r="AC62" s="15">
        <f t="shared" si="30"/>
        <v>0.16894977168949787</v>
      </c>
      <c r="AD62" s="15">
        <f t="shared" si="31"/>
        <v>0.46979865771812079</v>
      </c>
      <c r="AE62" s="15">
        <f t="shared" si="32"/>
        <v>5.6737588652482351E-2</v>
      </c>
      <c r="AF62" s="15">
        <f t="shared" si="33"/>
        <v>0.25892857142857117</v>
      </c>
      <c r="AG62" s="15">
        <f t="shared" si="34"/>
        <v>6.6666666666666652E-2</v>
      </c>
      <c r="AH62" s="15">
        <f t="shared" si="35"/>
        <v>0.32911392405063289</v>
      </c>
      <c r="AI62" s="15">
        <f t="shared" si="36"/>
        <v>1.3235294117647056</v>
      </c>
      <c r="AJ62" s="15">
        <f t="shared" si="37"/>
        <v>99.999989999999997</v>
      </c>
      <c r="AK62" s="5">
        <f t="shared" si="38"/>
        <v>5.6737588652482351E-2</v>
      </c>
    </row>
    <row r="63" spans="1:37" x14ac:dyDescent="0.25">
      <c r="A63" t="s">
        <v>263</v>
      </c>
      <c r="B63" t="s">
        <v>264</v>
      </c>
      <c r="C63" s="56">
        <v>31</v>
      </c>
      <c r="D63" s="56">
        <v>12</v>
      </c>
      <c r="E63" s="56">
        <v>2015</v>
      </c>
      <c r="F63" s="65">
        <v>5.7</v>
      </c>
      <c r="G63" s="77">
        <v>5.19</v>
      </c>
      <c r="H63" s="77">
        <v>4.57</v>
      </c>
      <c r="I63" s="59">
        <v>4.6100000000000003</v>
      </c>
      <c r="J63" s="59">
        <v>3.6</v>
      </c>
      <c r="K63" s="59">
        <v>3.05</v>
      </c>
      <c r="L63" s="59">
        <v>2.4900000000000002</v>
      </c>
      <c r="M63" s="59">
        <v>2.15</v>
      </c>
      <c r="N63" s="59">
        <v>1.69</v>
      </c>
      <c r="O63" s="59">
        <v>1.87</v>
      </c>
      <c r="P63" s="59">
        <v>2.58</v>
      </c>
      <c r="Q63" s="59">
        <v>2.58</v>
      </c>
      <c r="R63" s="60">
        <v>1.84</v>
      </c>
      <c r="S63" s="13">
        <f t="shared" si="20"/>
        <v>3.224615384615384</v>
      </c>
      <c r="T63" s="4">
        <f t="shared" ca="1" si="21"/>
        <v>0</v>
      </c>
      <c r="U63" s="4">
        <f t="shared" ca="1" si="22"/>
        <v>122</v>
      </c>
      <c r="V63" s="4">
        <f t="shared" ca="1" si="23"/>
        <v>238</v>
      </c>
      <c r="W63" s="13">
        <f t="shared" ca="1" si="24"/>
        <v>4.7801111111111112</v>
      </c>
      <c r="X63" s="5">
        <f t="shared" ca="1" si="25"/>
        <v>0.48238178541136589</v>
      </c>
      <c r="Y63" s="15">
        <f t="shared" si="26"/>
        <v>9.8265895953757232E-2</v>
      </c>
      <c r="Z63" s="15">
        <f t="shared" si="27"/>
        <v>0.1356673960612691</v>
      </c>
      <c r="AA63" s="15">
        <f t="shared" si="28"/>
        <v>-8.6767895878524515E-3</v>
      </c>
      <c r="AB63" s="15">
        <f t="shared" si="29"/>
        <v>0.28055555555555567</v>
      </c>
      <c r="AC63" s="15">
        <f t="shared" si="30"/>
        <v>0.18032786885245922</v>
      </c>
      <c r="AD63" s="15">
        <f t="shared" si="31"/>
        <v>0.22489959839357421</v>
      </c>
      <c r="AE63" s="15">
        <f t="shared" si="32"/>
        <v>0.15813953488372112</v>
      </c>
      <c r="AF63" s="15">
        <f t="shared" si="33"/>
        <v>0.27218934911242609</v>
      </c>
      <c r="AG63" s="15">
        <f t="shared" si="34"/>
        <v>-9.6256684491978661E-2</v>
      </c>
      <c r="AH63" s="15">
        <f t="shared" si="35"/>
        <v>-0.27519379844961234</v>
      </c>
      <c r="AI63" s="15">
        <f t="shared" si="36"/>
        <v>0</v>
      </c>
      <c r="AJ63" s="15">
        <f t="shared" si="37"/>
        <v>0.40217391304347827</v>
      </c>
      <c r="AK63" s="5">
        <f t="shared" si="38"/>
        <v>-0.27519379844961234</v>
      </c>
    </row>
    <row r="64" spans="1:37" x14ac:dyDescent="0.25">
      <c r="A64" s="52" t="s">
        <v>276</v>
      </c>
      <c r="B64" s="52" t="s">
        <v>281</v>
      </c>
      <c r="C64" s="90">
        <v>31</v>
      </c>
      <c r="D64" s="90">
        <v>12</v>
      </c>
      <c r="E64" s="90">
        <v>2015</v>
      </c>
      <c r="F64" s="65">
        <v>8.07</v>
      </c>
      <c r="G64" s="77">
        <v>7.02</v>
      </c>
      <c r="H64" s="77">
        <v>6.25</v>
      </c>
      <c r="I64" s="59">
        <v>5.7</v>
      </c>
      <c r="J64" s="59">
        <v>5.5</v>
      </c>
      <c r="K64" s="59">
        <v>5.28</v>
      </c>
      <c r="L64" s="59">
        <v>4.7300000000000004</v>
      </c>
      <c r="M64" s="59">
        <v>4.0999999999999996</v>
      </c>
      <c r="N64" s="59">
        <v>3.24</v>
      </c>
      <c r="O64" s="59">
        <v>2.4</v>
      </c>
      <c r="P64" s="59">
        <v>3.42</v>
      </c>
      <c r="Q64" s="59">
        <v>2.97</v>
      </c>
      <c r="R64" s="60">
        <v>2.48</v>
      </c>
      <c r="S64" s="13">
        <f t="shared" si="20"/>
        <v>4.7046153846153844</v>
      </c>
      <c r="T64" s="4">
        <f t="shared" ca="1" si="21"/>
        <v>0</v>
      </c>
      <c r="U64" s="4">
        <f t="shared" ca="1" si="22"/>
        <v>122</v>
      </c>
      <c r="V64" s="4">
        <f t="shared" ca="1" si="23"/>
        <v>238</v>
      </c>
      <c r="W64" s="13">
        <f t="shared" ca="1" si="24"/>
        <v>6.5109444444444442</v>
      </c>
      <c r="X64" s="5">
        <f t="shared" ca="1" si="25"/>
        <v>0.38394829590872748</v>
      </c>
      <c r="Y64" s="15">
        <f t="shared" si="26"/>
        <v>0.14957264957264971</v>
      </c>
      <c r="Z64" s="15">
        <f t="shared" si="27"/>
        <v>0.12319999999999998</v>
      </c>
      <c r="AA64" s="15">
        <f t="shared" si="28"/>
        <v>9.6491228070175294E-2</v>
      </c>
      <c r="AB64" s="15">
        <f t="shared" si="29"/>
        <v>3.6363636363636376E-2</v>
      </c>
      <c r="AC64" s="15">
        <f t="shared" si="30"/>
        <v>4.1666666666666519E-2</v>
      </c>
      <c r="AD64" s="15">
        <f t="shared" si="31"/>
        <v>0.11627906976744184</v>
      </c>
      <c r="AE64" s="15">
        <f t="shared" si="32"/>
        <v>0.15365853658536599</v>
      </c>
      <c r="AF64" s="15">
        <f t="shared" si="33"/>
        <v>0.26543209876543195</v>
      </c>
      <c r="AG64" s="15">
        <f t="shared" si="34"/>
        <v>0.35000000000000009</v>
      </c>
      <c r="AH64" s="15">
        <f t="shared" si="35"/>
        <v>-0.29824561403508776</v>
      </c>
      <c r="AI64" s="15">
        <f t="shared" si="36"/>
        <v>0.15151515151515138</v>
      </c>
      <c r="AJ64" s="15">
        <f t="shared" si="37"/>
        <v>0.19758064516129048</v>
      </c>
      <c r="AK64" s="5">
        <f t="shared" si="38"/>
        <v>-0.29824561403508776</v>
      </c>
    </row>
    <row r="65" spans="1:37" x14ac:dyDescent="0.25">
      <c r="A65" t="s">
        <v>265</v>
      </c>
      <c r="B65" t="s">
        <v>266</v>
      </c>
      <c r="C65" s="56">
        <v>30</v>
      </c>
      <c r="D65" s="56">
        <v>9</v>
      </c>
      <c r="E65" s="56">
        <v>2015</v>
      </c>
      <c r="F65" s="65">
        <v>3.49</v>
      </c>
      <c r="G65" s="77">
        <v>2.99</v>
      </c>
      <c r="H65" s="77">
        <v>2.59</v>
      </c>
      <c r="I65" s="59">
        <v>2.15</v>
      </c>
      <c r="J65" s="59">
        <v>1.9</v>
      </c>
      <c r="K65" s="61">
        <v>1.54</v>
      </c>
      <c r="L65" s="59">
        <v>1.29</v>
      </c>
      <c r="M65" s="59">
        <v>1</v>
      </c>
      <c r="N65" s="59">
        <v>0.78</v>
      </c>
      <c r="O65" s="59">
        <v>0.24</v>
      </c>
      <c r="P65" s="59"/>
      <c r="Q65" s="59"/>
      <c r="R65" s="60"/>
      <c r="S65" s="13">
        <f t="shared" si="20"/>
        <v>1.7969999999999999</v>
      </c>
      <c r="T65" s="4">
        <f t="shared" ca="1" si="21"/>
        <v>0</v>
      </c>
      <c r="U65" s="4">
        <f t="shared" ca="1" si="22"/>
        <v>213</v>
      </c>
      <c r="V65" s="4">
        <f t="shared" ca="1" si="23"/>
        <v>147</v>
      </c>
      <c r="W65" s="13">
        <f t="shared" ca="1" si="24"/>
        <v>2.8266666666666667</v>
      </c>
      <c r="X65" s="5">
        <f t="shared" ca="1" si="25"/>
        <v>0.57299202374327596</v>
      </c>
      <c r="Y65" s="15">
        <f t="shared" si="26"/>
        <v>0.16722408026755842</v>
      </c>
      <c r="Z65" s="15">
        <f t="shared" si="27"/>
        <v>0.15444015444015458</v>
      </c>
      <c r="AA65" s="15">
        <f t="shared" si="28"/>
        <v>0.20465116279069773</v>
      </c>
      <c r="AB65" s="15">
        <f t="shared" si="29"/>
        <v>0.13157894736842102</v>
      </c>
      <c r="AC65" s="15">
        <f t="shared" si="30"/>
        <v>0.23376623376623362</v>
      </c>
      <c r="AD65" s="15">
        <f t="shared" si="31"/>
        <v>0.193798449612403</v>
      </c>
      <c r="AE65" s="15">
        <f t="shared" si="32"/>
        <v>0.29000000000000004</v>
      </c>
      <c r="AF65" s="15">
        <f t="shared" si="33"/>
        <v>0.28205128205128194</v>
      </c>
      <c r="AG65" s="15">
        <f t="shared" si="34"/>
        <v>2.2500000000000004</v>
      </c>
      <c r="AH65" s="15">
        <f t="shared" si="35"/>
        <v>99.999989999999997</v>
      </c>
      <c r="AI65" s="15">
        <f t="shared" si="36"/>
        <v>99.999989999999997</v>
      </c>
      <c r="AJ65" s="15">
        <f t="shared" si="37"/>
        <v>99.999989999999997</v>
      </c>
      <c r="AK65" s="5">
        <f t="shared" si="38"/>
        <v>0.13157894736842102</v>
      </c>
    </row>
    <row r="66" spans="1:37" x14ac:dyDescent="0.25">
      <c r="A66" s="52"/>
      <c r="B66" s="52"/>
      <c r="C66" s="90"/>
      <c r="D66" s="90"/>
      <c r="E66" s="90"/>
      <c r="F66" s="93"/>
      <c r="G66" s="94"/>
      <c r="H66" s="94"/>
      <c r="I66" s="95"/>
      <c r="J66" s="95"/>
      <c r="K66" s="95"/>
      <c r="L66" s="95"/>
      <c r="M66" s="95"/>
      <c r="N66" s="95"/>
      <c r="O66" s="95"/>
      <c r="P66" s="95"/>
      <c r="Q66" s="95"/>
      <c r="R66" s="96"/>
      <c r="S66" s="13" t="e">
        <f t="shared" si="20"/>
        <v>#DIV/0!</v>
      </c>
      <c r="T66" s="4">
        <f t="shared" ca="1" si="21"/>
        <v>41553</v>
      </c>
      <c r="U66" s="4">
        <f t="shared" ca="1" si="22"/>
        <v>-41193</v>
      </c>
      <c r="V66" s="4" t="e">
        <f t="shared" ca="1" si="23"/>
        <v>#NUM!</v>
      </c>
      <c r="W66" s="13" t="e">
        <f t="shared" ca="1" si="24"/>
        <v>#NUM!</v>
      </c>
      <c r="X66" s="5" t="e">
        <f t="shared" ca="1" si="25"/>
        <v>#NUM!</v>
      </c>
      <c r="Y66" s="15">
        <f t="shared" si="26"/>
        <v>99.999989999999997</v>
      </c>
      <c r="Z66" s="15">
        <f t="shared" si="27"/>
        <v>99.999989999999997</v>
      </c>
      <c r="AA66" s="15">
        <f t="shared" si="28"/>
        <v>99.999989999999997</v>
      </c>
      <c r="AB66" s="15">
        <f t="shared" si="29"/>
        <v>99.999989999999997</v>
      </c>
      <c r="AC66" s="15">
        <f t="shared" si="30"/>
        <v>99.999989999999997</v>
      </c>
      <c r="AD66" s="15">
        <f t="shared" si="31"/>
        <v>99.999989999999997</v>
      </c>
      <c r="AE66" s="15">
        <f t="shared" si="32"/>
        <v>99.999989999999997</v>
      </c>
      <c r="AF66" s="15">
        <f t="shared" si="33"/>
        <v>99.999989999999997</v>
      </c>
      <c r="AG66" s="15">
        <f t="shared" si="34"/>
        <v>99.999989999999997</v>
      </c>
      <c r="AH66" s="15">
        <f t="shared" si="35"/>
        <v>99.999989999999997</v>
      </c>
      <c r="AI66" s="15">
        <f t="shared" si="36"/>
        <v>99.999989999999997</v>
      </c>
      <c r="AJ66" s="15">
        <f t="shared" si="37"/>
        <v>99.999989999999997</v>
      </c>
      <c r="AK66" s="5">
        <f t="shared" si="38"/>
        <v>99.999989999999997</v>
      </c>
    </row>
    <row r="67" spans="1:37" x14ac:dyDescent="0.25">
      <c r="A67" s="52"/>
      <c r="B67" s="52"/>
      <c r="C67" s="90"/>
      <c r="D67" s="90"/>
      <c r="E67" s="90"/>
      <c r="F67" s="93"/>
      <c r="G67" s="94"/>
      <c r="H67" s="94"/>
      <c r="I67" s="95"/>
      <c r="J67" s="95"/>
      <c r="K67" s="95"/>
      <c r="L67" s="95"/>
      <c r="M67" s="95"/>
      <c r="N67" s="95"/>
      <c r="O67" s="95"/>
      <c r="P67" s="95"/>
      <c r="Q67" s="95"/>
      <c r="R67" s="96"/>
      <c r="S67" s="13" t="e">
        <f t="shared" ref="S67:S101" si="39">AVERAGE(F67:R67)</f>
        <v>#DIV/0!</v>
      </c>
      <c r="T67" s="4">
        <f t="shared" ref="T67:T101" ca="1" si="40">IF(DAYS360(TODAY(),DATE(E67+2,D67,C67))&gt;=720,0,360-U67)</f>
        <v>41553</v>
      </c>
      <c r="U67" s="4">
        <f t="shared" ref="U67:U101" ca="1" si="41">IF(DAYS360(TODAY(),DATE(E67+1,D67,C67))&lt;=360,DAYS360(TODAY(),DATE(E67+1,D67,C67)),360-V67)</f>
        <v>-41193</v>
      </c>
      <c r="V67" s="4" t="e">
        <f t="shared" ref="V67:V101" ca="1" si="42">IF(DATE(E67,D67,C67)&lt;=TODAY(),0,DAYS360(TODAY(),DATE(E67,D67,C67)))</f>
        <v>#NUM!</v>
      </c>
      <c r="W67" s="13" t="e">
        <f t="shared" ref="W67:W101" ca="1" si="43">(F67/360*T67)+(G67/360*U67)+(H67/360*V67)</f>
        <v>#NUM!</v>
      </c>
      <c r="X67" s="5" t="e">
        <f t="shared" ref="X67:X101" ca="1" si="44">IF(W67&lt;0,IF(W67&lt;0,((W67/S67)-1)*-1,(W67/S67)-1),IF(S67&lt;0,ABS((W67/S67)-1),(W67/S67)-1))</f>
        <v>#NUM!</v>
      </c>
      <c r="Y67" s="15">
        <f t="shared" ref="Y67:Y101" si="45">IF(F67&lt;&gt;"",IF(G67&lt;&gt;"",IF(F67&lt;0,IF(G67&lt;0,((F67/G67)-1)*-1,(F67/G67)-1),IF(G67&lt;0,ABS((F67/G67)-1),(F67/G67)-1))),99.99999)</f>
        <v>99.999989999999997</v>
      </c>
      <c r="Z67" s="15">
        <f t="shared" ref="Z67:Z101" si="46">IF(H67&lt;&gt;"",IF(G67&lt;0,IF(H67&lt;0,((G67/H67)-1)*-1,(G67/H67)-1),IF(H67&lt;0,ABS((G67/H67)-1),(G67/H67)-1)),99.99999)</f>
        <v>99.999989999999997</v>
      </c>
      <c r="AA67" s="15">
        <f t="shared" ref="AA67:AA101" si="47">IF(I67&lt;&gt;"",IF(H67&lt;0,IF(I67&lt;0,((H67/I67)-1)*-1,(H67/I67)-1),IF(I67&lt;0,ABS((H67/I67)-1),(H67/I67)-1)),99.99999)</f>
        <v>99.999989999999997</v>
      </c>
      <c r="AB67" s="15">
        <f t="shared" ref="AB67:AB101" si="48">IF(J67&lt;&gt;"",IF(I67&lt;0,IF(J67&lt;0,((I67/J67)-1)*-1,(I67/J67)-1),IF(J67&lt;0,ABS((I67/J67)-1),(I67/J67)-1)),99.99999)</f>
        <v>99.999989999999997</v>
      </c>
      <c r="AC67" s="15">
        <f t="shared" ref="AC67:AC101" si="49">IF(K67&lt;&gt;"",IF(J67&lt;0,IF(K67&lt;0,((J67/K67)-1)*-1,(J67/K67)-1),IF(K67&lt;0,ABS((J67/K67)-1),(J67/K67)-1)),99.99999)</f>
        <v>99.999989999999997</v>
      </c>
      <c r="AD67" s="15">
        <f t="shared" ref="AD67:AD101" si="50">IF(L67&lt;&gt;"",IF(K67&lt;0,IF(L67&lt;0,((K67/L67)-1)*-1,(K67/L67)-1),IF(L67&lt;0,ABS((K67/L67)-1),(K67/L67)-1)),99.99999)</f>
        <v>99.999989999999997</v>
      </c>
      <c r="AE67" s="15">
        <f t="shared" ref="AE67:AE101" si="51">IF(M67&lt;&gt;"",IF(L67&lt;0,IF(M67&lt;0,((L67/M67)-1)*-1,(L67/M67)-1),IF(M67&lt;0,ABS((L67/M67)-1),(L67/M67)-1)),99.99999)</f>
        <v>99.999989999999997</v>
      </c>
      <c r="AF67" s="15">
        <f t="shared" ref="AF67:AF101" si="52">IF(N67&lt;&gt;"",IF(M67&lt;0,IF(N67&lt;0,((M67/N67)-1)*-1,(M67/N67)-1),IF(N67&lt;0,ABS((M67/N67)-1),(M67/N67)-1)),99.99999)</f>
        <v>99.999989999999997</v>
      </c>
      <c r="AG67" s="15">
        <f t="shared" ref="AG67:AG101" si="53">IF(O67&lt;&gt;"",IF(N67&lt;0,IF(O67&lt;0,((N67/O67)-1)*-1,(N67/O67)-1),IF(O67&lt;0,ABS((N67/O67)-1),(N67/O67)-1)),99.99999)</f>
        <v>99.999989999999997</v>
      </c>
      <c r="AH67" s="15">
        <f t="shared" ref="AH67:AH101" si="54">IF(P67&lt;&gt;"",IF(O67&lt;0,IF(P67&lt;0,((O67/P67)-1)*-1,(O67/P67)-1),IF(P67&lt;0,ABS((O67/P67)-1),(O67/P67)-1)),99.99999)</f>
        <v>99.999989999999997</v>
      </c>
      <c r="AI67" s="15">
        <f t="shared" ref="AI67:AI101" si="55">IF(Q67&lt;&gt;"",IF(P67&lt;0,IF(Q67&lt;0,((P67/Q67)-1)*-1,(P67/Q67)-1),IF(Q67&lt;0,ABS((P67/Q67)-1),(P67/Q67)-1)),99.99999)</f>
        <v>99.999989999999997</v>
      </c>
      <c r="AJ67" s="15">
        <f t="shared" ref="AJ67:AJ101" si="56">IF(R67&lt;&gt;"",IF(Q67&lt;0,IF(R67&lt;0,((Q67/R67)-1)*-1,(Q67/R67)-1),IF(R67&lt;0,ABS((Q67/R67)-1),(Q67/R67)-1)),99.99999)</f>
        <v>99.999989999999997</v>
      </c>
      <c r="AK67" s="5">
        <f t="shared" ref="AK67:AK101" si="57">MIN(Y67:AJ67)</f>
        <v>99.999989999999997</v>
      </c>
    </row>
    <row r="68" spans="1:37" x14ac:dyDescent="0.25">
      <c r="A68" s="52"/>
      <c r="B68" s="52"/>
      <c r="C68" s="90"/>
      <c r="D68" s="90"/>
      <c r="E68" s="90"/>
      <c r="F68" s="93"/>
      <c r="G68" s="94"/>
      <c r="H68" s="94"/>
      <c r="I68" s="95"/>
      <c r="J68" s="95"/>
      <c r="K68" s="95"/>
      <c r="L68" s="95"/>
      <c r="M68" s="95"/>
      <c r="N68" s="95"/>
      <c r="O68" s="95"/>
      <c r="P68" s="95"/>
      <c r="Q68" s="95"/>
      <c r="R68" s="96"/>
      <c r="S68" s="13" t="e">
        <f t="shared" si="39"/>
        <v>#DIV/0!</v>
      </c>
      <c r="T68" s="4">
        <f t="shared" ca="1" si="40"/>
        <v>41553</v>
      </c>
      <c r="U68" s="4">
        <f t="shared" ca="1" si="41"/>
        <v>-41193</v>
      </c>
      <c r="V68" s="4" t="e">
        <f t="shared" ca="1" si="42"/>
        <v>#NUM!</v>
      </c>
      <c r="W68" s="13" t="e">
        <f t="shared" ca="1" si="43"/>
        <v>#NUM!</v>
      </c>
      <c r="X68" s="5" t="e">
        <f t="shared" ca="1" si="44"/>
        <v>#NUM!</v>
      </c>
      <c r="Y68" s="15">
        <f t="shared" si="45"/>
        <v>99.999989999999997</v>
      </c>
      <c r="Z68" s="15">
        <f t="shared" si="46"/>
        <v>99.999989999999997</v>
      </c>
      <c r="AA68" s="15">
        <f t="shared" si="47"/>
        <v>99.999989999999997</v>
      </c>
      <c r="AB68" s="15">
        <f t="shared" si="48"/>
        <v>99.999989999999997</v>
      </c>
      <c r="AC68" s="15">
        <f t="shared" si="49"/>
        <v>99.999989999999997</v>
      </c>
      <c r="AD68" s="15">
        <f t="shared" si="50"/>
        <v>99.999989999999997</v>
      </c>
      <c r="AE68" s="15">
        <f t="shared" si="51"/>
        <v>99.999989999999997</v>
      </c>
      <c r="AF68" s="15">
        <f t="shared" si="52"/>
        <v>99.999989999999997</v>
      </c>
      <c r="AG68" s="15">
        <f t="shared" si="53"/>
        <v>99.999989999999997</v>
      </c>
      <c r="AH68" s="15">
        <f t="shared" si="54"/>
        <v>99.999989999999997</v>
      </c>
      <c r="AI68" s="15">
        <f t="shared" si="55"/>
        <v>99.999989999999997</v>
      </c>
      <c r="AJ68" s="15">
        <f t="shared" si="56"/>
        <v>99.999989999999997</v>
      </c>
      <c r="AK68" s="5">
        <f t="shared" si="57"/>
        <v>99.999989999999997</v>
      </c>
    </row>
    <row r="69" spans="1:37" x14ac:dyDescent="0.25">
      <c r="A69" s="52"/>
      <c r="B69" s="52"/>
      <c r="C69" s="90"/>
      <c r="D69" s="90"/>
      <c r="E69" s="90"/>
      <c r="F69" s="93"/>
      <c r="G69" s="94"/>
      <c r="H69" s="94"/>
      <c r="I69" s="95"/>
      <c r="J69" s="95"/>
      <c r="K69" s="95"/>
      <c r="L69" s="95"/>
      <c r="M69" s="95"/>
      <c r="N69" s="95"/>
      <c r="O69" s="95"/>
      <c r="P69" s="95"/>
      <c r="Q69" s="95"/>
      <c r="R69" s="96"/>
      <c r="S69" s="13" t="e">
        <f t="shared" si="39"/>
        <v>#DIV/0!</v>
      </c>
      <c r="T69" s="4">
        <f t="shared" ca="1" si="40"/>
        <v>41553</v>
      </c>
      <c r="U69" s="4">
        <f t="shared" ca="1" si="41"/>
        <v>-41193</v>
      </c>
      <c r="V69" s="4" t="e">
        <f t="shared" ca="1" si="42"/>
        <v>#NUM!</v>
      </c>
      <c r="W69" s="13" t="e">
        <f t="shared" ca="1" si="43"/>
        <v>#NUM!</v>
      </c>
      <c r="X69" s="5" t="e">
        <f t="shared" ca="1" si="44"/>
        <v>#NUM!</v>
      </c>
      <c r="Y69" s="15">
        <f t="shared" si="45"/>
        <v>99.999989999999997</v>
      </c>
      <c r="Z69" s="15">
        <f t="shared" si="46"/>
        <v>99.999989999999997</v>
      </c>
      <c r="AA69" s="15">
        <f t="shared" si="47"/>
        <v>99.999989999999997</v>
      </c>
      <c r="AB69" s="15">
        <f t="shared" si="48"/>
        <v>99.999989999999997</v>
      </c>
      <c r="AC69" s="15">
        <f t="shared" si="49"/>
        <v>99.999989999999997</v>
      </c>
      <c r="AD69" s="15">
        <f t="shared" si="50"/>
        <v>99.999989999999997</v>
      </c>
      <c r="AE69" s="15">
        <f t="shared" si="51"/>
        <v>99.999989999999997</v>
      </c>
      <c r="AF69" s="15">
        <f t="shared" si="52"/>
        <v>99.999989999999997</v>
      </c>
      <c r="AG69" s="15">
        <f t="shared" si="53"/>
        <v>99.999989999999997</v>
      </c>
      <c r="AH69" s="15">
        <f t="shared" si="54"/>
        <v>99.999989999999997</v>
      </c>
      <c r="AI69" s="15">
        <f t="shared" si="55"/>
        <v>99.999989999999997</v>
      </c>
      <c r="AJ69" s="15">
        <f t="shared" si="56"/>
        <v>99.999989999999997</v>
      </c>
      <c r="AK69" s="5">
        <f t="shared" si="57"/>
        <v>99.999989999999997</v>
      </c>
    </row>
    <row r="70" spans="1:37" x14ac:dyDescent="0.25">
      <c r="A70" s="52"/>
      <c r="B70" s="52"/>
      <c r="C70" s="90"/>
      <c r="D70" s="90"/>
      <c r="E70" s="90"/>
      <c r="F70" s="93"/>
      <c r="G70" s="94"/>
      <c r="H70" s="94"/>
      <c r="I70" s="95"/>
      <c r="J70" s="95"/>
      <c r="K70" s="95"/>
      <c r="L70" s="95"/>
      <c r="M70" s="95"/>
      <c r="N70" s="95"/>
      <c r="O70" s="95"/>
      <c r="P70" s="95"/>
      <c r="Q70" s="95"/>
      <c r="R70" s="96"/>
      <c r="S70" s="13" t="e">
        <f t="shared" si="39"/>
        <v>#DIV/0!</v>
      </c>
      <c r="T70" s="4">
        <f t="shared" ca="1" si="40"/>
        <v>41553</v>
      </c>
      <c r="U70" s="4">
        <f t="shared" ca="1" si="41"/>
        <v>-41193</v>
      </c>
      <c r="V70" s="4" t="e">
        <f t="shared" ca="1" si="42"/>
        <v>#NUM!</v>
      </c>
      <c r="W70" s="13" t="e">
        <f t="shared" ca="1" si="43"/>
        <v>#NUM!</v>
      </c>
      <c r="X70" s="5" t="e">
        <f t="shared" ca="1" si="44"/>
        <v>#NUM!</v>
      </c>
      <c r="Y70" s="15">
        <f t="shared" si="45"/>
        <v>99.999989999999997</v>
      </c>
      <c r="Z70" s="15">
        <f t="shared" si="46"/>
        <v>99.999989999999997</v>
      </c>
      <c r="AA70" s="15">
        <f t="shared" si="47"/>
        <v>99.999989999999997</v>
      </c>
      <c r="AB70" s="15">
        <f t="shared" si="48"/>
        <v>99.999989999999997</v>
      </c>
      <c r="AC70" s="15">
        <f t="shared" si="49"/>
        <v>99.999989999999997</v>
      </c>
      <c r="AD70" s="15">
        <f t="shared" si="50"/>
        <v>99.999989999999997</v>
      </c>
      <c r="AE70" s="15">
        <f t="shared" si="51"/>
        <v>99.999989999999997</v>
      </c>
      <c r="AF70" s="15">
        <f t="shared" si="52"/>
        <v>99.999989999999997</v>
      </c>
      <c r="AG70" s="15">
        <f t="shared" si="53"/>
        <v>99.999989999999997</v>
      </c>
      <c r="AH70" s="15">
        <f t="shared" si="54"/>
        <v>99.999989999999997</v>
      </c>
      <c r="AI70" s="15">
        <f t="shared" si="55"/>
        <v>99.999989999999997</v>
      </c>
      <c r="AJ70" s="15">
        <f t="shared" si="56"/>
        <v>99.999989999999997</v>
      </c>
      <c r="AK70" s="5">
        <f t="shared" si="57"/>
        <v>99.999989999999997</v>
      </c>
    </row>
    <row r="71" spans="1:37" x14ac:dyDescent="0.25">
      <c r="A71" s="52"/>
      <c r="B71" s="52"/>
      <c r="C71" s="90"/>
      <c r="D71" s="90"/>
      <c r="E71" s="90"/>
      <c r="F71" s="93"/>
      <c r="G71" s="94"/>
      <c r="H71" s="94"/>
      <c r="I71" s="95"/>
      <c r="J71" s="95"/>
      <c r="K71" s="95"/>
      <c r="L71" s="95"/>
      <c r="M71" s="95"/>
      <c r="N71" s="95"/>
      <c r="O71" s="95"/>
      <c r="P71" s="95"/>
      <c r="Q71" s="95"/>
      <c r="R71" s="96"/>
      <c r="S71" s="13" t="e">
        <f t="shared" si="39"/>
        <v>#DIV/0!</v>
      </c>
      <c r="T71" s="4">
        <f t="shared" ca="1" si="40"/>
        <v>41553</v>
      </c>
      <c r="U71" s="4">
        <f t="shared" ca="1" si="41"/>
        <v>-41193</v>
      </c>
      <c r="V71" s="4" t="e">
        <f t="shared" ca="1" si="42"/>
        <v>#NUM!</v>
      </c>
      <c r="W71" s="13" t="e">
        <f t="shared" ca="1" si="43"/>
        <v>#NUM!</v>
      </c>
      <c r="X71" s="5" t="e">
        <f t="shared" ca="1" si="44"/>
        <v>#NUM!</v>
      </c>
      <c r="Y71" s="15">
        <f t="shared" si="45"/>
        <v>99.999989999999997</v>
      </c>
      <c r="Z71" s="15">
        <f t="shared" si="46"/>
        <v>99.999989999999997</v>
      </c>
      <c r="AA71" s="15">
        <f t="shared" si="47"/>
        <v>99.999989999999997</v>
      </c>
      <c r="AB71" s="15">
        <f t="shared" si="48"/>
        <v>99.999989999999997</v>
      </c>
      <c r="AC71" s="15">
        <f t="shared" si="49"/>
        <v>99.999989999999997</v>
      </c>
      <c r="AD71" s="15">
        <f t="shared" si="50"/>
        <v>99.999989999999997</v>
      </c>
      <c r="AE71" s="15">
        <f t="shared" si="51"/>
        <v>99.999989999999997</v>
      </c>
      <c r="AF71" s="15">
        <f t="shared" si="52"/>
        <v>99.999989999999997</v>
      </c>
      <c r="AG71" s="15">
        <f t="shared" si="53"/>
        <v>99.999989999999997</v>
      </c>
      <c r="AH71" s="15">
        <f t="shared" si="54"/>
        <v>99.999989999999997</v>
      </c>
      <c r="AI71" s="15">
        <f t="shared" si="55"/>
        <v>99.999989999999997</v>
      </c>
      <c r="AJ71" s="15">
        <f t="shared" si="56"/>
        <v>99.999989999999997</v>
      </c>
      <c r="AK71" s="5">
        <f t="shared" si="57"/>
        <v>99.999989999999997</v>
      </c>
    </row>
    <row r="72" spans="1:37" x14ac:dyDescent="0.25">
      <c r="A72" s="52"/>
      <c r="B72" s="52"/>
      <c r="C72" s="90"/>
      <c r="D72" s="90"/>
      <c r="E72" s="90"/>
      <c r="F72" s="93"/>
      <c r="G72" s="94"/>
      <c r="H72" s="94"/>
      <c r="I72" s="95"/>
      <c r="J72" s="95"/>
      <c r="K72" s="95"/>
      <c r="L72" s="95"/>
      <c r="M72" s="95"/>
      <c r="N72" s="95"/>
      <c r="O72" s="95"/>
      <c r="P72" s="95"/>
      <c r="Q72" s="95"/>
      <c r="R72" s="96"/>
      <c r="S72" s="13" t="e">
        <f t="shared" si="39"/>
        <v>#DIV/0!</v>
      </c>
      <c r="T72" s="4">
        <f t="shared" ca="1" si="40"/>
        <v>41553</v>
      </c>
      <c r="U72" s="4">
        <f t="shared" ca="1" si="41"/>
        <v>-41193</v>
      </c>
      <c r="V72" s="4" t="e">
        <f t="shared" ca="1" si="42"/>
        <v>#NUM!</v>
      </c>
      <c r="W72" s="13" t="e">
        <f t="shared" ca="1" si="43"/>
        <v>#NUM!</v>
      </c>
      <c r="X72" s="5" t="e">
        <f t="shared" ca="1" si="44"/>
        <v>#NUM!</v>
      </c>
      <c r="Y72" s="15">
        <f t="shared" si="45"/>
        <v>99.999989999999997</v>
      </c>
      <c r="Z72" s="15">
        <f t="shared" si="46"/>
        <v>99.999989999999997</v>
      </c>
      <c r="AA72" s="15">
        <f t="shared" si="47"/>
        <v>99.999989999999997</v>
      </c>
      <c r="AB72" s="15">
        <f t="shared" si="48"/>
        <v>99.999989999999997</v>
      </c>
      <c r="AC72" s="15">
        <f t="shared" si="49"/>
        <v>99.999989999999997</v>
      </c>
      <c r="AD72" s="15">
        <f t="shared" si="50"/>
        <v>99.999989999999997</v>
      </c>
      <c r="AE72" s="15">
        <f t="shared" si="51"/>
        <v>99.999989999999997</v>
      </c>
      <c r="AF72" s="15">
        <f t="shared" si="52"/>
        <v>99.999989999999997</v>
      </c>
      <c r="AG72" s="15">
        <f t="shared" si="53"/>
        <v>99.999989999999997</v>
      </c>
      <c r="AH72" s="15">
        <f t="shared" si="54"/>
        <v>99.999989999999997</v>
      </c>
      <c r="AI72" s="15">
        <f t="shared" si="55"/>
        <v>99.999989999999997</v>
      </c>
      <c r="AJ72" s="15">
        <f t="shared" si="56"/>
        <v>99.999989999999997</v>
      </c>
      <c r="AK72" s="5">
        <f t="shared" si="57"/>
        <v>99.999989999999997</v>
      </c>
    </row>
    <row r="73" spans="1:37" x14ac:dyDescent="0.25">
      <c r="A73" s="52"/>
      <c r="B73" s="52"/>
      <c r="C73" s="90"/>
      <c r="D73" s="90"/>
      <c r="E73" s="90"/>
      <c r="F73" s="93"/>
      <c r="G73" s="94"/>
      <c r="H73" s="94"/>
      <c r="I73" s="95"/>
      <c r="J73" s="95"/>
      <c r="K73" s="95"/>
      <c r="L73" s="95"/>
      <c r="M73" s="95"/>
      <c r="N73" s="95"/>
      <c r="O73" s="95"/>
      <c r="P73" s="95"/>
      <c r="Q73" s="95"/>
      <c r="R73" s="96"/>
      <c r="S73" s="13" t="e">
        <f t="shared" si="39"/>
        <v>#DIV/0!</v>
      </c>
      <c r="T73" s="4">
        <f t="shared" ca="1" si="40"/>
        <v>41553</v>
      </c>
      <c r="U73" s="4">
        <f t="shared" ca="1" si="41"/>
        <v>-41193</v>
      </c>
      <c r="V73" s="4" t="e">
        <f t="shared" ca="1" si="42"/>
        <v>#NUM!</v>
      </c>
      <c r="W73" s="13" t="e">
        <f t="shared" ca="1" si="43"/>
        <v>#NUM!</v>
      </c>
      <c r="X73" s="5" t="e">
        <f t="shared" ca="1" si="44"/>
        <v>#NUM!</v>
      </c>
      <c r="Y73" s="15">
        <f t="shared" si="45"/>
        <v>99.999989999999997</v>
      </c>
      <c r="Z73" s="15">
        <f t="shared" si="46"/>
        <v>99.999989999999997</v>
      </c>
      <c r="AA73" s="15">
        <f t="shared" si="47"/>
        <v>99.999989999999997</v>
      </c>
      <c r="AB73" s="15">
        <f t="shared" si="48"/>
        <v>99.999989999999997</v>
      </c>
      <c r="AC73" s="15">
        <f t="shared" si="49"/>
        <v>99.999989999999997</v>
      </c>
      <c r="AD73" s="15">
        <f t="shared" si="50"/>
        <v>99.999989999999997</v>
      </c>
      <c r="AE73" s="15">
        <f t="shared" si="51"/>
        <v>99.999989999999997</v>
      </c>
      <c r="AF73" s="15">
        <f t="shared" si="52"/>
        <v>99.999989999999997</v>
      </c>
      <c r="AG73" s="15">
        <f t="shared" si="53"/>
        <v>99.999989999999997</v>
      </c>
      <c r="AH73" s="15">
        <f t="shared" si="54"/>
        <v>99.999989999999997</v>
      </c>
      <c r="AI73" s="15">
        <f t="shared" si="55"/>
        <v>99.999989999999997</v>
      </c>
      <c r="AJ73" s="15">
        <f t="shared" si="56"/>
        <v>99.999989999999997</v>
      </c>
      <c r="AK73" s="5">
        <f t="shared" si="57"/>
        <v>99.999989999999997</v>
      </c>
    </row>
    <row r="74" spans="1:37" x14ac:dyDescent="0.25">
      <c r="A74" s="52"/>
      <c r="B74" s="52"/>
      <c r="C74" s="90"/>
      <c r="D74" s="90"/>
      <c r="E74" s="90"/>
      <c r="F74" s="93"/>
      <c r="G74" s="94"/>
      <c r="H74" s="94"/>
      <c r="I74" s="95"/>
      <c r="J74" s="95"/>
      <c r="K74" s="95"/>
      <c r="L74" s="95"/>
      <c r="M74" s="95"/>
      <c r="N74" s="95"/>
      <c r="O74" s="95"/>
      <c r="P74" s="95"/>
      <c r="Q74" s="95"/>
      <c r="R74" s="96"/>
      <c r="S74" s="13" t="e">
        <f t="shared" si="39"/>
        <v>#DIV/0!</v>
      </c>
      <c r="T74" s="4">
        <f t="shared" ca="1" si="40"/>
        <v>41553</v>
      </c>
      <c r="U74" s="4">
        <f t="shared" ca="1" si="41"/>
        <v>-41193</v>
      </c>
      <c r="V74" s="4" t="e">
        <f t="shared" ca="1" si="42"/>
        <v>#NUM!</v>
      </c>
      <c r="W74" s="13" t="e">
        <f t="shared" ca="1" si="43"/>
        <v>#NUM!</v>
      </c>
      <c r="X74" s="5" t="e">
        <f t="shared" ca="1" si="44"/>
        <v>#NUM!</v>
      </c>
      <c r="Y74" s="15">
        <f t="shared" si="45"/>
        <v>99.999989999999997</v>
      </c>
      <c r="Z74" s="15">
        <f t="shared" si="46"/>
        <v>99.999989999999997</v>
      </c>
      <c r="AA74" s="15">
        <f t="shared" si="47"/>
        <v>99.999989999999997</v>
      </c>
      <c r="AB74" s="15">
        <f t="shared" si="48"/>
        <v>99.999989999999997</v>
      </c>
      <c r="AC74" s="15">
        <f t="shared" si="49"/>
        <v>99.999989999999997</v>
      </c>
      <c r="AD74" s="15">
        <f t="shared" si="50"/>
        <v>99.999989999999997</v>
      </c>
      <c r="AE74" s="15">
        <f t="shared" si="51"/>
        <v>99.999989999999997</v>
      </c>
      <c r="AF74" s="15">
        <f t="shared" si="52"/>
        <v>99.999989999999997</v>
      </c>
      <c r="AG74" s="15">
        <f t="shared" si="53"/>
        <v>99.999989999999997</v>
      </c>
      <c r="AH74" s="15">
        <f t="shared" si="54"/>
        <v>99.999989999999997</v>
      </c>
      <c r="AI74" s="15">
        <f t="shared" si="55"/>
        <v>99.999989999999997</v>
      </c>
      <c r="AJ74" s="15">
        <f t="shared" si="56"/>
        <v>99.999989999999997</v>
      </c>
      <c r="AK74" s="5">
        <f t="shared" si="57"/>
        <v>99.999989999999997</v>
      </c>
    </row>
    <row r="75" spans="1:37" x14ac:dyDescent="0.25">
      <c r="A75" s="52"/>
      <c r="B75" s="52"/>
      <c r="C75" s="90"/>
      <c r="D75" s="90"/>
      <c r="E75" s="90"/>
      <c r="F75" s="93"/>
      <c r="G75" s="94"/>
      <c r="H75" s="94"/>
      <c r="I75" s="95"/>
      <c r="J75" s="95"/>
      <c r="K75" s="95"/>
      <c r="L75" s="95"/>
      <c r="M75" s="95"/>
      <c r="N75" s="95"/>
      <c r="O75" s="95"/>
      <c r="P75" s="95"/>
      <c r="Q75" s="95"/>
      <c r="R75" s="96"/>
      <c r="S75" s="13" t="e">
        <f t="shared" si="39"/>
        <v>#DIV/0!</v>
      </c>
      <c r="T75" s="4">
        <f t="shared" ca="1" si="40"/>
        <v>41553</v>
      </c>
      <c r="U75" s="4">
        <f t="shared" ca="1" si="41"/>
        <v>-41193</v>
      </c>
      <c r="V75" s="4" t="e">
        <f t="shared" ca="1" si="42"/>
        <v>#NUM!</v>
      </c>
      <c r="W75" s="13" t="e">
        <f t="shared" ca="1" si="43"/>
        <v>#NUM!</v>
      </c>
      <c r="X75" s="5" t="e">
        <f t="shared" ca="1" si="44"/>
        <v>#NUM!</v>
      </c>
      <c r="Y75" s="15">
        <f t="shared" si="45"/>
        <v>99.999989999999997</v>
      </c>
      <c r="Z75" s="15">
        <f t="shared" si="46"/>
        <v>99.999989999999997</v>
      </c>
      <c r="AA75" s="15">
        <f t="shared" si="47"/>
        <v>99.999989999999997</v>
      </c>
      <c r="AB75" s="15">
        <f t="shared" si="48"/>
        <v>99.999989999999997</v>
      </c>
      <c r="AC75" s="15">
        <f t="shared" si="49"/>
        <v>99.999989999999997</v>
      </c>
      <c r="AD75" s="15">
        <f t="shared" si="50"/>
        <v>99.999989999999997</v>
      </c>
      <c r="AE75" s="15">
        <f t="shared" si="51"/>
        <v>99.999989999999997</v>
      </c>
      <c r="AF75" s="15">
        <f t="shared" si="52"/>
        <v>99.999989999999997</v>
      </c>
      <c r="AG75" s="15">
        <f t="shared" si="53"/>
        <v>99.999989999999997</v>
      </c>
      <c r="AH75" s="15">
        <f t="shared" si="54"/>
        <v>99.999989999999997</v>
      </c>
      <c r="AI75" s="15">
        <f t="shared" si="55"/>
        <v>99.999989999999997</v>
      </c>
      <c r="AJ75" s="15">
        <f t="shared" si="56"/>
        <v>99.999989999999997</v>
      </c>
      <c r="AK75" s="5">
        <f t="shared" si="57"/>
        <v>99.999989999999997</v>
      </c>
    </row>
    <row r="76" spans="1:37" x14ac:dyDescent="0.25">
      <c r="A76" s="52"/>
      <c r="B76" s="52"/>
      <c r="C76" s="90"/>
      <c r="D76" s="90"/>
      <c r="E76" s="90"/>
      <c r="F76" s="93"/>
      <c r="G76" s="94"/>
      <c r="H76" s="94"/>
      <c r="I76" s="95"/>
      <c r="J76" s="95"/>
      <c r="K76" s="95"/>
      <c r="L76" s="95"/>
      <c r="M76" s="95"/>
      <c r="N76" s="95"/>
      <c r="O76" s="95"/>
      <c r="P76" s="95"/>
      <c r="Q76" s="95"/>
      <c r="R76" s="96"/>
      <c r="S76" s="13" t="e">
        <f t="shared" si="39"/>
        <v>#DIV/0!</v>
      </c>
      <c r="T76" s="4">
        <f t="shared" ca="1" si="40"/>
        <v>41553</v>
      </c>
      <c r="U76" s="4">
        <f t="shared" ca="1" si="41"/>
        <v>-41193</v>
      </c>
      <c r="V76" s="4" t="e">
        <f t="shared" ca="1" si="42"/>
        <v>#NUM!</v>
      </c>
      <c r="W76" s="13" t="e">
        <f t="shared" ca="1" si="43"/>
        <v>#NUM!</v>
      </c>
      <c r="X76" s="5" t="e">
        <f t="shared" ca="1" si="44"/>
        <v>#NUM!</v>
      </c>
      <c r="Y76" s="15">
        <f t="shared" si="45"/>
        <v>99.999989999999997</v>
      </c>
      <c r="Z76" s="15">
        <f t="shared" si="46"/>
        <v>99.999989999999997</v>
      </c>
      <c r="AA76" s="15">
        <f t="shared" si="47"/>
        <v>99.999989999999997</v>
      </c>
      <c r="AB76" s="15">
        <f t="shared" si="48"/>
        <v>99.999989999999997</v>
      </c>
      <c r="AC76" s="15">
        <f t="shared" si="49"/>
        <v>99.999989999999997</v>
      </c>
      <c r="AD76" s="15">
        <f t="shared" si="50"/>
        <v>99.999989999999997</v>
      </c>
      <c r="AE76" s="15">
        <f t="shared" si="51"/>
        <v>99.999989999999997</v>
      </c>
      <c r="AF76" s="15">
        <f t="shared" si="52"/>
        <v>99.999989999999997</v>
      </c>
      <c r="AG76" s="15">
        <f t="shared" si="53"/>
        <v>99.999989999999997</v>
      </c>
      <c r="AH76" s="15">
        <f t="shared" si="54"/>
        <v>99.999989999999997</v>
      </c>
      <c r="AI76" s="15">
        <f t="shared" si="55"/>
        <v>99.999989999999997</v>
      </c>
      <c r="AJ76" s="15">
        <f t="shared" si="56"/>
        <v>99.999989999999997</v>
      </c>
      <c r="AK76" s="5">
        <f t="shared" si="57"/>
        <v>99.999989999999997</v>
      </c>
    </row>
    <row r="77" spans="1:37" x14ac:dyDescent="0.25">
      <c r="A77" s="52"/>
      <c r="B77" s="52"/>
      <c r="C77" s="90"/>
      <c r="D77" s="90"/>
      <c r="E77" s="90"/>
      <c r="F77" s="93"/>
      <c r="G77" s="94"/>
      <c r="H77" s="94"/>
      <c r="I77" s="95"/>
      <c r="J77" s="95"/>
      <c r="K77" s="95"/>
      <c r="L77" s="95"/>
      <c r="M77" s="95"/>
      <c r="N77" s="95"/>
      <c r="O77" s="95"/>
      <c r="P77" s="95"/>
      <c r="Q77" s="95"/>
      <c r="R77" s="96"/>
      <c r="S77" s="13" t="e">
        <f t="shared" si="39"/>
        <v>#DIV/0!</v>
      </c>
      <c r="T77" s="4">
        <f t="shared" ca="1" si="40"/>
        <v>41553</v>
      </c>
      <c r="U77" s="4">
        <f t="shared" ca="1" si="41"/>
        <v>-41193</v>
      </c>
      <c r="V77" s="4" t="e">
        <f t="shared" ca="1" si="42"/>
        <v>#NUM!</v>
      </c>
      <c r="W77" s="13" t="e">
        <f t="shared" ca="1" si="43"/>
        <v>#NUM!</v>
      </c>
      <c r="X77" s="5" t="e">
        <f t="shared" ca="1" si="44"/>
        <v>#NUM!</v>
      </c>
      <c r="Y77" s="15">
        <f t="shared" si="45"/>
        <v>99.999989999999997</v>
      </c>
      <c r="Z77" s="15">
        <f t="shared" si="46"/>
        <v>99.999989999999997</v>
      </c>
      <c r="AA77" s="15">
        <f t="shared" si="47"/>
        <v>99.999989999999997</v>
      </c>
      <c r="AB77" s="15">
        <f t="shared" si="48"/>
        <v>99.999989999999997</v>
      </c>
      <c r="AC77" s="15">
        <f t="shared" si="49"/>
        <v>99.999989999999997</v>
      </c>
      <c r="AD77" s="15">
        <f t="shared" si="50"/>
        <v>99.999989999999997</v>
      </c>
      <c r="AE77" s="15">
        <f t="shared" si="51"/>
        <v>99.999989999999997</v>
      </c>
      <c r="AF77" s="15">
        <f t="shared" si="52"/>
        <v>99.999989999999997</v>
      </c>
      <c r="AG77" s="15">
        <f t="shared" si="53"/>
        <v>99.999989999999997</v>
      </c>
      <c r="AH77" s="15">
        <f t="shared" si="54"/>
        <v>99.999989999999997</v>
      </c>
      <c r="AI77" s="15">
        <f t="shared" si="55"/>
        <v>99.999989999999997</v>
      </c>
      <c r="AJ77" s="15">
        <f t="shared" si="56"/>
        <v>99.999989999999997</v>
      </c>
      <c r="AK77" s="5">
        <f t="shared" si="57"/>
        <v>99.999989999999997</v>
      </c>
    </row>
    <row r="78" spans="1:37" x14ac:dyDescent="0.25">
      <c r="A78" s="52"/>
      <c r="B78" s="52"/>
      <c r="C78" s="90"/>
      <c r="D78" s="90"/>
      <c r="E78" s="90"/>
      <c r="F78" s="93"/>
      <c r="G78" s="94"/>
      <c r="H78" s="94"/>
      <c r="I78" s="95"/>
      <c r="J78" s="95"/>
      <c r="K78" s="95"/>
      <c r="L78" s="95"/>
      <c r="M78" s="95"/>
      <c r="N78" s="95"/>
      <c r="O78" s="95"/>
      <c r="P78" s="95"/>
      <c r="Q78" s="95"/>
      <c r="R78" s="96"/>
      <c r="S78" s="13" t="e">
        <f t="shared" si="39"/>
        <v>#DIV/0!</v>
      </c>
      <c r="T78" s="4">
        <f t="shared" ca="1" si="40"/>
        <v>41553</v>
      </c>
      <c r="U78" s="4">
        <f t="shared" ca="1" si="41"/>
        <v>-41193</v>
      </c>
      <c r="V78" s="4" t="e">
        <f t="shared" ca="1" si="42"/>
        <v>#NUM!</v>
      </c>
      <c r="W78" s="13" t="e">
        <f t="shared" ca="1" si="43"/>
        <v>#NUM!</v>
      </c>
      <c r="X78" s="5" t="e">
        <f t="shared" ca="1" si="44"/>
        <v>#NUM!</v>
      </c>
      <c r="Y78" s="15">
        <f t="shared" si="45"/>
        <v>99.999989999999997</v>
      </c>
      <c r="Z78" s="15">
        <f t="shared" si="46"/>
        <v>99.999989999999997</v>
      </c>
      <c r="AA78" s="15">
        <f t="shared" si="47"/>
        <v>99.999989999999997</v>
      </c>
      <c r="AB78" s="15">
        <f t="shared" si="48"/>
        <v>99.999989999999997</v>
      </c>
      <c r="AC78" s="15">
        <f t="shared" si="49"/>
        <v>99.999989999999997</v>
      </c>
      <c r="AD78" s="15">
        <f t="shared" si="50"/>
        <v>99.999989999999997</v>
      </c>
      <c r="AE78" s="15">
        <f t="shared" si="51"/>
        <v>99.999989999999997</v>
      </c>
      <c r="AF78" s="15">
        <f t="shared" si="52"/>
        <v>99.999989999999997</v>
      </c>
      <c r="AG78" s="15">
        <f t="shared" si="53"/>
        <v>99.999989999999997</v>
      </c>
      <c r="AH78" s="15">
        <f t="shared" si="54"/>
        <v>99.999989999999997</v>
      </c>
      <c r="AI78" s="15">
        <f t="shared" si="55"/>
        <v>99.999989999999997</v>
      </c>
      <c r="AJ78" s="15">
        <f t="shared" si="56"/>
        <v>99.999989999999997</v>
      </c>
      <c r="AK78" s="5">
        <f t="shared" si="57"/>
        <v>99.999989999999997</v>
      </c>
    </row>
    <row r="79" spans="1:37" x14ac:dyDescent="0.25">
      <c r="A79" s="52"/>
      <c r="B79" s="52"/>
      <c r="C79" s="90"/>
      <c r="D79" s="90"/>
      <c r="E79" s="90"/>
      <c r="F79" s="93"/>
      <c r="G79" s="94"/>
      <c r="H79" s="94"/>
      <c r="I79" s="95"/>
      <c r="J79" s="95"/>
      <c r="K79" s="95"/>
      <c r="L79" s="95"/>
      <c r="M79" s="95"/>
      <c r="N79" s="95"/>
      <c r="O79" s="95"/>
      <c r="P79" s="95"/>
      <c r="Q79" s="95"/>
      <c r="R79" s="96"/>
      <c r="S79" s="13" t="e">
        <f t="shared" si="39"/>
        <v>#DIV/0!</v>
      </c>
      <c r="T79" s="4">
        <f t="shared" ca="1" si="40"/>
        <v>41553</v>
      </c>
      <c r="U79" s="4">
        <f t="shared" ca="1" si="41"/>
        <v>-41193</v>
      </c>
      <c r="V79" s="4" t="e">
        <f t="shared" ca="1" si="42"/>
        <v>#NUM!</v>
      </c>
      <c r="W79" s="13" t="e">
        <f t="shared" ca="1" si="43"/>
        <v>#NUM!</v>
      </c>
      <c r="X79" s="5" t="e">
        <f t="shared" ca="1" si="44"/>
        <v>#NUM!</v>
      </c>
      <c r="Y79" s="15">
        <f t="shared" si="45"/>
        <v>99.999989999999997</v>
      </c>
      <c r="Z79" s="15">
        <f t="shared" si="46"/>
        <v>99.999989999999997</v>
      </c>
      <c r="AA79" s="15">
        <f t="shared" si="47"/>
        <v>99.999989999999997</v>
      </c>
      <c r="AB79" s="15">
        <f t="shared" si="48"/>
        <v>99.999989999999997</v>
      </c>
      <c r="AC79" s="15">
        <f t="shared" si="49"/>
        <v>99.999989999999997</v>
      </c>
      <c r="AD79" s="15">
        <f t="shared" si="50"/>
        <v>99.999989999999997</v>
      </c>
      <c r="AE79" s="15">
        <f t="shared" si="51"/>
        <v>99.999989999999997</v>
      </c>
      <c r="AF79" s="15">
        <f t="shared" si="52"/>
        <v>99.999989999999997</v>
      </c>
      <c r="AG79" s="15">
        <f t="shared" si="53"/>
        <v>99.999989999999997</v>
      </c>
      <c r="AH79" s="15">
        <f t="shared" si="54"/>
        <v>99.999989999999997</v>
      </c>
      <c r="AI79" s="15">
        <f t="shared" si="55"/>
        <v>99.999989999999997</v>
      </c>
      <c r="AJ79" s="15">
        <f t="shared" si="56"/>
        <v>99.999989999999997</v>
      </c>
      <c r="AK79" s="5">
        <f t="shared" si="57"/>
        <v>99.999989999999997</v>
      </c>
    </row>
    <row r="80" spans="1:37" x14ac:dyDescent="0.25">
      <c r="A80" s="52"/>
      <c r="B80" s="52"/>
      <c r="C80" s="90"/>
      <c r="D80" s="90"/>
      <c r="E80" s="90"/>
      <c r="F80" s="93"/>
      <c r="G80" s="94"/>
      <c r="H80" s="94"/>
      <c r="I80" s="95"/>
      <c r="J80" s="95"/>
      <c r="K80" s="95"/>
      <c r="L80" s="95"/>
      <c r="M80" s="95"/>
      <c r="N80" s="95"/>
      <c r="O80" s="95"/>
      <c r="P80" s="95"/>
      <c r="Q80" s="95"/>
      <c r="R80" s="96"/>
      <c r="S80" s="13" t="e">
        <f t="shared" si="39"/>
        <v>#DIV/0!</v>
      </c>
      <c r="T80" s="4">
        <f t="shared" ca="1" si="40"/>
        <v>41553</v>
      </c>
      <c r="U80" s="4">
        <f t="shared" ca="1" si="41"/>
        <v>-41193</v>
      </c>
      <c r="V80" s="4" t="e">
        <f t="shared" ca="1" si="42"/>
        <v>#NUM!</v>
      </c>
      <c r="W80" s="13" t="e">
        <f t="shared" ca="1" si="43"/>
        <v>#NUM!</v>
      </c>
      <c r="X80" s="5" t="e">
        <f t="shared" ca="1" si="44"/>
        <v>#NUM!</v>
      </c>
      <c r="Y80" s="15">
        <f t="shared" si="45"/>
        <v>99.999989999999997</v>
      </c>
      <c r="Z80" s="15">
        <f t="shared" si="46"/>
        <v>99.999989999999997</v>
      </c>
      <c r="AA80" s="15">
        <f t="shared" si="47"/>
        <v>99.999989999999997</v>
      </c>
      <c r="AB80" s="15">
        <f t="shared" si="48"/>
        <v>99.999989999999997</v>
      </c>
      <c r="AC80" s="15">
        <f t="shared" si="49"/>
        <v>99.999989999999997</v>
      </c>
      <c r="AD80" s="15">
        <f t="shared" si="50"/>
        <v>99.999989999999997</v>
      </c>
      <c r="AE80" s="15">
        <f t="shared" si="51"/>
        <v>99.999989999999997</v>
      </c>
      <c r="AF80" s="15">
        <f t="shared" si="52"/>
        <v>99.999989999999997</v>
      </c>
      <c r="AG80" s="15">
        <f t="shared" si="53"/>
        <v>99.999989999999997</v>
      </c>
      <c r="AH80" s="15">
        <f t="shared" si="54"/>
        <v>99.999989999999997</v>
      </c>
      <c r="AI80" s="15">
        <f t="shared" si="55"/>
        <v>99.999989999999997</v>
      </c>
      <c r="AJ80" s="15">
        <f t="shared" si="56"/>
        <v>99.999989999999997</v>
      </c>
      <c r="AK80" s="5">
        <f t="shared" si="57"/>
        <v>99.999989999999997</v>
      </c>
    </row>
    <row r="81" spans="1:37" x14ac:dyDescent="0.25">
      <c r="A81" s="52"/>
      <c r="B81" s="52"/>
      <c r="C81" s="90"/>
      <c r="D81" s="90"/>
      <c r="E81" s="90"/>
      <c r="F81" s="93"/>
      <c r="G81" s="94"/>
      <c r="H81" s="94"/>
      <c r="I81" s="95"/>
      <c r="J81" s="95"/>
      <c r="K81" s="95"/>
      <c r="L81" s="95"/>
      <c r="M81" s="95"/>
      <c r="N81" s="95"/>
      <c r="O81" s="95"/>
      <c r="P81" s="95"/>
      <c r="Q81" s="95"/>
      <c r="R81" s="96"/>
      <c r="S81" s="13" t="e">
        <f t="shared" si="39"/>
        <v>#DIV/0!</v>
      </c>
      <c r="T81" s="4">
        <f t="shared" ca="1" si="40"/>
        <v>41553</v>
      </c>
      <c r="U81" s="4">
        <f t="shared" ca="1" si="41"/>
        <v>-41193</v>
      </c>
      <c r="V81" s="4" t="e">
        <f t="shared" ca="1" si="42"/>
        <v>#NUM!</v>
      </c>
      <c r="W81" s="13" t="e">
        <f t="shared" ca="1" si="43"/>
        <v>#NUM!</v>
      </c>
      <c r="X81" s="5" t="e">
        <f t="shared" ca="1" si="44"/>
        <v>#NUM!</v>
      </c>
      <c r="Y81" s="15">
        <f t="shared" si="45"/>
        <v>99.999989999999997</v>
      </c>
      <c r="Z81" s="15">
        <f t="shared" si="46"/>
        <v>99.999989999999997</v>
      </c>
      <c r="AA81" s="15">
        <f t="shared" si="47"/>
        <v>99.999989999999997</v>
      </c>
      <c r="AB81" s="15">
        <f t="shared" si="48"/>
        <v>99.999989999999997</v>
      </c>
      <c r="AC81" s="15">
        <f t="shared" si="49"/>
        <v>99.999989999999997</v>
      </c>
      <c r="AD81" s="15">
        <f t="shared" si="50"/>
        <v>99.999989999999997</v>
      </c>
      <c r="AE81" s="15">
        <f t="shared" si="51"/>
        <v>99.999989999999997</v>
      </c>
      <c r="AF81" s="15">
        <f t="shared" si="52"/>
        <v>99.999989999999997</v>
      </c>
      <c r="AG81" s="15">
        <f t="shared" si="53"/>
        <v>99.999989999999997</v>
      </c>
      <c r="AH81" s="15">
        <f t="shared" si="54"/>
        <v>99.999989999999997</v>
      </c>
      <c r="AI81" s="15">
        <f t="shared" si="55"/>
        <v>99.999989999999997</v>
      </c>
      <c r="AJ81" s="15">
        <f t="shared" si="56"/>
        <v>99.999989999999997</v>
      </c>
      <c r="AK81" s="5">
        <f t="shared" si="57"/>
        <v>99.999989999999997</v>
      </c>
    </row>
    <row r="82" spans="1:37" x14ac:dyDescent="0.25">
      <c r="A82" s="52"/>
      <c r="B82" s="52"/>
      <c r="C82" s="90"/>
      <c r="D82" s="90"/>
      <c r="E82" s="90"/>
      <c r="F82" s="93"/>
      <c r="G82" s="94"/>
      <c r="H82" s="94"/>
      <c r="I82" s="95"/>
      <c r="J82" s="95"/>
      <c r="K82" s="95"/>
      <c r="L82" s="95"/>
      <c r="M82" s="95"/>
      <c r="N82" s="95"/>
      <c r="O82" s="95"/>
      <c r="P82" s="95"/>
      <c r="Q82" s="95"/>
      <c r="R82" s="96"/>
      <c r="S82" s="13" t="e">
        <f t="shared" si="39"/>
        <v>#DIV/0!</v>
      </c>
      <c r="T82" s="4">
        <f t="shared" ca="1" si="40"/>
        <v>41553</v>
      </c>
      <c r="U82" s="4">
        <f t="shared" ca="1" si="41"/>
        <v>-41193</v>
      </c>
      <c r="V82" s="4" t="e">
        <f t="shared" ca="1" si="42"/>
        <v>#NUM!</v>
      </c>
      <c r="W82" s="13" t="e">
        <f t="shared" ca="1" si="43"/>
        <v>#NUM!</v>
      </c>
      <c r="X82" s="5" t="e">
        <f t="shared" ca="1" si="44"/>
        <v>#NUM!</v>
      </c>
      <c r="Y82" s="15">
        <f t="shared" si="45"/>
        <v>99.999989999999997</v>
      </c>
      <c r="Z82" s="15">
        <f t="shared" si="46"/>
        <v>99.999989999999997</v>
      </c>
      <c r="AA82" s="15">
        <f t="shared" si="47"/>
        <v>99.999989999999997</v>
      </c>
      <c r="AB82" s="15">
        <f t="shared" si="48"/>
        <v>99.999989999999997</v>
      </c>
      <c r="AC82" s="15">
        <f t="shared" si="49"/>
        <v>99.999989999999997</v>
      </c>
      <c r="AD82" s="15">
        <f t="shared" si="50"/>
        <v>99.999989999999997</v>
      </c>
      <c r="AE82" s="15">
        <f t="shared" si="51"/>
        <v>99.999989999999997</v>
      </c>
      <c r="AF82" s="15">
        <f t="shared" si="52"/>
        <v>99.999989999999997</v>
      </c>
      <c r="AG82" s="15">
        <f t="shared" si="53"/>
        <v>99.999989999999997</v>
      </c>
      <c r="AH82" s="15">
        <f t="shared" si="54"/>
        <v>99.999989999999997</v>
      </c>
      <c r="AI82" s="15">
        <f t="shared" si="55"/>
        <v>99.999989999999997</v>
      </c>
      <c r="AJ82" s="15">
        <f t="shared" si="56"/>
        <v>99.999989999999997</v>
      </c>
      <c r="AK82" s="5">
        <f t="shared" si="57"/>
        <v>99.999989999999997</v>
      </c>
    </row>
    <row r="83" spans="1:37" x14ac:dyDescent="0.25">
      <c r="A83" s="52"/>
      <c r="B83" s="52"/>
      <c r="C83" s="90"/>
      <c r="D83" s="90"/>
      <c r="E83" s="90"/>
      <c r="F83" s="93"/>
      <c r="G83" s="94"/>
      <c r="H83" s="94"/>
      <c r="I83" s="95"/>
      <c r="J83" s="95"/>
      <c r="K83" s="95"/>
      <c r="L83" s="95"/>
      <c r="M83" s="95"/>
      <c r="N83" s="95"/>
      <c r="O83" s="95"/>
      <c r="P83" s="95"/>
      <c r="Q83" s="95"/>
      <c r="R83" s="96"/>
      <c r="S83" s="13" t="e">
        <f t="shared" si="39"/>
        <v>#DIV/0!</v>
      </c>
      <c r="T83" s="4">
        <f t="shared" ca="1" si="40"/>
        <v>41553</v>
      </c>
      <c r="U83" s="4">
        <f t="shared" ca="1" si="41"/>
        <v>-41193</v>
      </c>
      <c r="V83" s="4" t="e">
        <f t="shared" ca="1" si="42"/>
        <v>#NUM!</v>
      </c>
      <c r="W83" s="13" t="e">
        <f t="shared" ca="1" si="43"/>
        <v>#NUM!</v>
      </c>
      <c r="X83" s="5" t="e">
        <f t="shared" ca="1" si="44"/>
        <v>#NUM!</v>
      </c>
      <c r="Y83" s="15">
        <f t="shared" si="45"/>
        <v>99.999989999999997</v>
      </c>
      <c r="Z83" s="15">
        <f t="shared" si="46"/>
        <v>99.999989999999997</v>
      </c>
      <c r="AA83" s="15">
        <f t="shared" si="47"/>
        <v>99.999989999999997</v>
      </c>
      <c r="AB83" s="15">
        <f t="shared" si="48"/>
        <v>99.999989999999997</v>
      </c>
      <c r="AC83" s="15">
        <f t="shared" si="49"/>
        <v>99.999989999999997</v>
      </c>
      <c r="AD83" s="15">
        <f t="shared" si="50"/>
        <v>99.999989999999997</v>
      </c>
      <c r="AE83" s="15">
        <f t="shared" si="51"/>
        <v>99.999989999999997</v>
      </c>
      <c r="AF83" s="15">
        <f t="shared" si="52"/>
        <v>99.999989999999997</v>
      </c>
      <c r="AG83" s="15">
        <f t="shared" si="53"/>
        <v>99.999989999999997</v>
      </c>
      <c r="AH83" s="15">
        <f t="shared" si="54"/>
        <v>99.999989999999997</v>
      </c>
      <c r="AI83" s="15">
        <f t="shared" si="55"/>
        <v>99.999989999999997</v>
      </c>
      <c r="AJ83" s="15">
        <f t="shared" si="56"/>
        <v>99.999989999999997</v>
      </c>
      <c r="AK83" s="5">
        <f t="shared" si="57"/>
        <v>99.999989999999997</v>
      </c>
    </row>
    <row r="84" spans="1:37" x14ac:dyDescent="0.25">
      <c r="A84" s="52"/>
      <c r="B84" s="52"/>
      <c r="C84" s="90"/>
      <c r="D84" s="90"/>
      <c r="E84" s="90"/>
      <c r="F84" s="93"/>
      <c r="G84" s="94"/>
      <c r="H84" s="94"/>
      <c r="I84" s="95"/>
      <c r="J84" s="95"/>
      <c r="K84" s="95"/>
      <c r="L84" s="95"/>
      <c r="M84" s="95"/>
      <c r="N84" s="95"/>
      <c r="O84" s="95"/>
      <c r="P84" s="95"/>
      <c r="Q84" s="95"/>
      <c r="R84" s="96"/>
      <c r="S84" s="13" t="e">
        <f t="shared" si="39"/>
        <v>#DIV/0!</v>
      </c>
      <c r="T84" s="4">
        <f t="shared" ca="1" si="40"/>
        <v>41553</v>
      </c>
      <c r="U84" s="4">
        <f t="shared" ca="1" si="41"/>
        <v>-41193</v>
      </c>
      <c r="V84" s="4" t="e">
        <f t="shared" ca="1" si="42"/>
        <v>#NUM!</v>
      </c>
      <c r="W84" s="13" t="e">
        <f t="shared" ca="1" si="43"/>
        <v>#NUM!</v>
      </c>
      <c r="X84" s="5" t="e">
        <f t="shared" ca="1" si="44"/>
        <v>#NUM!</v>
      </c>
      <c r="Y84" s="15">
        <f t="shared" si="45"/>
        <v>99.999989999999997</v>
      </c>
      <c r="Z84" s="15">
        <f t="shared" si="46"/>
        <v>99.999989999999997</v>
      </c>
      <c r="AA84" s="15">
        <f t="shared" si="47"/>
        <v>99.999989999999997</v>
      </c>
      <c r="AB84" s="15">
        <f t="shared" si="48"/>
        <v>99.999989999999997</v>
      </c>
      <c r="AC84" s="15">
        <f t="shared" si="49"/>
        <v>99.999989999999997</v>
      </c>
      <c r="AD84" s="15">
        <f t="shared" si="50"/>
        <v>99.999989999999997</v>
      </c>
      <c r="AE84" s="15">
        <f t="shared" si="51"/>
        <v>99.999989999999997</v>
      </c>
      <c r="AF84" s="15">
        <f t="shared" si="52"/>
        <v>99.999989999999997</v>
      </c>
      <c r="AG84" s="15">
        <f t="shared" si="53"/>
        <v>99.999989999999997</v>
      </c>
      <c r="AH84" s="15">
        <f t="shared" si="54"/>
        <v>99.999989999999997</v>
      </c>
      <c r="AI84" s="15">
        <f t="shared" si="55"/>
        <v>99.999989999999997</v>
      </c>
      <c r="AJ84" s="15">
        <f t="shared" si="56"/>
        <v>99.999989999999997</v>
      </c>
      <c r="AK84" s="5">
        <f t="shared" si="57"/>
        <v>99.999989999999997</v>
      </c>
    </row>
    <row r="85" spans="1:37" x14ac:dyDescent="0.25">
      <c r="A85" s="52"/>
      <c r="B85" s="52"/>
      <c r="C85" s="90"/>
      <c r="D85" s="90"/>
      <c r="E85" s="90"/>
      <c r="F85" s="93"/>
      <c r="G85" s="94"/>
      <c r="H85" s="94"/>
      <c r="I85" s="95"/>
      <c r="J85" s="95"/>
      <c r="K85" s="95"/>
      <c r="L85" s="95"/>
      <c r="M85" s="95"/>
      <c r="N85" s="95"/>
      <c r="O85" s="95"/>
      <c r="P85" s="95"/>
      <c r="Q85" s="95"/>
      <c r="R85" s="96"/>
      <c r="S85" s="13" t="e">
        <f t="shared" si="39"/>
        <v>#DIV/0!</v>
      </c>
      <c r="T85" s="4">
        <f t="shared" ca="1" si="40"/>
        <v>41553</v>
      </c>
      <c r="U85" s="4">
        <f t="shared" ca="1" si="41"/>
        <v>-41193</v>
      </c>
      <c r="V85" s="4" t="e">
        <f t="shared" ca="1" si="42"/>
        <v>#NUM!</v>
      </c>
      <c r="W85" s="13" t="e">
        <f t="shared" ca="1" si="43"/>
        <v>#NUM!</v>
      </c>
      <c r="X85" s="5" t="e">
        <f t="shared" ca="1" si="44"/>
        <v>#NUM!</v>
      </c>
      <c r="Y85" s="15">
        <f t="shared" si="45"/>
        <v>99.999989999999997</v>
      </c>
      <c r="Z85" s="15">
        <f t="shared" si="46"/>
        <v>99.999989999999997</v>
      </c>
      <c r="AA85" s="15">
        <f t="shared" si="47"/>
        <v>99.999989999999997</v>
      </c>
      <c r="AB85" s="15">
        <f t="shared" si="48"/>
        <v>99.999989999999997</v>
      </c>
      <c r="AC85" s="15">
        <f t="shared" si="49"/>
        <v>99.999989999999997</v>
      </c>
      <c r="AD85" s="15">
        <f t="shared" si="50"/>
        <v>99.999989999999997</v>
      </c>
      <c r="AE85" s="15">
        <f t="shared" si="51"/>
        <v>99.999989999999997</v>
      </c>
      <c r="AF85" s="15">
        <f t="shared" si="52"/>
        <v>99.999989999999997</v>
      </c>
      <c r="AG85" s="15">
        <f t="shared" si="53"/>
        <v>99.999989999999997</v>
      </c>
      <c r="AH85" s="15">
        <f t="shared" si="54"/>
        <v>99.999989999999997</v>
      </c>
      <c r="AI85" s="15">
        <f t="shared" si="55"/>
        <v>99.999989999999997</v>
      </c>
      <c r="AJ85" s="15">
        <f t="shared" si="56"/>
        <v>99.999989999999997</v>
      </c>
      <c r="AK85" s="5">
        <f t="shared" si="57"/>
        <v>99.999989999999997</v>
      </c>
    </row>
    <row r="86" spans="1:37" x14ac:dyDescent="0.25">
      <c r="A86" s="52"/>
      <c r="B86" s="52"/>
      <c r="C86" s="90"/>
      <c r="D86" s="90"/>
      <c r="E86" s="90"/>
      <c r="F86" s="93"/>
      <c r="G86" s="94"/>
      <c r="H86" s="94"/>
      <c r="I86" s="95"/>
      <c r="J86" s="95"/>
      <c r="K86" s="95"/>
      <c r="L86" s="95"/>
      <c r="M86" s="95"/>
      <c r="N86" s="95"/>
      <c r="O86" s="95"/>
      <c r="P86" s="95"/>
      <c r="Q86" s="95"/>
      <c r="R86" s="96"/>
      <c r="S86" s="13" t="e">
        <f t="shared" si="39"/>
        <v>#DIV/0!</v>
      </c>
      <c r="T86" s="4">
        <f t="shared" ca="1" si="40"/>
        <v>41553</v>
      </c>
      <c r="U86" s="4">
        <f t="shared" ca="1" si="41"/>
        <v>-41193</v>
      </c>
      <c r="V86" s="4" t="e">
        <f t="shared" ca="1" si="42"/>
        <v>#NUM!</v>
      </c>
      <c r="W86" s="13" t="e">
        <f t="shared" ca="1" si="43"/>
        <v>#NUM!</v>
      </c>
      <c r="X86" s="5" t="e">
        <f t="shared" ca="1" si="44"/>
        <v>#NUM!</v>
      </c>
      <c r="Y86" s="15">
        <f t="shared" si="45"/>
        <v>99.999989999999997</v>
      </c>
      <c r="Z86" s="15">
        <f t="shared" si="46"/>
        <v>99.999989999999997</v>
      </c>
      <c r="AA86" s="15">
        <f t="shared" si="47"/>
        <v>99.999989999999997</v>
      </c>
      <c r="AB86" s="15">
        <f t="shared" si="48"/>
        <v>99.999989999999997</v>
      </c>
      <c r="AC86" s="15">
        <f t="shared" si="49"/>
        <v>99.999989999999997</v>
      </c>
      <c r="AD86" s="15">
        <f t="shared" si="50"/>
        <v>99.999989999999997</v>
      </c>
      <c r="AE86" s="15">
        <f t="shared" si="51"/>
        <v>99.999989999999997</v>
      </c>
      <c r="AF86" s="15">
        <f t="shared" si="52"/>
        <v>99.999989999999997</v>
      </c>
      <c r="AG86" s="15">
        <f t="shared" si="53"/>
        <v>99.999989999999997</v>
      </c>
      <c r="AH86" s="15">
        <f t="shared" si="54"/>
        <v>99.999989999999997</v>
      </c>
      <c r="AI86" s="15">
        <f t="shared" si="55"/>
        <v>99.999989999999997</v>
      </c>
      <c r="AJ86" s="15">
        <f t="shared" si="56"/>
        <v>99.999989999999997</v>
      </c>
      <c r="AK86" s="5">
        <f t="shared" si="57"/>
        <v>99.999989999999997</v>
      </c>
    </row>
    <row r="87" spans="1:37" x14ac:dyDescent="0.25">
      <c r="A87" s="52"/>
      <c r="B87" s="52"/>
      <c r="C87" s="90"/>
      <c r="D87" s="90"/>
      <c r="E87" s="90"/>
      <c r="F87" s="93"/>
      <c r="G87" s="94"/>
      <c r="H87" s="94"/>
      <c r="I87" s="95"/>
      <c r="J87" s="95"/>
      <c r="K87" s="95"/>
      <c r="L87" s="95"/>
      <c r="M87" s="95"/>
      <c r="N87" s="95"/>
      <c r="O87" s="95"/>
      <c r="P87" s="95"/>
      <c r="Q87" s="95"/>
      <c r="R87" s="96"/>
      <c r="S87" s="13" t="e">
        <f t="shared" si="39"/>
        <v>#DIV/0!</v>
      </c>
      <c r="T87" s="4">
        <f t="shared" ca="1" si="40"/>
        <v>41553</v>
      </c>
      <c r="U87" s="4">
        <f t="shared" ca="1" si="41"/>
        <v>-41193</v>
      </c>
      <c r="V87" s="4" t="e">
        <f t="shared" ca="1" si="42"/>
        <v>#NUM!</v>
      </c>
      <c r="W87" s="13" t="e">
        <f t="shared" ca="1" si="43"/>
        <v>#NUM!</v>
      </c>
      <c r="X87" s="5" t="e">
        <f t="shared" ca="1" si="44"/>
        <v>#NUM!</v>
      </c>
      <c r="Y87" s="15">
        <f t="shared" si="45"/>
        <v>99.999989999999997</v>
      </c>
      <c r="Z87" s="15">
        <f t="shared" si="46"/>
        <v>99.999989999999997</v>
      </c>
      <c r="AA87" s="15">
        <f t="shared" si="47"/>
        <v>99.999989999999997</v>
      </c>
      <c r="AB87" s="15">
        <f t="shared" si="48"/>
        <v>99.999989999999997</v>
      </c>
      <c r="AC87" s="15">
        <f t="shared" si="49"/>
        <v>99.999989999999997</v>
      </c>
      <c r="AD87" s="15">
        <f t="shared" si="50"/>
        <v>99.999989999999997</v>
      </c>
      <c r="AE87" s="15">
        <f t="shared" si="51"/>
        <v>99.999989999999997</v>
      </c>
      <c r="AF87" s="15">
        <f t="shared" si="52"/>
        <v>99.999989999999997</v>
      </c>
      <c r="AG87" s="15">
        <f t="shared" si="53"/>
        <v>99.999989999999997</v>
      </c>
      <c r="AH87" s="15">
        <f t="shared" si="54"/>
        <v>99.999989999999997</v>
      </c>
      <c r="AI87" s="15">
        <f t="shared" si="55"/>
        <v>99.999989999999997</v>
      </c>
      <c r="AJ87" s="15">
        <f t="shared" si="56"/>
        <v>99.999989999999997</v>
      </c>
      <c r="AK87" s="5">
        <f t="shared" si="57"/>
        <v>99.999989999999997</v>
      </c>
    </row>
    <row r="88" spans="1:37" x14ac:dyDescent="0.25">
      <c r="A88" s="52"/>
      <c r="B88" s="52"/>
      <c r="C88" s="90"/>
      <c r="D88" s="90"/>
      <c r="E88" s="90"/>
      <c r="F88" s="93"/>
      <c r="G88" s="94"/>
      <c r="H88" s="94"/>
      <c r="I88" s="95"/>
      <c r="J88" s="95"/>
      <c r="K88" s="95"/>
      <c r="L88" s="95"/>
      <c r="M88" s="95"/>
      <c r="N88" s="95"/>
      <c r="O88" s="95"/>
      <c r="P88" s="95"/>
      <c r="Q88" s="95"/>
      <c r="R88" s="96"/>
      <c r="S88" s="13" t="e">
        <f t="shared" si="39"/>
        <v>#DIV/0!</v>
      </c>
      <c r="T88" s="4">
        <f t="shared" ca="1" si="40"/>
        <v>41553</v>
      </c>
      <c r="U88" s="4">
        <f t="shared" ca="1" si="41"/>
        <v>-41193</v>
      </c>
      <c r="V88" s="4" t="e">
        <f t="shared" ca="1" si="42"/>
        <v>#NUM!</v>
      </c>
      <c r="W88" s="13" t="e">
        <f t="shared" ca="1" si="43"/>
        <v>#NUM!</v>
      </c>
      <c r="X88" s="5" t="e">
        <f t="shared" ca="1" si="44"/>
        <v>#NUM!</v>
      </c>
      <c r="Y88" s="15">
        <f t="shared" si="45"/>
        <v>99.999989999999997</v>
      </c>
      <c r="Z88" s="15">
        <f t="shared" si="46"/>
        <v>99.999989999999997</v>
      </c>
      <c r="AA88" s="15">
        <f t="shared" si="47"/>
        <v>99.999989999999997</v>
      </c>
      <c r="AB88" s="15">
        <f t="shared" si="48"/>
        <v>99.999989999999997</v>
      </c>
      <c r="AC88" s="15">
        <f t="shared" si="49"/>
        <v>99.999989999999997</v>
      </c>
      <c r="AD88" s="15">
        <f t="shared" si="50"/>
        <v>99.999989999999997</v>
      </c>
      <c r="AE88" s="15">
        <f t="shared" si="51"/>
        <v>99.999989999999997</v>
      </c>
      <c r="AF88" s="15">
        <f t="shared" si="52"/>
        <v>99.999989999999997</v>
      </c>
      <c r="AG88" s="15">
        <f t="shared" si="53"/>
        <v>99.999989999999997</v>
      </c>
      <c r="AH88" s="15">
        <f t="shared" si="54"/>
        <v>99.999989999999997</v>
      </c>
      <c r="AI88" s="15">
        <f t="shared" si="55"/>
        <v>99.999989999999997</v>
      </c>
      <c r="AJ88" s="15">
        <f t="shared" si="56"/>
        <v>99.999989999999997</v>
      </c>
      <c r="AK88" s="5">
        <f t="shared" si="57"/>
        <v>99.999989999999997</v>
      </c>
    </row>
    <row r="89" spans="1:37" x14ac:dyDescent="0.25">
      <c r="A89" s="52"/>
      <c r="B89" s="52"/>
      <c r="C89" s="90"/>
      <c r="D89" s="90"/>
      <c r="E89" s="90"/>
      <c r="F89" s="93"/>
      <c r="G89" s="94"/>
      <c r="H89" s="94"/>
      <c r="I89" s="95"/>
      <c r="J89" s="95"/>
      <c r="K89" s="95"/>
      <c r="L89" s="95"/>
      <c r="M89" s="95"/>
      <c r="N89" s="95"/>
      <c r="O89" s="95"/>
      <c r="P89" s="95"/>
      <c r="Q89" s="95"/>
      <c r="R89" s="96"/>
      <c r="S89" s="13" t="e">
        <f t="shared" si="39"/>
        <v>#DIV/0!</v>
      </c>
      <c r="T89" s="4">
        <f t="shared" ca="1" si="40"/>
        <v>41553</v>
      </c>
      <c r="U89" s="4">
        <f t="shared" ca="1" si="41"/>
        <v>-41193</v>
      </c>
      <c r="V89" s="4" t="e">
        <f t="shared" ca="1" si="42"/>
        <v>#NUM!</v>
      </c>
      <c r="W89" s="13" t="e">
        <f t="shared" ca="1" si="43"/>
        <v>#NUM!</v>
      </c>
      <c r="X89" s="5" t="e">
        <f t="shared" ca="1" si="44"/>
        <v>#NUM!</v>
      </c>
      <c r="Y89" s="15">
        <f t="shared" si="45"/>
        <v>99.999989999999997</v>
      </c>
      <c r="Z89" s="15">
        <f t="shared" si="46"/>
        <v>99.999989999999997</v>
      </c>
      <c r="AA89" s="15">
        <f t="shared" si="47"/>
        <v>99.999989999999997</v>
      </c>
      <c r="AB89" s="15">
        <f t="shared" si="48"/>
        <v>99.999989999999997</v>
      </c>
      <c r="AC89" s="15">
        <f t="shared" si="49"/>
        <v>99.999989999999997</v>
      </c>
      <c r="AD89" s="15">
        <f t="shared" si="50"/>
        <v>99.999989999999997</v>
      </c>
      <c r="AE89" s="15">
        <f t="shared" si="51"/>
        <v>99.999989999999997</v>
      </c>
      <c r="AF89" s="15">
        <f t="shared" si="52"/>
        <v>99.999989999999997</v>
      </c>
      <c r="AG89" s="15">
        <f t="shared" si="53"/>
        <v>99.999989999999997</v>
      </c>
      <c r="AH89" s="15">
        <f t="shared" si="54"/>
        <v>99.999989999999997</v>
      </c>
      <c r="AI89" s="15">
        <f t="shared" si="55"/>
        <v>99.999989999999997</v>
      </c>
      <c r="AJ89" s="15">
        <f t="shared" si="56"/>
        <v>99.999989999999997</v>
      </c>
      <c r="AK89" s="5">
        <f t="shared" si="57"/>
        <v>99.999989999999997</v>
      </c>
    </row>
    <row r="90" spans="1:37" x14ac:dyDescent="0.25">
      <c r="A90" s="52"/>
      <c r="B90" s="52"/>
      <c r="C90" s="90"/>
      <c r="D90" s="90"/>
      <c r="E90" s="90"/>
      <c r="F90" s="93"/>
      <c r="G90" s="94"/>
      <c r="H90" s="94"/>
      <c r="I90" s="95"/>
      <c r="J90" s="95"/>
      <c r="K90" s="95"/>
      <c r="L90" s="95"/>
      <c r="M90" s="95"/>
      <c r="N90" s="95"/>
      <c r="O90" s="95"/>
      <c r="P90" s="95"/>
      <c r="Q90" s="95"/>
      <c r="R90" s="96"/>
      <c r="S90" s="13" t="e">
        <f t="shared" si="39"/>
        <v>#DIV/0!</v>
      </c>
      <c r="T90" s="4">
        <f t="shared" ca="1" si="40"/>
        <v>41553</v>
      </c>
      <c r="U90" s="4">
        <f t="shared" ca="1" si="41"/>
        <v>-41193</v>
      </c>
      <c r="V90" s="4" t="e">
        <f t="shared" ca="1" si="42"/>
        <v>#NUM!</v>
      </c>
      <c r="W90" s="13" t="e">
        <f t="shared" ca="1" si="43"/>
        <v>#NUM!</v>
      </c>
      <c r="X90" s="5" t="e">
        <f t="shared" ca="1" si="44"/>
        <v>#NUM!</v>
      </c>
      <c r="Y90" s="15">
        <f t="shared" si="45"/>
        <v>99.999989999999997</v>
      </c>
      <c r="Z90" s="15">
        <f t="shared" si="46"/>
        <v>99.999989999999997</v>
      </c>
      <c r="AA90" s="15">
        <f t="shared" si="47"/>
        <v>99.999989999999997</v>
      </c>
      <c r="AB90" s="15">
        <f t="shared" si="48"/>
        <v>99.999989999999997</v>
      </c>
      <c r="AC90" s="15">
        <f t="shared" si="49"/>
        <v>99.999989999999997</v>
      </c>
      <c r="AD90" s="15">
        <f t="shared" si="50"/>
        <v>99.999989999999997</v>
      </c>
      <c r="AE90" s="15">
        <f t="shared" si="51"/>
        <v>99.999989999999997</v>
      </c>
      <c r="AF90" s="15">
        <f t="shared" si="52"/>
        <v>99.999989999999997</v>
      </c>
      <c r="AG90" s="15">
        <f t="shared" si="53"/>
        <v>99.999989999999997</v>
      </c>
      <c r="AH90" s="15">
        <f t="shared" si="54"/>
        <v>99.999989999999997</v>
      </c>
      <c r="AI90" s="15">
        <f t="shared" si="55"/>
        <v>99.999989999999997</v>
      </c>
      <c r="AJ90" s="15">
        <f t="shared" si="56"/>
        <v>99.999989999999997</v>
      </c>
      <c r="AK90" s="5">
        <f t="shared" si="57"/>
        <v>99.999989999999997</v>
      </c>
    </row>
    <row r="91" spans="1:37" x14ac:dyDescent="0.25">
      <c r="A91" s="52"/>
      <c r="B91" s="52"/>
      <c r="C91" s="90"/>
      <c r="D91" s="90"/>
      <c r="E91" s="90"/>
      <c r="F91" s="93"/>
      <c r="G91" s="94"/>
      <c r="H91" s="94"/>
      <c r="I91" s="95"/>
      <c r="J91" s="95"/>
      <c r="K91" s="95"/>
      <c r="L91" s="95"/>
      <c r="M91" s="95"/>
      <c r="N91" s="95"/>
      <c r="O91" s="95"/>
      <c r="P91" s="95"/>
      <c r="Q91" s="95"/>
      <c r="R91" s="96"/>
      <c r="S91" s="13" t="e">
        <f t="shared" si="39"/>
        <v>#DIV/0!</v>
      </c>
      <c r="T91" s="4">
        <f t="shared" ca="1" si="40"/>
        <v>41553</v>
      </c>
      <c r="U91" s="4">
        <f t="shared" ca="1" si="41"/>
        <v>-41193</v>
      </c>
      <c r="V91" s="4" t="e">
        <f t="shared" ca="1" si="42"/>
        <v>#NUM!</v>
      </c>
      <c r="W91" s="13" t="e">
        <f t="shared" ca="1" si="43"/>
        <v>#NUM!</v>
      </c>
      <c r="X91" s="5" t="e">
        <f t="shared" ca="1" si="44"/>
        <v>#NUM!</v>
      </c>
      <c r="Y91" s="15">
        <f t="shared" si="45"/>
        <v>99.999989999999997</v>
      </c>
      <c r="Z91" s="15">
        <f t="shared" si="46"/>
        <v>99.999989999999997</v>
      </c>
      <c r="AA91" s="15">
        <f t="shared" si="47"/>
        <v>99.999989999999997</v>
      </c>
      <c r="AB91" s="15">
        <f t="shared" si="48"/>
        <v>99.999989999999997</v>
      </c>
      <c r="AC91" s="15">
        <f t="shared" si="49"/>
        <v>99.999989999999997</v>
      </c>
      <c r="AD91" s="15">
        <f t="shared" si="50"/>
        <v>99.999989999999997</v>
      </c>
      <c r="AE91" s="15">
        <f t="shared" si="51"/>
        <v>99.999989999999997</v>
      </c>
      <c r="AF91" s="15">
        <f t="shared" si="52"/>
        <v>99.999989999999997</v>
      </c>
      <c r="AG91" s="15">
        <f t="shared" si="53"/>
        <v>99.999989999999997</v>
      </c>
      <c r="AH91" s="15">
        <f t="shared" si="54"/>
        <v>99.999989999999997</v>
      </c>
      <c r="AI91" s="15">
        <f t="shared" si="55"/>
        <v>99.999989999999997</v>
      </c>
      <c r="AJ91" s="15">
        <f t="shared" si="56"/>
        <v>99.999989999999997</v>
      </c>
      <c r="AK91" s="5">
        <f t="shared" si="57"/>
        <v>99.999989999999997</v>
      </c>
    </row>
    <row r="92" spans="1:37" x14ac:dyDescent="0.25">
      <c r="A92" s="52"/>
      <c r="B92" s="52"/>
      <c r="C92" s="90"/>
      <c r="D92" s="90"/>
      <c r="E92" s="90"/>
      <c r="F92" s="93"/>
      <c r="G92" s="94"/>
      <c r="H92" s="94"/>
      <c r="I92" s="95"/>
      <c r="J92" s="95"/>
      <c r="K92" s="95"/>
      <c r="L92" s="95"/>
      <c r="M92" s="95"/>
      <c r="N92" s="95"/>
      <c r="O92" s="95"/>
      <c r="P92" s="95"/>
      <c r="Q92" s="95"/>
      <c r="R92" s="96"/>
      <c r="S92" s="13" t="e">
        <f t="shared" si="39"/>
        <v>#DIV/0!</v>
      </c>
      <c r="T92" s="4">
        <f t="shared" ca="1" si="40"/>
        <v>41553</v>
      </c>
      <c r="U92" s="4">
        <f t="shared" ca="1" si="41"/>
        <v>-41193</v>
      </c>
      <c r="V92" s="4" t="e">
        <f t="shared" ca="1" si="42"/>
        <v>#NUM!</v>
      </c>
      <c r="W92" s="13" t="e">
        <f t="shared" ca="1" si="43"/>
        <v>#NUM!</v>
      </c>
      <c r="X92" s="5" t="e">
        <f t="shared" ca="1" si="44"/>
        <v>#NUM!</v>
      </c>
      <c r="Y92" s="15">
        <f t="shared" si="45"/>
        <v>99.999989999999997</v>
      </c>
      <c r="Z92" s="15">
        <f t="shared" si="46"/>
        <v>99.999989999999997</v>
      </c>
      <c r="AA92" s="15">
        <f t="shared" si="47"/>
        <v>99.999989999999997</v>
      </c>
      <c r="AB92" s="15">
        <f t="shared" si="48"/>
        <v>99.999989999999997</v>
      </c>
      <c r="AC92" s="15">
        <f t="shared" si="49"/>
        <v>99.999989999999997</v>
      </c>
      <c r="AD92" s="15">
        <f t="shared" si="50"/>
        <v>99.999989999999997</v>
      </c>
      <c r="AE92" s="15">
        <f t="shared" si="51"/>
        <v>99.999989999999997</v>
      </c>
      <c r="AF92" s="15">
        <f t="shared" si="52"/>
        <v>99.999989999999997</v>
      </c>
      <c r="AG92" s="15">
        <f t="shared" si="53"/>
        <v>99.999989999999997</v>
      </c>
      <c r="AH92" s="15">
        <f t="shared" si="54"/>
        <v>99.999989999999997</v>
      </c>
      <c r="AI92" s="15">
        <f t="shared" si="55"/>
        <v>99.999989999999997</v>
      </c>
      <c r="AJ92" s="15">
        <f t="shared" si="56"/>
        <v>99.999989999999997</v>
      </c>
      <c r="AK92" s="5">
        <f t="shared" si="57"/>
        <v>99.999989999999997</v>
      </c>
    </row>
    <row r="93" spans="1:37" x14ac:dyDescent="0.25">
      <c r="A93" s="52"/>
      <c r="B93" s="52"/>
      <c r="C93" s="90"/>
      <c r="D93" s="90"/>
      <c r="E93" s="90"/>
      <c r="F93" s="93"/>
      <c r="G93" s="94"/>
      <c r="H93" s="94"/>
      <c r="I93" s="95"/>
      <c r="J93" s="95"/>
      <c r="K93" s="95"/>
      <c r="L93" s="95"/>
      <c r="M93" s="95"/>
      <c r="N93" s="95"/>
      <c r="O93" s="95"/>
      <c r="P93" s="95"/>
      <c r="Q93" s="95"/>
      <c r="R93" s="96"/>
      <c r="S93" s="13" t="e">
        <f t="shared" si="39"/>
        <v>#DIV/0!</v>
      </c>
      <c r="T93" s="4">
        <f t="shared" ca="1" si="40"/>
        <v>41553</v>
      </c>
      <c r="U93" s="4">
        <f t="shared" ca="1" si="41"/>
        <v>-41193</v>
      </c>
      <c r="V93" s="4" t="e">
        <f t="shared" ca="1" si="42"/>
        <v>#NUM!</v>
      </c>
      <c r="W93" s="13" t="e">
        <f t="shared" ca="1" si="43"/>
        <v>#NUM!</v>
      </c>
      <c r="X93" s="5" t="e">
        <f t="shared" ca="1" si="44"/>
        <v>#NUM!</v>
      </c>
      <c r="Y93" s="15">
        <f t="shared" si="45"/>
        <v>99.999989999999997</v>
      </c>
      <c r="Z93" s="15">
        <f t="shared" si="46"/>
        <v>99.999989999999997</v>
      </c>
      <c r="AA93" s="15">
        <f t="shared" si="47"/>
        <v>99.999989999999997</v>
      </c>
      <c r="AB93" s="15">
        <f t="shared" si="48"/>
        <v>99.999989999999997</v>
      </c>
      <c r="AC93" s="15">
        <f t="shared" si="49"/>
        <v>99.999989999999997</v>
      </c>
      <c r="AD93" s="15">
        <f t="shared" si="50"/>
        <v>99.999989999999997</v>
      </c>
      <c r="AE93" s="15">
        <f t="shared" si="51"/>
        <v>99.999989999999997</v>
      </c>
      <c r="AF93" s="15">
        <f t="shared" si="52"/>
        <v>99.999989999999997</v>
      </c>
      <c r="AG93" s="15">
        <f t="shared" si="53"/>
        <v>99.999989999999997</v>
      </c>
      <c r="AH93" s="15">
        <f t="shared" si="54"/>
        <v>99.999989999999997</v>
      </c>
      <c r="AI93" s="15">
        <f t="shared" si="55"/>
        <v>99.999989999999997</v>
      </c>
      <c r="AJ93" s="15">
        <f t="shared" si="56"/>
        <v>99.999989999999997</v>
      </c>
      <c r="AK93" s="5">
        <f t="shared" si="57"/>
        <v>99.999989999999997</v>
      </c>
    </row>
    <row r="94" spans="1:37" x14ac:dyDescent="0.25">
      <c r="A94" s="52"/>
      <c r="B94" s="52"/>
      <c r="C94" s="90"/>
      <c r="D94" s="90"/>
      <c r="E94" s="90"/>
      <c r="F94" s="93"/>
      <c r="G94" s="94"/>
      <c r="H94" s="94"/>
      <c r="I94" s="95"/>
      <c r="J94" s="95"/>
      <c r="K94" s="95"/>
      <c r="L94" s="95"/>
      <c r="M94" s="95"/>
      <c r="N94" s="95"/>
      <c r="O94" s="95"/>
      <c r="P94" s="95"/>
      <c r="Q94" s="95"/>
      <c r="R94" s="96"/>
      <c r="S94" s="13" t="e">
        <f t="shared" si="39"/>
        <v>#DIV/0!</v>
      </c>
      <c r="T94" s="4">
        <f t="shared" ca="1" si="40"/>
        <v>41553</v>
      </c>
      <c r="U94" s="4">
        <f t="shared" ca="1" si="41"/>
        <v>-41193</v>
      </c>
      <c r="V94" s="4" t="e">
        <f t="shared" ca="1" si="42"/>
        <v>#NUM!</v>
      </c>
      <c r="W94" s="13" t="e">
        <f t="shared" ca="1" si="43"/>
        <v>#NUM!</v>
      </c>
      <c r="X94" s="5" t="e">
        <f t="shared" ca="1" si="44"/>
        <v>#NUM!</v>
      </c>
      <c r="Y94" s="15">
        <f t="shared" si="45"/>
        <v>99.999989999999997</v>
      </c>
      <c r="Z94" s="15">
        <f t="shared" si="46"/>
        <v>99.999989999999997</v>
      </c>
      <c r="AA94" s="15">
        <f t="shared" si="47"/>
        <v>99.999989999999997</v>
      </c>
      <c r="AB94" s="15">
        <f t="shared" si="48"/>
        <v>99.999989999999997</v>
      </c>
      <c r="AC94" s="15">
        <f t="shared" si="49"/>
        <v>99.999989999999997</v>
      </c>
      <c r="AD94" s="15">
        <f t="shared" si="50"/>
        <v>99.999989999999997</v>
      </c>
      <c r="AE94" s="15">
        <f t="shared" si="51"/>
        <v>99.999989999999997</v>
      </c>
      <c r="AF94" s="15">
        <f t="shared" si="52"/>
        <v>99.999989999999997</v>
      </c>
      <c r="AG94" s="15">
        <f t="shared" si="53"/>
        <v>99.999989999999997</v>
      </c>
      <c r="AH94" s="15">
        <f t="shared" si="54"/>
        <v>99.999989999999997</v>
      </c>
      <c r="AI94" s="15">
        <f t="shared" si="55"/>
        <v>99.999989999999997</v>
      </c>
      <c r="AJ94" s="15">
        <f t="shared" si="56"/>
        <v>99.999989999999997</v>
      </c>
      <c r="AK94" s="5">
        <f t="shared" si="57"/>
        <v>99.999989999999997</v>
      </c>
    </row>
    <row r="95" spans="1:37" x14ac:dyDescent="0.25">
      <c r="A95" s="52"/>
      <c r="B95" s="52"/>
      <c r="C95" s="90"/>
      <c r="D95" s="90"/>
      <c r="E95" s="90"/>
      <c r="F95" s="93"/>
      <c r="G95" s="94"/>
      <c r="H95" s="94"/>
      <c r="I95" s="95"/>
      <c r="J95" s="95"/>
      <c r="K95" s="95"/>
      <c r="L95" s="95"/>
      <c r="M95" s="95"/>
      <c r="N95" s="95"/>
      <c r="O95" s="95"/>
      <c r="P95" s="95"/>
      <c r="Q95" s="95"/>
      <c r="R95" s="96"/>
      <c r="S95" s="13" t="e">
        <f t="shared" si="39"/>
        <v>#DIV/0!</v>
      </c>
      <c r="T95" s="4">
        <f t="shared" ca="1" si="40"/>
        <v>41553</v>
      </c>
      <c r="U95" s="4">
        <f t="shared" ca="1" si="41"/>
        <v>-41193</v>
      </c>
      <c r="V95" s="4" t="e">
        <f t="shared" ca="1" si="42"/>
        <v>#NUM!</v>
      </c>
      <c r="W95" s="13" t="e">
        <f t="shared" ca="1" si="43"/>
        <v>#NUM!</v>
      </c>
      <c r="X95" s="5" t="e">
        <f t="shared" ca="1" si="44"/>
        <v>#NUM!</v>
      </c>
      <c r="Y95" s="15">
        <f t="shared" si="45"/>
        <v>99.999989999999997</v>
      </c>
      <c r="Z95" s="15">
        <f t="shared" si="46"/>
        <v>99.999989999999997</v>
      </c>
      <c r="AA95" s="15">
        <f t="shared" si="47"/>
        <v>99.999989999999997</v>
      </c>
      <c r="AB95" s="15">
        <f t="shared" si="48"/>
        <v>99.999989999999997</v>
      </c>
      <c r="AC95" s="15">
        <f t="shared" si="49"/>
        <v>99.999989999999997</v>
      </c>
      <c r="AD95" s="15">
        <f t="shared" si="50"/>
        <v>99.999989999999997</v>
      </c>
      <c r="AE95" s="15">
        <f t="shared" si="51"/>
        <v>99.999989999999997</v>
      </c>
      <c r="AF95" s="15">
        <f t="shared" si="52"/>
        <v>99.999989999999997</v>
      </c>
      <c r="AG95" s="15">
        <f t="shared" si="53"/>
        <v>99.999989999999997</v>
      </c>
      <c r="AH95" s="15">
        <f t="shared" si="54"/>
        <v>99.999989999999997</v>
      </c>
      <c r="AI95" s="15">
        <f t="shared" si="55"/>
        <v>99.999989999999997</v>
      </c>
      <c r="AJ95" s="15">
        <f t="shared" si="56"/>
        <v>99.999989999999997</v>
      </c>
      <c r="AK95" s="5">
        <f t="shared" si="57"/>
        <v>99.999989999999997</v>
      </c>
    </row>
    <row r="96" spans="1:37" x14ac:dyDescent="0.25">
      <c r="A96" s="52"/>
      <c r="B96" s="52"/>
      <c r="C96" s="90"/>
      <c r="D96" s="90"/>
      <c r="E96" s="90"/>
      <c r="F96" s="93"/>
      <c r="G96" s="94"/>
      <c r="H96" s="94"/>
      <c r="I96" s="95"/>
      <c r="J96" s="95"/>
      <c r="K96" s="95"/>
      <c r="L96" s="95"/>
      <c r="M96" s="95"/>
      <c r="N96" s="95"/>
      <c r="O96" s="95"/>
      <c r="P96" s="95"/>
      <c r="Q96" s="95"/>
      <c r="R96" s="96"/>
      <c r="S96" s="13" t="e">
        <f t="shared" si="39"/>
        <v>#DIV/0!</v>
      </c>
      <c r="T96" s="4">
        <f t="shared" ca="1" si="40"/>
        <v>41553</v>
      </c>
      <c r="U96" s="4">
        <f t="shared" ca="1" si="41"/>
        <v>-41193</v>
      </c>
      <c r="V96" s="4" t="e">
        <f t="shared" ca="1" si="42"/>
        <v>#NUM!</v>
      </c>
      <c r="W96" s="13" t="e">
        <f t="shared" ca="1" si="43"/>
        <v>#NUM!</v>
      </c>
      <c r="X96" s="5" t="e">
        <f t="shared" ca="1" si="44"/>
        <v>#NUM!</v>
      </c>
      <c r="Y96" s="15">
        <f t="shared" si="45"/>
        <v>99.999989999999997</v>
      </c>
      <c r="Z96" s="15">
        <f t="shared" si="46"/>
        <v>99.999989999999997</v>
      </c>
      <c r="AA96" s="15">
        <f t="shared" si="47"/>
        <v>99.999989999999997</v>
      </c>
      <c r="AB96" s="15">
        <f t="shared" si="48"/>
        <v>99.999989999999997</v>
      </c>
      <c r="AC96" s="15">
        <f t="shared" si="49"/>
        <v>99.999989999999997</v>
      </c>
      <c r="AD96" s="15">
        <f t="shared" si="50"/>
        <v>99.999989999999997</v>
      </c>
      <c r="AE96" s="15">
        <f t="shared" si="51"/>
        <v>99.999989999999997</v>
      </c>
      <c r="AF96" s="15">
        <f t="shared" si="52"/>
        <v>99.999989999999997</v>
      </c>
      <c r="AG96" s="15">
        <f t="shared" si="53"/>
        <v>99.999989999999997</v>
      </c>
      <c r="AH96" s="15">
        <f t="shared" si="54"/>
        <v>99.999989999999997</v>
      </c>
      <c r="AI96" s="15">
        <f t="shared" si="55"/>
        <v>99.999989999999997</v>
      </c>
      <c r="AJ96" s="15">
        <f t="shared" si="56"/>
        <v>99.999989999999997</v>
      </c>
      <c r="AK96" s="5">
        <f t="shared" si="57"/>
        <v>99.999989999999997</v>
      </c>
    </row>
    <row r="97" spans="1:37" x14ac:dyDescent="0.25">
      <c r="A97" s="52"/>
      <c r="B97" s="52"/>
      <c r="C97" s="90"/>
      <c r="D97" s="90"/>
      <c r="E97" s="90"/>
      <c r="F97" s="93"/>
      <c r="G97" s="94"/>
      <c r="H97" s="94"/>
      <c r="I97" s="95"/>
      <c r="J97" s="95"/>
      <c r="K97" s="95"/>
      <c r="L97" s="95"/>
      <c r="M97" s="95"/>
      <c r="N97" s="95"/>
      <c r="O97" s="95"/>
      <c r="P97" s="95"/>
      <c r="Q97" s="95"/>
      <c r="R97" s="96"/>
      <c r="S97" s="13" t="e">
        <f t="shared" si="39"/>
        <v>#DIV/0!</v>
      </c>
      <c r="T97" s="4">
        <f t="shared" ca="1" si="40"/>
        <v>41553</v>
      </c>
      <c r="U97" s="4">
        <f t="shared" ca="1" si="41"/>
        <v>-41193</v>
      </c>
      <c r="V97" s="4" t="e">
        <f t="shared" ca="1" si="42"/>
        <v>#NUM!</v>
      </c>
      <c r="W97" s="13" t="e">
        <f t="shared" ca="1" si="43"/>
        <v>#NUM!</v>
      </c>
      <c r="X97" s="5" t="e">
        <f t="shared" ca="1" si="44"/>
        <v>#NUM!</v>
      </c>
      <c r="Y97" s="15">
        <f t="shared" si="45"/>
        <v>99.999989999999997</v>
      </c>
      <c r="Z97" s="15">
        <f t="shared" si="46"/>
        <v>99.999989999999997</v>
      </c>
      <c r="AA97" s="15">
        <f t="shared" si="47"/>
        <v>99.999989999999997</v>
      </c>
      <c r="AB97" s="15">
        <f t="shared" si="48"/>
        <v>99.999989999999997</v>
      </c>
      <c r="AC97" s="15">
        <f t="shared" si="49"/>
        <v>99.999989999999997</v>
      </c>
      <c r="AD97" s="15">
        <f t="shared" si="50"/>
        <v>99.999989999999997</v>
      </c>
      <c r="AE97" s="15">
        <f t="shared" si="51"/>
        <v>99.999989999999997</v>
      </c>
      <c r="AF97" s="15">
        <f t="shared" si="52"/>
        <v>99.999989999999997</v>
      </c>
      <c r="AG97" s="15">
        <f t="shared" si="53"/>
        <v>99.999989999999997</v>
      </c>
      <c r="AH97" s="15">
        <f t="shared" si="54"/>
        <v>99.999989999999997</v>
      </c>
      <c r="AI97" s="15">
        <f t="shared" si="55"/>
        <v>99.999989999999997</v>
      </c>
      <c r="AJ97" s="15">
        <f t="shared" si="56"/>
        <v>99.999989999999997</v>
      </c>
      <c r="AK97" s="5">
        <f t="shared" si="57"/>
        <v>99.999989999999997</v>
      </c>
    </row>
    <row r="98" spans="1:37" x14ac:dyDescent="0.25">
      <c r="A98" s="52"/>
      <c r="B98" s="52"/>
      <c r="C98" s="90"/>
      <c r="D98" s="90"/>
      <c r="E98" s="90"/>
      <c r="F98" s="93"/>
      <c r="G98" s="94"/>
      <c r="H98" s="94"/>
      <c r="I98" s="95"/>
      <c r="J98" s="95"/>
      <c r="K98" s="95"/>
      <c r="L98" s="95"/>
      <c r="M98" s="95"/>
      <c r="N98" s="95"/>
      <c r="O98" s="95"/>
      <c r="P98" s="95"/>
      <c r="Q98" s="95"/>
      <c r="R98" s="96"/>
      <c r="S98" s="13" t="e">
        <f t="shared" si="39"/>
        <v>#DIV/0!</v>
      </c>
      <c r="T98" s="4">
        <f t="shared" ca="1" si="40"/>
        <v>41553</v>
      </c>
      <c r="U98" s="4">
        <f t="shared" ca="1" si="41"/>
        <v>-41193</v>
      </c>
      <c r="V98" s="4" t="e">
        <f t="shared" ca="1" si="42"/>
        <v>#NUM!</v>
      </c>
      <c r="W98" s="13" t="e">
        <f t="shared" ca="1" si="43"/>
        <v>#NUM!</v>
      </c>
      <c r="X98" s="5" t="e">
        <f t="shared" ca="1" si="44"/>
        <v>#NUM!</v>
      </c>
      <c r="Y98" s="15">
        <f t="shared" si="45"/>
        <v>99.999989999999997</v>
      </c>
      <c r="Z98" s="15">
        <f t="shared" si="46"/>
        <v>99.999989999999997</v>
      </c>
      <c r="AA98" s="15">
        <f t="shared" si="47"/>
        <v>99.999989999999997</v>
      </c>
      <c r="AB98" s="15">
        <f t="shared" si="48"/>
        <v>99.999989999999997</v>
      </c>
      <c r="AC98" s="15">
        <f t="shared" si="49"/>
        <v>99.999989999999997</v>
      </c>
      <c r="AD98" s="15">
        <f t="shared" si="50"/>
        <v>99.999989999999997</v>
      </c>
      <c r="AE98" s="15">
        <f t="shared" si="51"/>
        <v>99.999989999999997</v>
      </c>
      <c r="AF98" s="15">
        <f t="shared" si="52"/>
        <v>99.999989999999997</v>
      </c>
      <c r="AG98" s="15">
        <f t="shared" si="53"/>
        <v>99.999989999999997</v>
      </c>
      <c r="AH98" s="15">
        <f t="shared" si="54"/>
        <v>99.999989999999997</v>
      </c>
      <c r="AI98" s="15">
        <f t="shared" si="55"/>
        <v>99.999989999999997</v>
      </c>
      <c r="AJ98" s="15">
        <f t="shared" si="56"/>
        <v>99.999989999999997</v>
      </c>
      <c r="AK98" s="5">
        <f t="shared" si="57"/>
        <v>99.999989999999997</v>
      </c>
    </row>
    <row r="99" spans="1:37" x14ac:dyDescent="0.25">
      <c r="A99" s="52"/>
      <c r="B99" s="52"/>
      <c r="C99" s="90"/>
      <c r="D99" s="90"/>
      <c r="E99" s="90"/>
      <c r="F99" s="93"/>
      <c r="G99" s="94"/>
      <c r="H99" s="94"/>
      <c r="I99" s="95"/>
      <c r="J99" s="95"/>
      <c r="K99" s="95"/>
      <c r="L99" s="95"/>
      <c r="M99" s="95"/>
      <c r="N99" s="95"/>
      <c r="O99" s="95"/>
      <c r="P99" s="95"/>
      <c r="Q99" s="95"/>
      <c r="R99" s="96"/>
      <c r="S99" s="13" t="e">
        <f t="shared" si="39"/>
        <v>#DIV/0!</v>
      </c>
      <c r="T99" s="4">
        <f t="shared" ca="1" si="40"/>
        <v>41553</v>
      </c>
      <c r="U99" s="4">
        <f t="shared" ca="1" si="41"/>
        <v>-41193</v>
      </c>
      <c r="V99" s="4" t="e">
        <f t="shared" ca="1" si="42"/>
        <v>#NUM!</v>
      </c>
      <c r="W99" s="13" t="e">
        <f t="shared" ca="1" si="43"/>
        <v>#NUM!</v>
      </c>
      <c r="X99" s="5" t="e">
        <f t="shared" ca="1" si="44"/>
        <v>#NUM!</v>
      </c>
      <c r="Y99" s="15">
        <f t="shared" si="45"/>
        <v>99.999989999999997</v>
      </c>
      <c r="Z99" s="15">
        <f t="shared" si="46"/>
        <v>99.999989999999997</v>
      </c>
      <c r="AA99" s="15">
        <f t="shared" si="47"/>
        <v>99.999989999999997</v>
      </c>
      <c r="AB99" s="15">
        <f t="shared" si="48"/>
        <v>99.999989999999997</v>
      </c>
      <c r="AC99" s="15">
        <f t="shared" si="49"/>
        <v>99.999989999999997</v>
      </c>
      <c r="AD99" s="15">
        <f t="shared" si="50"/>
        <v>99.999989999999997</v>
      </c>
      <c r="AE99" s="15">
        <f t="shared" si="51"/>
        <v>99.999989999999997</v>
      </c>
      <c r="AF99" s="15">
        <f t="shared" si="52"/>
        <v>99.999989999999997</v>
      </c>
      <c r="AG99" s="15">
        <f t="shared" si="53"/>
        <v>99.999989999999997</v>
      </c>
      <c r="AH99" s="15">
        <f t="shared" si="54"/>
        <v>99.999989999999997</v>
      </c>
      <c r="AI99" s="15">
        <f t="shared" si="55"/>
        <v>99.999989999999997</v>
      </c>
      <c r="AJ99" s="15">
        <f t="shared" si="56"/>
        <v>99.999989999999997</v>
      </c>
      <c r="AK99" s="5">
        <f t="shared" si="57"/>
        <v>99.999989999999997</v>
      </c>
    </row>
    <row r="100" spans="1:37" x14ac:dyDescent="0.25">
      <c r="A100" s="52"/>
      <c r="B100" s="52"/>
      <c r="C100" s="90"/>
      <c r="D100" s="90"/>
      <c r="E100" s="90"/>
      <c r="F100" s="93"/>
      <c r="G100" s="94"/>
      <c r="H100" s="94"/>
      <c r="I100" s="95"/>
      <c r="J100" s="95"/>
      <c r="K100" s="95"/>
      <c r="L100" s="95"/>
      <c r="M100" s="95"/>
      <c r="N100" s="95"/>
      <c r="O100" s="95"/>
      <c r="P100" s="95"/>
      <c r="Q100" s="95"/>
      <c r="R100" s="96"/>
      <c r="S100" s="13" t="e">
        <f t="shared" si="39"/>
        <v>#DIV/0!</v>
      </c>
      <c r="T100" s="4">
        <f t="shared" ca="1" si="40"/>
        <v>41553</v>
      </c>
      <c r="U100" s="4">
        <f t="shared" ca="1" si="41"/>
        <v>-41193</v>
      </c>
      <c r="V100" s="4" t="e">
        <f t="shared" ca="1" si="42"/>
        <v>#NUM!</v>
      </c>
      <c r="W100" s="13" t="e">
        <f t="shared" ca="1" si="43"/>
        <v>#NUM!</v>
      </c>
      <c r="X100" s="5" t="e">
        <f t="shared" ca="1" si="44"/>
        <v>#NUM!</v>
      </c>
      <c r="Y100" s="15">
        <f t="shared" si="45"/>
        <v>99.999989999999997</v>
      </c>
      <c r="Z100" s="15">
        <f t="shared" si="46"/>
        <v>99.999989999999997</v>
      </c>
      <c r="AA100" s="15">
        <f t="shared" si="47"/>
        <v>99.999989999999997</v>
      </c>
      <c r="AB100" s="15">
        <f t="shared" si="48"/>
        <v>99.999989999999997</v>
      </c>
      <c r="AC100" s="15">
        <f t="shared" si="49"/>
        <v>99.999989999999997</v>
      </c>
      <c r="AD100" s="15">
        <f t="shared" si="50"/>
        <v>99.999989999999997</v>
      </c>
      <c r="AE100" s="15">
        <f t="shared" si="51"/>
        <v>99.999989999999997</v>
      </c>
      <c r="AF100" s="15">
        <f t="shared" si="52"/>
        <v>99.999989999999997</v>
      </c>
      <c r="AG100" s="15">
        <f t="shared" si="53"/>
        <v>99.999989999999997</v>
      </c>
      <c r="AH100" s="15">
        <f t="shared" si="54"/>
        <v>99.999989999999997</v>
      </c>
      <c r="AI100" s="15">
        <f t="shared" si="55"/>
        <v>99.999989999999997</v>
      </c>
      <c r="AJ100" s="15">
        <f t="shared" si="56"/>
        <v>99.999989999999997</v>
      </c>
      <c r="AK100" s="5">
        <f t="shared" si="57"/>
        <v>99.999989999999997</v>
      </c>
    </row>
    <row r="101" spans="1:37" x14ac:dyDescent="0.25">
      <c r="A101" s="52"/>
      <c r="B101" s="52"/>
      <c r="C101" s="90"/>
      <c r="D101" s="90"/>
      <c r="E101" s="90"/>
      <c r="F101" s="93"/>
      <c r="G101" s="94"/>
      <c r="H101" s="94"/>
      <c r="I101" s="95"/>
      <c r="J101" s="95"/>
      <c r="K101" s="95"/>
      <c r="L101" s="95"/>
      <c r="M101" s="95"/>
      <c r="N101" s="95"/>
      <c r="O101" s="95"/>
      <c r="P101" s="95"/>
      <c r="Q101" s="95"/>
      <c r="R101" s="96"/>
      <c r="S101" s="13" t="e">
        <f t="shared" si="39"/>
        <v>#DIV/0!</v>
      </c>
      <c r="T101" s="4">
        <f t="shared" ca="1" si="40"/>
        <v>41553</v>
      </c>
      <c r="U101" s="4">
        <f t="shared" ca="1" si="41"/>
        <v>-41193</v>
      </c>
      <c r="V101" s="4" t="e">
        <f t="shared" ca="1" si="42"/>
        <v>#NUM!</v>
      </c>
      <c r="W101" s="13" t="e">
        <f t="shared" ca="1" si="43"/>
        <v>#NUM!</v>
      </c>
      <c r="X101" s="5" t="e">
        <f t="shared" ca="1" si="44"/>
        <v>#NUM!</v>
      </c>
      <c r="Y101" s="15">
        <f t="shared" si="45"/>
        <v>99.999989999999997</v>
      </c>
      <c r="Z101" s="15">
        <f t="shared" si="46"/>
        <v>99.999989999999997</v>
      </c>
      <c r="AA101" s="15">
        <f t="shared" si="47"/>
        <v>99.999989999999997</v>
      </c>
      <c r="AB101" s="15">
        <f t="shared" si="48"/>
        <v>99.999989999999997</v>
      </c>
      <c r="AC101" s="15">
        <f t="shared" si="49"/>
        <v>99.999989999999997</v>
      </c>
      <c r="AD101" s="15">
        <f t="shared" si="50"/>
        <v>99.999989999999997</v>
      </c>
      <c r="AE101" s="15">
        <f t="shared" si="51"/>
        <v>99.999989999999997</v>
      </c>
      <c r="AF101" s="15">
        <f t="shared" si="52"/>
        <v>99.999989999999997</v>
      </c>
      <c r="AG101" s="15">
        <f t="shared" si="53"/>
        <v>99.999989999999997</v>
      </c>
      <c r="AH101" s="15">
        <f t="shared" si="54"/>
        <v>99.999989999999997</v>
      </c>
      <c r="AI101" s="15">
        <f t="shared" si="55"/>
        <v>99.999989999999997</v>
      </c>
      <c r="AJ101" s="15">
        <f t="shared" si="56"/>
        <v>99.999989999999997</v>
      </c>
      <c r="AK101" s="5">
        <f t="shared" si="57"/>
        <v>99.999989999999997</v>
      </c>
    </row>
    <row r="102" spans="1:37" x14ac:dyDescent="0.25">
      <c r="A102" s="52"/>
      <c r="B102" s="52"/>
      <c r="C102" s="90"/>
      <c r="D102" s="90"/>
      <c r="E102" s="90"/>
      <c r="F102" s="93"/>
      <c r="G102" s="94"/>
      <c r="H102" s="94"/>
      <c r="I102" s="95"/>
      <c r="J102" s="95"/>
      <c r="K102" s="95"/>
      <c r="L102" s="95"/>
      <c r="M102" s="95"/>
      <c r="N102" s="95"/>
      <c r="O102" s="95"/>
      <c r="P102" s="95"/>
      <c r="Q102" s="95"/>
      <c r="R102" s="96"/>
      <c r="S102" s="13" t="e">
        <f t="shared" si="20"/>
        <v>#DIV/0!</v>
      </c>
      <c r="T102" s="4">
        <f t="shared" ca="1" si="21"/>
        <v>41553</v>
      </c>
      <c r="U102" s="4">
        <f t="shared" ca="1" si="22"/>
        <v>-41193</v>
      </c>
      <c r="V102" s="4" t="e">
        <f t="shared" ca="1" si="23"/>
        <v>#NUM!</v>
      </c>
      <c r="W102" s="13" t="e">
        <f t="shared" ca="1" si="24"/>
        <v>#NUM!</v>
      </c>
      <c r="X102" s="5" t="e">
        <f t="shared" ca="1" si="25"/>
        <v>#NUM!</v>
      </c>
      <c r="Y102" s="15">
        <f t="shared" si="26"/>
        <v>99.999989999999997</v>
      </c>
      <c r="Z102" s="15">
        <f t="shared" si="27"/>
        <v>99.999989999999997</v>
      </c>
      <c r="AA102" s="15">
        <f t="shared" si="28"/>
        <v>99.999989999999997</v>
      </c>
      <c r="AB102" s="15">
        <f t="shared" si="29"/>
        <v>99.999989999999997</v>
      </c>
      <c r="AC102" s="15">
        <f t="shared" si="30"/>
        <v>99.999989999999997</v>
      </c>
      <c r="AD102" s="15">
        <f t="shared" si="31"/>
        <v>99.999989999999997</v>
      </c>
      <c r="AE102" s="15">
        <f t="shared" si="32"/>
        <v>99.999989999999997</v>
      </c>
      <c r="AF102" s="15">
        <f t="shared" si="33"/>
        <v>99.999989999999997</v>
      </c>
      <c r="AG102" s="15">
        <f t="shared" si="34"/>
        <v>99.999989999999997</v>
      </c>
      <c r="AH102" s="15">
        <f t="shared" si="35"/>
        <v>99.999989999999997</v>
      </c>
      <c r="AI102" s="15">
        <f t="shared" si="36"/>
        <v>99.999989999999997</v>
      </c>
      <c r="AJ102" s="15">
        <f t="shared" si="37"/>
        <v>99.999989999999997</v>
      </c>
      <c r="AK102" s="5">
        <f t="shared" si="38"/>
        <v>99.999989999999997</v>
      </c>
    </row>
    <row r="103" spans="1:37" x14ac:dyDescent="0.25">
      <c r="A103" s="52"/>
      <c r="B103" s="52"/>
      <c r="C103" s="90"/>
      <c r="D103" s="90"/>
      <c r="E103" s="90"/>
      <c r="F103" s="93"/>
      <c r="G103" s="94"/>
      <c r="H103" s="94"/>
      <c r="I103" s="95"/>
      <c r="J103" s="95"/>
      <c r="K103" s="95"/>
      <c r="L103" s="95"/>
      <c r="M103" s="95"/>
      <c r="N103" s="95"/>
      <c r="O103" s="95"/>
      <c r="P103" s="95"/>
      <c r="Q103" s="95"/>
      <c r="R103" s="96"/>
      <c r="S103" s="13" t="e">
        <f t="shared" ref="S103" si="58">AVERAGE(F103:R103)</f>
        <v>#DIV/0!</v>
      </c>
      <c r="T103" s="4">
        <f t="shared" ref="T103" ca="1" si="59">IF(DAYS360(TODAY(),DATE(E103+2,D103,C103))&gt;=720,0,360-U103)</f>
        <v>41553</v>
      </c>
      <c r="U103" s="4">
        <f t="shared" ref="U103" ca="1" si="60">IF(DAYS360(TODAY(),DATE(E103+1,D103,C103))&lt;=360,DAYS360(TODAY(),DATE(E103+1,D103,C103)),360-V103)</f>
        <v>-41193</v>
      </c>
      <c r="V103" s="4" t="e">
        <f t="shared" ca="1" si="23"/>
        <v>#NUM!</v>
      </c>
      <c r="W103" s="13" t="e">
        <f t="shared" ref="W103" ca="1" si="61">(F103/360*T103)+(G103/360*U103)+(H103/360*V103)</f>
        <v>#NUM!</v>
      </c>
      <c r="X103" s="5" t="e">
        <f t="shared" ref="X103" ca="1" si="62">IF(W103&lt;0,IF(W103&lt;0,((W103/S103)-1)*-1,(W103/S103)-1),IF(S103&lt;0,ABS((W103/S103)-1),(W103/S103)-1))</f>
        <v>#NUM!</v>
      </c>
      <c r="Y103" s="15">
        <f t="shared" si="26"/>
        <v>99.999989999999997</v>
      </c>
      <c r="Z103" s="15">
        <f t="shared" si="27"/>
        <v>99.999989999999997</v>
      </c>
      <c r="AA103" s="15">
        <f t="shared" si="28"/>
        <v>99.999989999999997</v>
      </c>
      <c r="AB103" s="15">
        <f t="shared" si="29"/>
        <v>99.999989999999997</v>
      </c>
      <c r="AC103" s="15">
        <f t="shared" si="30"/>
        <v>99.999989999999997</v>
      </c>
      <c r="AD103" s="15">
        <f t="shared" si="31"/>
        <v>99.999989999999997</v>
      </c>
      <c r="AE103" s="15">
        <f t="shared" si="32"/>
        <v>99.999989999999997</v>
      </c>
      <c r="AF103" s="15">
        <f t="shared" si="33"/>
        <v>99.999989999999997</v>
      </c>
      <c r="AG103" s="15">
        <f t="shared" si="34"/>
        <v>99.999989999999997</v>
      </c>
      <c r="AH103" s="15">
        <f t="shared" si="35"/>
        <v>99.999989999999997</v>
      </c>
      <c r="AI103" s="15">
        <f t="shared" si="36"/>
        <v>99.999989999999997</v>
      </c>
      <c r="AJ103" s="15">
        <f t="shared" si="37"/>
        <v>99.999989999999997</v>
      </c>
      <c r="AK103" s="5">
        <f t="shared" ref="AK103" si="63">MIN(Y103:AJ103)</f>
        <v>99.999989999999997</v>
      </c>
    </row>
  </sheetData>
  <autoFilter ref="A3:AK3">
    <sortState ref="A4:AK68">
      <sortCondition ref="B3"/>
    </sortState>
  </autoFilter>
  <mergeCells count="3">
    <mergeCell ref="C2:E2"/>
    <mergeCell ref="T1:V1"/>
    <mergeCell ref="Y1:AJ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3"/>
  <sheetViews>
    <sheetView zoomScale="60" zoomScaleNormal="60" workbookViewId="0">
      <pane ySplit="3" topLeftCell="A4" activePane="bottomLeft" state="frozenSplit"/>
      <selection pane="bottomLeft"/>
    </sheetView>
  </sheetViews>
  <sheetFormatPr baseColWidth="10" defaultRowHeight="15" x14ac:dyDescent="0.25"/>
  <cols>
    <col min="1" max="1" width="28" customWidth="1"/>
    <col min="2" max="2" width="20.85546875" customWidth="1"/>
    <col min="3" max="3" width="10.42578125" bestFit="1" customWidth="1"/>
    <col min="4" max="4" width="13.7109375" customWidth="1"/>
    <col min="5" max="5" width="11.140625" bestFit="1" customWidth="1"/>
    <col min="6" max="6" width="15.140625" customWidth="1"/>
    <col min="7" max="7" width="14.7109375" bestFit="1" customWidth="1"/>
    <col min="8" max="8" width="15.140625" customWidth="1"/>
    <col min="9" max="9" width="14.42578125" customWidth="1"/>
    <col min="10" max="18" width="14.85546875" customWidth="1"/>
    <col min="19" max="19" width="15.42578125" bestFit="1" customWidth="1"/>
    <col min="20" max="20" width="18" customWidth="1"/>
    <col min="21" max="21" width="15.140625" customWidth="1"/>
    <col min="22" max="22" width="14.7109375" bestFit="1" customWidth="1"/>
    <col min="23" max="23" width="15.140625" customWidth="1"/>
    <col min="24" max="24" width="24.85546875" customWidth="1"/>
    <col min="25" max="25" width="33.42578125" customWidth="1"/>
    <col min="26" max="26" width="15.140625" customWidth="1"/>
    <col min="27" max="27" width="14.7109375" bestFit="1" customWidth="1"/>
    <col min="28" max="28" width="15.140625" customWidth="1"/>
    <col min="29" max="29" width="14.42578125" customWidth="1"/>
    <col min="30" max="37" width="14.85546875" customWidth="1"/>
    <col min="38" max="38" width="15.85546875" bestFit="1" customWidth="1"/>
    <col min="39" max="39" width="39.42578125" customWidth="1"/>
  </cols>
  <sheetData>
    <row r="1" spans="1:39" x14ac:dyDescent="0.25">
      <c r="A1" s="1"/>
      <c r="B1" s="1"/>
      <c r="C1" s="1"/>
      <c r="D1" s="1"/>
      <c r="E1" s="1"/>
      <c r="F1" s="74"/>
      <c r="G1" s="75"/>
      <c r="H1" s="75"/>
      <c r="I1" s="75"/>
      <c r="J1" s="75"/>
      <c r="K1" s="75"/>
      <c r="L1" s="75"/>
      <c r="M1" s="75"/>
      <c r="N1" s="75"/>
      <c r="O1" s="75"/>
      <c r="P1" s="75"/>
      <c r="Q1" s="75"/>
      <c r="R1" s="75"/>
      <c r="S1" s="76"/>
      <c r="T1" s="1"/>
      <c r="U1" s="114" t="s">
        <v>114</v>
      </c>
      <c r="V1" s="114"/>
      <c r="W1" s="114"/>
      <c r="X1" s="1"/>
      <c r="Y1" s="1"/>
      <c r="Z1" s="114" t="s">
        <v>122</v>
      </c>
      <c r="AA1" s="114"/>
      <c r="AB1" s="114"/>
      <c r="AC1" s="114"/>
      <c r="AD1" s="114"/>
      <c r="AE1" s="114"/>
      <c r="AF1" s="114"/>
      <c r="AG1" s="114"/>
      <c r="AH1" s="114"/>
      <c r="AI1" s="114"/>
      <c r="AJ1" s="114"/>
      <c r="AK1" s="114"/>
      <c r="AL1" s="114"/>
    </row>
    <row r="2" spans="1:39" x14ac:dyDescent="0.25">
      <c r="A2" s="1"/>
      <c r="B2" s="1"/>
      <c r="C2" s="114" t="s">
        <v>165</v>
      </c>
      <c r="D2" s="114"/>
      <c r="E2" s="114"/>
      <c r="F2" s="57">
        <v>2017</v>
      </c>
      <c r="G2" s="1">
        <v>2016</v>
      </c>
      <c r="H2" s="1">
        <v>2015</v>
      </c>
      <c r="I2" s="37">
        <v>2014</v>
      </c>
      <c r="J2" s="37">
        <v>2013</v>
      </c>
      <c r="K2" s="37">
        <v>2012</v>
      </c>
      <c r="L2" s="37">
        <v>2011</v>
      </c>
      <c r="M2" s="37">
        <v>2010</v>
      </c>
      <c r="N2" s="37">
        <v>2009</v>
      </c>
      <c r="O2" s="37">
        <v>2008</v>
      </c>
      <c r="P2" s="37">
        <v>2007</v>
      </c>
      <c r="Q2" s="37">
        <v>2006</v>
      </c>
      <c r="R2" s="37">
        <v>2005</v>
      </c>
      <c r="S2" s="58">
        <v>2004</v>
      </c>
      <c r="T2" s="1"/>
      <c r="U2" s="1">
        <f>F2</f>
        <v>2017</v>
      </c>
      <c r="V2" s="1">
        <f>G2</f>
        <v>2016</v>
      </c>
      <c r="W2" s="1">
        <f>H2</f>
        <v>2015</v>
      </c>
      <c r="X2" s="1"/>
      <c r="Y2" s="1"/>
      <c r="Z2" s="1">
        <f t="shared" ref="Z2:AL2" si="0">F2</f>
        <v>2017</v>
      </c>
      <c r="AA2" s="1">
        <f t="shared" si="0"/>
        <v>2016</v>
      </c>
      <c r="AB2" s="1">
        <f t="shared" si="0"/>
        <v>2015</v>
      </c>
      <c r="AC2" s="1">
        <f t="shared" si="0"/>
        <v>2014</v>
      </c>
      <c r="AD2" s="1">
        <f t="shared" si="0"/>
        <v>2013</v>
      </c>
      <c r="AE2" s="1">
        <f t="shared" si="0"/>
        <v>2012</v>
      </c>
      <c r="AF2" s="1">
        <f t="shared" si="0"/>
        <v>2011</v>
      </c>
      <c r="AG2" s="1">
        <f t="shared" si="0"/>
        <v>2010</v>
      </c>
      <c r="AH2" s="1">
        <f t="shared" si="0"/>
        <v>2009</v>
      </c>
      <c r="AI2" s="1">
        <f t="shared" si="0"/>
        <v>2008</v>
      </c>
      <c r="AJ2" s="1">
        <f t="shared" si="0"/>
        <v>2007</v>
      </c>
      <c r="AK2" s="1">
        <f t="shared" si="0"/>
        <v>2006</v>
      </c>
      <c r="AL2" s="1">
        <f t="shared" si="0"/>
        <v>2005</v>
      </c>
    </row>
    <row r="3" spans="1:39" x14ac:dyDescent="0.25">
      <c r="A3" s="1" t="s">
        <v>0</v>
      </c>
      <c r="B3" s="1" t="s">
        <v>1</v>
      </c>
      <c r="C3" s="1" t="s">
        <v>166</v>
      </c>
      <c r="D3" s="1" t="s">
        <v>167</v>
      </c>
      <c r="E3" s="1" t="s">
        <v>137</v>
      </c>
      <c r="F3" s="57" t="s">
        <v>168</v>
      </c>
      <c r="G3" s="1" t="s">
        <v>111</v>
      </c>
      <c r="H3" s="1" t="s">
        <v>112</v>
      </c>
      <c r="I3" s="37" t="s">
        <v>101</v>
      </c>
      <c r="J3" s="37" t="s">
        <v>102</v>
      </c>
      <c r="K3" s="37" t="s">
        <v>103</v>
      </c>
      <c r="L3" s="37" t="s">
        <v>104</v>
      </c>
      <c r="M3" s="37" t="s">
        <v>105</v>
      </c>
      <c r="N3" s="37" t="s">
        <v>106</v>
      </c>
      <c r="O3" s="37" t="s">
        <v>107</v>
      </c>
      <c r="P3" s="37" t="s">
        <v>108</v>
      </c>
      <c r="Q3" s="37" t="s">
        <v>109</v>
      </c>
      <c r="R3" s="37" t="s">
        <v>110</v>
      </c>
      <c r="S3" s="58" t="s">
        <v>181</v>
      </c>
      <c r="T3" s="1" t="s">
        <v>120</v>
      </c>
      <c r="U3" s="1" t="s">
        <v>168</v>
      </c>
      <c r="V3" s="1" t="s">
        <v>111</v>
      </c>
      <c r="W3" s="1" t="s">
        <v>112</v>
      </c>
      <c r="X3" s="1" t="s">
        <v>159</v>
      </c>
      <c r="Y3" s="1" t="s">
        <v>121</v>
      </c>
      <c r="Z3" s="37" t="s">
        <v>168</v>
      </c>
      <c r="AA3" s="1" t="s">
        <v>111</v>
      </c>
      <c r="AB3" s="1" t="s">
        <v>112</v>
      </c>
      <c r="AC3" s="1" t="s">
        <v>101</v>
      </c>
      <c r="AD3" s="1" t="s">
        <v>102</v>
      </c>
      <c r="AE3" s="1" t="s">
        <v>103</v>
      </c>
      <c r="AF3" s="1" t="s">
        <v>104</v>
      </c>
      <c r="AG3" s="1" t="s">
        <v>105</v>
      </c>
      <c r="AH3" s="1" t="s">
        <v>106</v>
      </c>
      <c r="AI3" s="1" t="s">
        <v>107</v>
      </c>
      <c r="AJ3" s="1" t="s">
        <v>108</v>
      </c>
      <c r="AK3" s="1" t="s">
        <v>109</v>
      </c>
      <c r="AL3" s="1" t="s">
        <v>110</v>
      </c>
      <c r="AM3" s="1" t="s">
        <v>123</v>
      </c>
    </row>
    <row r="4" spans="1:39" x14ac:dyDescent="0.25">
      <c r="A4" t="s">
        <v>80</v>
      </c>
      <c r="B4" t="s">
        <v>164</v>
      </c>
      <c r="C4" s="56">
        <v>31</v>
      </c>
      <c r="D4" s="56">
        <v>12</v>
      </c>
      <c r="E4" s="56">
        <v>2015</v>
      </c>
      <c r="F4" s="65">
        <v>13.7</v>
      </c>
      <c r="G4" s="77">
        <v>12.6</v>
      </c>
      <c r="H4" s="77">
        <v>11.9</v>
      </c>
      <c r="I4" s="59">
        <v>11.12</v>
      </c>
      <c r="J4" s="59">
        <v>11.25</v>
      </c>
      <c r="K4" s="59">
        <v>10.38</v>
      </c>
      <c r="L4" s="59">
        <v>8.82</v>
      </c>
      <c r="M4" s="59">
        <v>7.64</v>
      </c>
      <c r="N4" s="59">
        <v>5.61</v>
      </c>
      <c r="O4" s="59">
        <v>5.27</v>
      </c>
      <c r="P4" s="59">
        <v>4.76</v>
      </c>
      <c r="Q4" s="59">
        <v>2.64</v>
      </c>
      <c r="R4" s="59">
        <v>3.3</v>
      </c>
      <c r="S4" s="60">
        <v>2.7</v>
      </c>
      <c r="T4" s="13">
        <f t="shared" ref="T4:T35" si="1">AVERAGE(F4:S4)</f>
        <v>7.9778571428571414</v>
      </c>
      <c r="U4" s="4">
        <f t="shared" ref="U4:U35" ca="1" si="2">IF(DAYS360(TODAY(),DATE(E4+2,D4,C4))&gt;=720,0,360-V4)</f>
        <v>0</v>
      </c>
      <c r="V4" s="4">
        <f t="shared" ref="V4:V35" ca="1" si="3">IF(DAYS360(TODAY(),DATE(E4+1,D4,C4))&lt;=360,DAYS360(TODAY(),DATE(E4+1,D4,C4)),360-W4)</f>
        <v>122</v>
      </c>
      <c r="W4" s="4">
        <f t="shared" ref="W4:W35" ca="1" si="4">IF(DATE(E4,D4,C4)&lt;=TODAY(),0,DAYS360(TODAY(),DATE(E4,D4,C4)))</f>
        <v>238</v>
      </c>
      <c r="X4" s="13">
        <f t="shared" ref="X4:X35" ca="1" si="5">(F4/360*U4)+(G4/360*V4)+(H4/360*W4)</f>
        <v>12.137222222222221</v>
      </c>
      <c r="Y4" s="5">
        <f t="shared" ref="Y4:Y35" ca="1" si="6">IF(X4&lt;0,IF(X4&lt;0,((X4/T4)-1)*-1,(X4/T4)-1),IF(T4&lt;0,ABS((X4/T4)-1),(X4/T4)-1))</f>
        <v>0.52136369514827763</v>
      </c>
      <c r="Z4" s="15">
        <f t="shared" ref="Z4:Z35" si="7">IF(F4&lt;&gt;"",IF(G4&lt;&gt;"",IF(G4=0,1,(F4/G4)-1),""),"")</f>
        <v>8.7301587301587213E-2</v>
      </c>
      <c r="AA4" s="15">
        <f t="shared" ref="AA4:AA35" si="8">IF(G4&lt;&gt;"",IF(H4&lt;&gt;"",IF(H4=0,1,(G4/H4)-1),""),"")</f>
        <v>5.8823529411764719E-2</v>
      </c>
      <c r="AB4" s="15">
        <f t="shared" ref="AB4:AB35" si="9">IF(H4&lt;&gt;"",IF(I4&lt;&gt;"",IF(I4=0,1,(H4/I4)-1),""),"")</f>
        <v>7.0143884892086339E-2</v>
      </c>
      <c r="AC4" s="15">
        <f t="shared" ref="AC4:AC35" si="10">IF(I4&lt;&gt;"",IF(J4&lt;&gt;"",IF(J4=0,1,(I4/J4)-1),""),"")</f>
        <v>-1.1555555555555652E-2</v>
      </c>
      <c r="AD4" s="15">
        <f t="shared" ref="AD4:AD35" si="11">IF(J4&lt;&gt;"",IF(K4&lt;&gt;"",IF(K4=0,1,(J4/K4)-1),""),"")</f>
        <v>8.381502890173409E-2</v>
      </c>
      <c r="AE4" s="15">
        <f t="shared" ref="AE4:AE35" si="12">IF(K4&lt;&gt;"",IF(L4&lt;&gt;"",IF(L4=0,1,(K4/L4)-1),""),"")</f>
        <v>0.1768707482993197</v>
      </c>
      <c r="AF4" s="15">
        <f t="shared" ref="AF4:AF35" si="13">IF(L4&lt;&gt;"",IF(M4&lt;&gt;"",IF(M4=0,1,(L4/M4)-1),""),"")</f>
        <v>0.1544502617801049</v>
      </c>
      <c r="AG4" s="15">
        <f t="shared" ref="AG4:AG35" si="14">IF(M4&lt;&gt;"",IF(N4&lt;&gt;"",IF(N4=0,1,(M4/N4)-1),""),"")</f>
        <v>0.3618538324420677</v>
      </c>
      <c r="AH4" s="15">
        <f t="shared" ref="AH4:AH35" si="15">IF(N4&lt;&gt;"",IF(O4&lt;&gt;"",IF(O4=0,1,(N4/O4)-1),""),"")</f>
        <v>6.4516129032258229E-2</v>
      </c>
      <c r="AI4" s="15">
        <f t="shared" ref="AI4:AI35" si="16">IF(O4&lt;&gt;"",IF(P4&lt;&gt;"",IF(P4=0,1,(O4/P4)-1),""),"")</f>
        <v>0.10714285714285721</v>
      </c>
      <c r="AJ4" s="15">
        <f t="shared" ref="AJ4:AJ35" si="17">IF(P4&lt;&gt;"",IF(Q4&lt;&gt;"",IF(Q4=0,1,(P4/Q4)-1),""),"")</f>
        <v>0.80303030303030276</v>
      </c>
      <c r="AK4" s="15">
        <f t="shared" ref="AK4:AK35" si="18">IF(Q4&lt;&gt;"",IF(R4&lt;&gt;"",IF(R4=0,1,(Q4/R4)-1),""),"")</f>
        <v>-0.19999999999999996</v>
      </c>
      <c r="AL4" s="15">
        <f t="shared" ref="AL4:AL35" si="19">IF(R4&lt;&gt;"",IF(S4&lt;&gt;"",IF(S4=0,1,(R4/S4)-1),""),"")</f>
        <v>0.2222222222222221</v>
      </c>
      <c r="AM4" s="5">
        <f t="shared" ref="AM4:AM35" si="20">MIN(Z4:AL4)</f>
        <v>-0.19999999999999996</v>
      </c>
    </row>
    <row r="5" spans="1:39" x14ac:dyDescent="0.25">
      <c r="A5" t="s">
        <v>2</v>
      </c>
      <c r="B5" t="s">
        <v>3</v>
      </c>
      <c r="C5" s="56">
        <v>31</v>
      </c>
      <c r="D5" s="56">
        <v>12</v>
      </c>
      <c r="E5" s="56">
        <v>2015</v>
      </c>
      <c r="F5" s="65">
        <v>3.27</v>
      </c>
      <c r="G5" s="77">
        <v>2.95</v>
      </c>
      <c r="H5" s="77">
        <v>2.77</v>
      </c>
      <c r="I5" s="59">
        <v>2.63</v>
      </c>
      <c r="J5" s="59">
        <v>2.77</v>
      </c>
      <c r="K5" s="59">
        <v>2.4700000000000002</v>
      </c>
      <c r="L5" s="59">
        <v>2.42</v>
      </c>
      <c r="M5" s="59">
        <v>2.34</v>
      </c>
      <c r="N5" s="59">
        <v>2.02</v>
      </c>
      <c r="O5" s="59">
        <v>1.89</v>
      </c>
      <c r="P5" s="59">
        <v>1.42</v>
      </c>
      <c r="Q5" s="59">
        <v>1.1100000000000001</v>
      </c>
      <c r="R5" s="59">
        <v>0.88</v>
      </c>
      <c r="S5" s="60">
        <v>0.92</v>
      </c>
      <c r="T5" s="13">
        <f t="shared" si="1"/>
        <v>2.132857142857143</v>
      </c>
      <c r="U5" s="4">
        <f t="shared" ca="1" si="2"/>
        <v>0</v>
      </c>
      <c r="V5" s="4">
        <f t="shared" ca="1" si="3"/>
        <v>122</v>
      </c>
      <c r="W5" s="4">
        <f t="shared" ca="1" si="4"/>
        <v>238</v>
      </c>
      <c r="X5" s="13">
        <f t="shared" ca="1" si="5"/>
        <v>2.831</v>
      </c>
      <c r="Y5" s="5">
        <f t="shared" ca="1" si="6"/>
        <v>0.32732752846617541</v>
      </c>
      <c r="Z5" s="15">
        <f t="shared" si="7"/>
        <v>0.10847457627118628</v>
      </c>
      <c r="AA5" s="15">
        <f t="shared" si="8"/>
        <v>6.498194945848379E-2</v>
      </c>
      <c r="AB5" s="15">
        <f t="shared" si="9"/>
        <v>5.323193916349811E-2</v>
      </c>
      <c r="AC5" s="15">
        <f t="shared" si="10"/>
        <v>-5.0541516245487417E-2</v>
      </c>
      <c r="AD5" s="15">
        <f t="shared" si="11"/>
        <v>0.12145748987854232</v>
      </c>
      <c r="AE5" s="15">
        <f t="shared" si="12"/>
        <v>2.0661157024793431E-2</v>
      </c>
      <c r="AF5" s="15">
        <f t="shared" si="13"/>
        <v>3.4188034188034289E-2</v>
      </c>
      <c r="AG5" s="15">
        <f t="shared" si="14"/>
        <v>0.15841584158415833</v>
      </c>
      <c r="AH5" s="15">
        <f t="shared" si="15"/>
        <v>6.8783068783068835E-2</v>
      </c>
      <c r="AI5" s="15">
        <f t="shared" si="16"/>
        <v>0.33098591549295775</v>
      </c>
      <c r="AJ5" s="15">
        <f t="shared" si="17"/>
        <v>0.27927927927927909</v>
      </c>
      <c r="AK5" s="15">
        <f t="shared" si="18"/>
        <v>0.26136363636363646</v>
      </c>
      <c r="AL5" s="15">
        <f t="shared" si="19"/>
        <v>-4.3478260869565299E-2</v>
      </c>
      <c r="AM5" s="5">
        <f t="shared" si="20"/>
        <v>-5.0541516245487417E-2</v>
      </c>
    </row>
    <row r="6" spans="1:39" x14ac:dyDescent="0.25">
      <c r="A6" t="s">
        <v>4</v>
      </c>
      <c r="B6" t="s">
        <v>5</v>
      </c>
      <c r="C6" s="56">
        <v>31</v>
      </c>
      <c r="D6" s="56">
        <v>12</v>
      </c>
      <c r="E6" s="56">
        <v>2015</v>
      </c>
      <c r="F6" s="65">
        <v>9.58</v>
      </c>
      <c r="G6" s="77">
        <v>8.92</v>
      </c>
      <c r="H6" s="77">
        <v>8.39</v>
      </c>
      <c r="I6" s="59">
        <v>8</v>
      </c>
      <c r="J6" s="59">
        <v>7.8</v>
      </c>
      <c r="K6" s="59">
        <v>7.35</v>
      </c>
      <c r="L6" s="59">
        <v>6.8</v>
      </c>
      <c r="M6" s="59">
        <v>6.6</v>
      </c>
      <c r="N6" s="59">
        <v>6</v>
      </c>
      <c r="O6" s="59">
        <v>5</v>
      </c>
      <c r="P6" s="59">
        <v>4.5999999999999996</v>
      </c>
      <c r="Q6" s="59">
        <v>3.4</v>
      </c>
      <c r="R6" s="59">
        <v>2.5</v>
      </c>
      <c r="S6" s="60">
        <v>2</v>
      </c>
      <c r="T6" s="13">
        <f t="shared" si="1"/>
        <v>6.21</v>
      </c>
      <c r="U6" s="4">
        <f t="shared" ca="1" si="2"/>
        <v>0</v>
      </c>
      <c r="V6" s="4">
        <f t="shared" ca="1" si="3"/>
        <v>122</v>
      </c>
      <c r="W6" s="4">
        <f t="shared" ca="1" si="4"/>
        <v>238</v>
      </c>
      <c r="X6" s="13">
        <f t="shared" ca="1" si="5"/>
        <v>8.5696111111111115</v>
      </c>
      <c r="Y6" s="5">
        <f t="shared" ca="1" si="6"/>
        <v>0.37996958310967988</v>
      </c>
      <c r="Z6" s="15">
        <f t="shared" si="7"/>
        <v>7.3991031390134632E-2</v>
      </c>
      <c r="AA6" s="15">
        <f t="shared" si="8"/>
        <v>6.3170441001191735E-2</v>
      </c>
      <c r="AB6" s="15">
        <f t="shared" si="9"/>
        <v>4.8750000000000071E-2</v>
      </c>
      <c r="AC6" s="15">
        <f t="shared" si="10"/>
        <v>2.5641025641025772E-2</v>
      </c>
      <c r="AD6" s="15">
        <f t="shared" si="11"/>
        <v>6.1224489795918435E-2</v>
      </c>
      <c r="AE6" s="15">
        <f t="shared" si="12"/>
        <v>8.0882352941176405E-2</v>
      </c>
      <c r="AF6" s="15">
        <f t="shared" si="13"/>
        <v>3.0303030303030276E-2</v>
      </c>
      <c r="AG6" s="15">
        <f t="shared" si="14"/>
        <v>9.9999999999999867E-2</v>
      </c>
      <c r="AH6" s="15">
        <f t="shared" si="15"/>
        <v>0.19999999999999996</v>
      </c>
      <c r="AI6" s="15">
        <f t="shared" si="16"/>
        <v>8.6956521739130599E-2</v>
      </c>
      <c r="AJ6" s="15">
        <f t="shared" si="17"/>
        <v>0.35294117647058809</v>
      </c>
      <c r="AK6" s="15">
        <f t="shared" si="18"/>
        <v>0.35999999999999988</v>
      </c>
      <c r="AL6" s="15">
        <f t="shared" si="19"/>
        <v>0.25</v>
      </c>
      <c r="AM6" s="5">
        <f t="shared" si="20"/>
        <v>2.5641025641025772E-2</v>
      </c>
    </row>
    <row r="7" spans="1:39" x14ac:dyDescent="0.25">
      <c r="A7" t="s">
        <v>6</v>
      </c>
      <c r="B7" t="s">
        <v>7</v>
      </c>
      <c r="C7" s="56">
        <v>31</v>
      </c>
      <c r="D7" s="56">
        <v>12</v>
      </c>
      <c r="E7" s="56">
        <v>2015</v>
      </c>
      <c r="F7" s="65">
        <v>2.4700000000000002</v>
      </c>
      <c r="G7" s="77">
        <v>2.37</v>
      </c>
      <c r="H7" s="77">
        <v>2.2599999999999998</v>
      </c>
      <c r="I7" s="59">
        <v>2.2000000000000002</v>
      </c>
      <c r="J7" s="59">
        <v>2.15</v>
      </c>
      <c r="K7" s="59">
        <v>2.0499999999999998</v>
      </c>
      <c r="L7" s="59">
        <v>1.95</v>
      </c>
      <c r="M7" s="59">
        <v>1.85</v>
      </c>
      <c r="N7" s="59">
        <v>1.6</v>
      </c>
      <c r="O7" s="59">
        <v>1.4</v>
      </c>
      <c r="P7" s="59">
        <v>1.22</v>
      </c>
      <c r="Q7" s="59">
        <v>1.04</v>
      </c>
      <c r="R7" s="59">
        <v>0.9</v>
      </c>
      <c r="S7" s="60">
        <v>0.8</v>
      </c>
      <c r="T7" s="13">
        <f t="shared" si="1"/>
        <v>1.7328571428571427</v>
      </c>
      <c r="U7" s="4">
        <f t="shared" ca="1" si="2"/>
        <v>0</v>
      </c>
      <c r="V7" s="4">
        <f t="shared" ca="1" si="3"/>
        <v>122</v>
      </c>
      <c r="W7" s="4">
        <f t="shared" ca="1" si="4"/>
        <v>238</v>
      </c>
      <c r="X7" s="13">
        <f t="shared" ca="1" si="5"/>
        <v>2.2972777777777775</v>
      </c>
      <c r="Y7" s="5">
        <f t="shared" ca="1" si="6"/>
        <v>0.32571677200696159</v>
      </c>
      <c r="Z7" s="15">
        <f t="shared" si="7"/>
        <v>4.2194092827004148E-2</v>
      </c>
      <c r="AA7" s="15">
        <f t="shared" si="8"/>
        <v>4.8672566371681603E-2</v>
      </c>
      <c r="AB7" s="15">
        <f t="shared" si="9"/>
        <v>2.7272727272727115E-2</v>
      </c>
      <c r="AC7" s="15">
        <f t="shared" si="10"/>
        <v>2.3255813953488413E-2</v>
      </c>
      <c r="AD7" s="15">
        <f t="shared" si="11"/>
        <v>4.8780487804878092E-2</v>
      </c>
      <c r="AE7" s="15">
        <f t="shared" si="12"/>
        <v>5.1282051282051322E-2</v>
      </c>
      <c r="AF7" s="15">
        <f t="shared" si="13"/>
        <v>5.4054054054053946E-2</v>
      </c>
      <c r="AG7" s="15">
        <f t="shared" si="14"/>
        <v>0.15625</v>
      </c>
      <c r="AH7" s="15">
        <f t="shared" si="15"/>
        <v>0.14285714285714302</v>
      </c>
      <c r="AI7" s="15">
        <f t="shared" si="16"/>
        <v>0.14754098360655732</v>
      </c>
      <c r="AJ7" s="15">
        <f t="shared" si="17"/>
        <v>0.17307692307692291</v>
      </c>
      <c r="AK7" s="15">
        <f t="shared" si="18"/>
        <v>0.15555555555555567</v>
      </c>
      <c r="AL7" s="15">
        <f t="shared" si="19"/>
        <v>0.125</v>
      </c>
      <c r="AM7" s="5">
        <f t="shared" si="20"/>
        <v>2.3255813953488413E-2</v>
      </c>
    </row>
    <row r="8" spans="1:39" x14ac:dyDescent="0.25">
      <c r="A8" t="s">
        <v>8</v>
      </c>
      <c r="B8" t="s">
        <v>9</v>
      </c>
      <c r="C8" s="56">
        <v>31</v>
      </c>
      <c r="D8" s="56">
        <v>12</v>
      </c>
      <c r="E8" s="56">
        <v>2015</v>
      </c>
      <c r="F8" s="65">
        <v>0.81</v>
      </c>
      <c r="G8" s="77">
        <v>0.78</v>
      </c>
      <c r="H8" s="77">
        <v>0.75</v>
      </c>
      <c r="I8" s="59">
        <v>0.7</v>
      </c>
      <c r="J8" s="59">
        <v>0.7</v>
      </c>
      <c r="K8" s="59">
        <v>0.7</v>
      </c>
      <c r="L8" s="59">
        <v>0.7</v>
      </c>
      <c r="M8" s="59">
        <v>0.7</v>
      </c>
      <c r="N8" s="59">
        <v>0.7</v>
      </c>
      <c r="O8" s="59">
        <v>0.9</v>
      </c>
      <c r="P8" s="59">
        <v>0.7</v>
      </c>
      <c r="Q8" s="59">
        <v>0.6</v>
      </c>
      <c r="R8" s="59">
        <v>0.56999999999999995</v>
      </c>
      <c r="S8" s="60">
        <v>0.53</v>
      </c>
      <c r="T8" s="13">
        <f t="shared" si="1"/>
        <v>0.70285714285714285</v>
      </c>
      <c r="U8" s="4">
        <f t="shared" ca="1" si="2"/>
        <v>0</v>
      </c>
      <c r="V8" s="4">
        <f t="shared" ca="1" si="3"/>
        <v>122</v>
      </c>
      <c r="W8" s="4">
        <f t="shared" ca="1" si="4"/>
        <v>238</v>
      </c>
      <c r="X8" s="13">
        <f t="shared" ca="1" si="5"/>
        <v>0.76016666666666666</v>
      </c>
      <c r="Y8" s="5">
        <f t="shared" ca="1" si="6"/>
        <v>8.1537940379403873E-2</v>
      </c>
      <c r="Z8" s="15">
        <f t="shared" si="7"/>
        <v>3.8461538461538547E-2</v>
      </c>
      <c r="AA8" s="15">
        <f t="shared" si="8"/>
        <v>4.0000000000000036E-2</v>
      </c>
      <c r="AB8" s="15">
        <f t="shared" si="9"/>
        <v>7.1428571428571397E-2</v>
      </c>
      <c r="AC8" s="15">
        <f t="shared" si="10"/>
        <v>0</v>
      </c>
      <c r="AD8" s="15">
        <f t="shared" si="11"/>
        <v>0</v>
      </c>
      <c r="AE8" s="15">
        <f t="shared" si="12"/>
        <v>0</v>
      </c>
      <c r="AF8" s="15">
        <f t="shared" si="13"/>
        <v>0</v>
      </c>
      <c r="AG8" s="15">
        <f t="shared" si="14"/>
        <v>0</v>
      </c>
      <c r="AH8" s="15">
        <f t="shared" si="15"/>
        <v>-0.22222222222222232</v>
      </c>
      <c r="AI8" s="15">
        <f t="shared" si="16"/>
        <v>0.28571428571428581</v>
      </c>
      <c r="AJ8" s="15">
        <f t="shared" si="17"/>
        <v>0.16666666666666674</v>
      </c>
      <c r="AK8" s="15">
        <f t="shared" si="18"/>
        <v>5.2631578947368363E-2</v>
      </c>
      <c r="AL8" s="15">
        <f t="shared" si="19"/>
        <v>7.5471698113207308E-2</v>
      </c>
      <c r="AM8" s="5">
        <f t="shared" si="20"/>
        <v>-0.22222222222222232</v>
      </c>
    </row>
    <row r="9" spans="1:39" x14ac:dyDescent="0.25">
      <c r="A9" t="s">
        <v>10</v>
      </c>
      <c r="B9" t="s">
        <v>11</v>
      </c>
      <c r="C9" s="56">
        <v>31</v>
      </c>
      <c r="D9" s="56">
        <v>12</v>
      </c>
      <c r="E9" s="56">
        <v>2015</v>
      </c>
      <c r="F9" s="65">
        <v>1.1000000000000001</v>
      </c>
      <c r="G9" s="77">
        <v>1.01</v>
      </c>
      <c r="H9" s="77">
        <v>0.91</v>
      </c>
      <c r="I9" s="59">
        <v>0.85</v>
      </c>
      <c r="J9" s="59">
        <v>0.8</v>
      </c>
      <c r="K9" s="59">
        <v>0.7</v>
      </c>
      <c r="L9" s="59">
        <v>0.7</v>
      </c>
      <c r="M9" s="59">
        <v>0.65</v>
      </c>
      <c r="N9" s="59">
        <v>0.6</v>
      </c>
      <c r="O9" s="59">
        <v>0.6</v>
      </c>
      <c r="P9" s="59">
        <v>0.9</v>
      </c>
      <c r="Q9" s="59">
        <v>0.75</v>
      </c>
      <c r="R9" s="59">
        <v>0.7</v>
      </c>
      <c r="S9" s="60">
        <v>0.5</v>
      </c>
      <c r="T9" s="13">
        <f t="shared" si="1"/>
        <v>0.76928571428571424</v>
      </c>
      <c r="U9" s="4">
        <f t="shared" ca="1" si="2"/>
        <v>0</v>
      </c>
      <c r="V9" s="4">
        <f t="shared" ca="1" si="3"/>
        <v>122</v>
      </c>
      <c r="W9" s="4">
        <f t="shared" ca="1" si="4"/>
        <v>238</v>
      </c>
      <c r="X9" s="13">
        <f t="shared" ca="1" si="5"/>
        <v>0.94388888888888889</v>
      </c>
      <c r="Y9" s="5">
        <f t="shared" ca="1" si="6"/>
        <v>0.22696791499019908</v>
      </c>
      <c r="Z9" s="15">
        <f t="shared" si="7"/>
        <v>8.9108910891089188E-2</v>
      </c>
      <c r="AA9" s="15">
        <f t="shared" si="8"/>
        <v>0.10989010989010994</v>
      </c>
      <c r="AB9" s="15">
        <f t="shared" si="9"/>
        <v>7.0588235294117618E-2</v>
      </c>
      <c r="AC9" s="15">
        <f t="shared" si="10"/>
        <v>6.25E-2</v>
      </c>
      <c r="AD9" s="15">
        <f t="shared" si="11"/>
        <v>0.14285714285714302</v>
      </c>
      <c r="AE9" s="15">
        <f t="shared" si="12"/>
        <v>0</v>
      </c>
      <c r="AF9" s="15">
        <f t="shared" si="13"/>
        <v>7.6923076923076872E-2</v>
      </c>
      <c r="AG9" s="15">
        <f t="shared" si="14"/>
        <v>8.3333333333333481E-2</v>
      </c>
      <c r="AH9" s="15">
        <f t="shared" si="15"/>
        <v>0</v>
      </c>
      <c r="AI9" s="15">
        <f t="shared" si="16"/>
        <v>-0.33333333333333337</v>
      </c>
      <c r="AJ9" s="15">
        <f t="shared" si="17"/>
        <v>0.19999999999999996</v>
      </c>
      <c r="AK9" s="15">
        <f t="shared" si="18"/>
        <v>7.1428571428571397E-2</v>
      </c>
      <c r="AL9" s="15">
        <f t="shared" si="19"/>
        <v>0.39999999999999991</v>
      </c>
      <c r="AM9" s="5">
        <f t="shared" si="20"/>
        <v>-0.33333333333333337</v>
      </c>
    </row>
    <row r="10" spans="1:39" x14ac:dyDescent="0.25">
      <c r="A10" t="s">
        <v>12</v>
      </c>
      <c r="B10" t="s">
        <v>13</v>
      </c>
      <c r="C10" s="56">
        <v>31</v>
      </c>
      <c r="D10" s="56">
        <v>12</v>
      </c>
      <c r="E10" s="56">
        <v>2015</v>
      </c>
      <c r="F10" s="65">
        <v>0.63</v>
      </c>
      <c r="G10" s="77">
        <v>0.59</v>
      </c>
      <c r="H10" s="77">
        <v>0.54</v>
      </c>
      <c r="I10" s="59">
        <v>0.5</v>
      </c>
      <c r="J10" s="59">
        <v>0.5</v>
      </c>
      <c r="K10" s="59">
        <v>0.7</v>
      </c>
      <c r="L10" s="59">
        <v>0.7</v>
      </c>
      <c r="M10" s="59">
        <v>0.7</v>
      </c>
      <c r="N10" s="59">
        <v>0.78</v>
      </c>
      <c r="O10" s="59">
        <v>0.78</v>
      </c>
      <c r="P10" s="59">
        <v>0.78</v>
      </c>
      <c r="Q10" s="59">
        <v>0.72</v>
      </c>
      <c r="R10" s="59">
        <v>0.72</v>
      </c>
      <c r="S10" s="60">
        <v>0.62</v>
      </c>
      <c r="T10" s="13">
        <f t="shared" si="1"/>
        <v>0.66142857142857137</v>
      </c>
      <c r="U10" s="4">
        <f t="shared" ca="1" si="2"/>
        <v>0</v>
      </c>
      <c r="V10" s="4">
        <f t="shared" ca="1" si="3"/>
        <v>122</v>
      </c>
      <c r="W10" s="4">
        <f t="shared" ca="1" si="4"/>
        <v>238</v>
      </c>
      <c r="X10" s="13">
        <f t="shared" ca="1" si="5"/>
        <v>0.55694444444444446</v>
      </c>
      <c r="Y10" s="5">
        <f t="shared" ca="1" si="6"/>
        <v>-0.15796736261099098</v>
      </c>
      <c r="Z10" s="15">
        <f t="shared" si="7"/>
        <v>6.7796610169491567E-2</v>
      </c>
      <c r="AA10" s="15">
        <f t="shared" si="8"/>
        <v>9.259259259259256E-2</v>
      </c>
      <c r="AB10" s="15">
        <f t="shared" si="9"/>
        <v>8.0000000000000071E-2</v>
      </c>
      <c r="AC10" s="15">
        <f t="shared" si="10"/>
        <v>0</v>
      </c>
      <c r="AD10" s="15">
        <f t="shared" si="11"/>
        <v>-0.2857142857142857</v>
      </c>
      <c r="AE10" s="15">
        <f t="shared" si="12"/>
        <v>0</v>
      </c>
      <c r="AF10" s="15">
        <f t="shared" si="13"/>
        <v>0</v>
      </c>
      <c r="AG10" s="15">
        <f t="shared" si="14"/>
        <v>-0.10256410256410264</v>
      </c>
      <c r="AH10" s="15">
        <f t="shared" si="15"/>
        <v>0</v>
      </c>
      <c r="AI10" s="15">
        <f t="shared" si="16"/>
        <v>0</v>
      </c>
      <c r="AJ10" s="15">
        <f t="shared" si="17"/>
        <v>8.3333333333333481E-2</v>
      </c>
      <c r="AK10" s="15">
        <f t="shared" si="18"/>
        <v>0</v>
      </c>
      <c r="AL10" s="15">
        <f t="shared" si="19"/>
        <v>0.16129032258064502</v>
      </c>
      <c r="AM10" s="5">
        <f t="shared" si="20"/>
        <v>-0.2857142857142857</v>
      </c>
    </row>
    <row r="11" spans="1:39" x14ac:dyDescent="0.25">
      <c r="A11" t="s">
        <v>14</v>
      </c>
      <c r="B11" t="s">
        <v>15</v>
      </c>
      <c r="C11" s="56">
        <v>31</v>
      </c>
      <c r="D11" s="56">
        <v>12</v>
      </c>
      <c r="E11" s="56">
        <v>2015</v>
      </c>
      <c r="F11" s="65">
        <v>1.36</v>
      </c>
      <c r="G11" s="77">
        <v>1.22</v>
      </c>
      <c r="H11" s="77">
        <v>1.1399999999999999</v>
      </c>
      <c r="I11" s="59">
        <v>1.1000000000000001</v>
      </c>
      <c r="J11" s="59">
        <v>1</v>
      </c>
      <c r="K11" s="59">
        <v>0.85</v>
      </c>
      <c r="L11" s="59">
        <v>1.1000000000000001</v>
      </c>
      <c r="M11" s="59">
        <v>0.6</v>
      </c>
      <c r="N11" s="59">
        <v>0.5</v>
      </c>
      <c r="O11" s="59">
        <v>0.5</v>
      </c>
      <c r="P11" s="59">
        <v>0.5</v>
      </c>
      <c r="Q11" s="59">
        <v>0.46</v>
      </c>
      <c r="R11" s="59">
        <v>0.36</v>
      </c>
      <c r="S11" s="60">
        <v>0.28000000000000003</v>
      </c>
      <c r="T11" s="13">
        <f t="shared" si="1"/>
        <v>0.78357142857142847</v>
      </c>
      <c r="U11" s="4">
        <f t="shared" ca="1" si="2"/>
        <v>0</v>
      </c>
      <c r="V11" s="4">
        <f t="shared" ca="1" si="3"/>
        <v>122</v>
      </c>
      <c r="W11" s="4">
        <f t="shared" ca="1" si="4"/>
        <v>238</v>
      </c>
      <c r="X11" s="13">
        <f t="shared" ca="1" si="5"/>
        <v>1.167111111111111</v>
      </c>
      <c r="Y11" s="5">
        <f t="shared" ca="1" si="6"/>
        <v>0.48947634964043352</v>
      </c>
      <c r="Z11" s="15">
        <f t="shared" si="7"/>
        <v>0.11475409836065587</v>
      </c>
      <c r="AA11" s="15">
        <f t="shared" si="8"/>
        <v>7.0175438596491224E-2</v>
      </c>
      <c r="AB11" s="15">
        <f t="shared" si="9"/>
        <v>3.6363636363636154E-2</v>
      </c>
      <c r="AC11" s="15">
        <f t="shared" si="10"/>
        <v>0.10000000000000009</v>
      </c>
      <c r="AD11" s="15">
        <f t="shared" si="11"/>
        <v>0.17647058823529416</v>
      </c>
      <c r="AE11" s="15">
        <f t="shared" si="12"/>
        <v>-0.2272727272727274</v>
      </c>
      <c r="AF11" s="15">
        <f t="shared" si="13"/>
        <v>0.83333333333333348</v>
      </c>
      <c r="AG11" s="15">
        <f t="shared" si="14"/>
        <v>0.19999999999999996</v>
      </c>
      <c r="AH11" s="15">
        <f t="shared" si="15"/>
        <v>0</v>
      </c>
      <c r="AI11" s="15">
        <f t="shared" si="16"/>
        <v>0</v>
      </c>
      <c r="AJ11" s="15">
        <f t="shared" si="17"/>
        <v>8.6956521739130377E-2</v>
      </c>
      <c r="AK11" s="15">
        <f t="shared" si="18"/>
        <v>0.2777777777777779</v>
      </c>
      <c r="AL11" s="15">
        <f t="shared" si="19"/>
        <v>0.28571428571428559</v>
      </c>
      <c r="AM11" s="5">
        <f t="shared" si="20"/>
        <v>-0.2272727272727274</v>
      </c>
    </row>
    <row r="12" spans="1:39" x14ac:dyDescent="0.25">
      <c r="A12" t="s">
        <v>16</v>
      </c>
      <c r="B12" t="s">
        <v>17</v>
      </c>
      <c r="C12" s="56">
        <v>30</v>
      </c>
      <c r="D12" s="56">
        <v>9</v>
      </c>
      <c r="E12" s="56">
        <v>2015</v>
      </c>
      <c r="F12" s="65">
        <v>3.99</v>
      </c>
      <c r="G12" s="77">
        <v>3.67</v>
      </c>
      <c r="H12" s="77">
        <v>3.52</v>
      </c>
      <c r="I12" s="59">
        <v>3.3</v>
      </c>
      <c r="J12" s="59">
        <v>3</v>
      </c>
      <c r="K12" s="59">
        <v>3</v>
      </c>
      <c r="L12" s="59">
        <v>3</v>
      </c>
      <c r="M12" s="59">
        <v>2.7</v>
      </c>
      <c r="N12" s="59">
        <v>1.6</v>
      </c>
      <c r="O12" s="59">
        <v>1.6</v>
      </c>
      <c r="P12" s="59">
        <v>1.6</v>
      </c>
      <c r="Q12" s="59">
        <v>1.45</v>
      </c>
      <c r="R12" s="59">
        <v>1.35</v>
      </c>
      <c r="S12" s="60">
        <v>1.25</v>
      </c>
      <c r="T12" s="13">
        <f t="shared" si="1"/>
        <v>2.5021428571428577</v>
      </c>
      <c r="U12" s="4">
        <f t="shared" ca="1" si="2"/>
        <v>0</v>
      </c>
      <c r="V12" s="4">
        <f t="shared" ca="1" si="3"/>
        <v>213</v>
      </c>
      <c r="W12" s="4">
        <f t="shared" ca="1" si="4"/>
        <v>147</v>
      </c>
      <c r="X12" s="13">
        <f t="shared" ca="1" si="5"/>
        <v>3.6087499999999997</v>
      </c>
      <c r="Y12" s="5">
        <f t="shared" ca="1" si="6"/>
        <v>0.44226377390807836</v>
      </c>
      <c r="Z12" s="15">
        <f t="shared" si="7"/>
        <v>8.7193460490463393E-2</v>
      </c>
      <c r="AA12" s="15">
        <f t="shared" si="8"/>
        <v>4.2613636363636243E-2</v>
      </c>
      <c r="AB12" s="15">
        <f t="shared" si="9"/>
        <v>6.6666666666666652E-2</v>
      </c>
      <c r="AC12" s="15">
        <f t="shared" si="10"/>
        <v>9.9999999999999867E-2</v>
      </c>
      <c r="AD12" s="15">
        <f t="shared" si="11"/>
        <v>0</v>
      </c>
      <c r="AE12" s="15">
        <f t="shared" si="12"/>
        <v>0</v>
      </c>
      <c r="AF12" s="15">
        <f t="shared" si="13"/>
        <v>0.11111111111111094</v>
      </c>
      <c r="AG12" s="15">
        <f t="shared" si="14"/>
        <v>0.6875</v>
      </c>
      <c r="AH12" s="15">
        <f t="shared" si="15"/>
        <v>0</v>
      </c>
      <c r="AI12" s="15">
        <f t="shared" si="16"/>
        <v>0</v>
      </c>
      <c r="AJ12" s="15">
        <f t="shared" si="17"/>
        <v>0.10344827586206895</v>
      </c>
      <c r="AK12" s="15">
        <f t="shared" si="18"/>
        <v>7.4074074074073959E-2</v>
      </c>
      <c r="AL12" s="15">
        <f t="shared" si="19"/>
        <v>8.0000000000000071E-2</v>
      </c>
      <c r="AM12" s="5">
        <f t="shared" si="20"/>
        <v>0</v>
      </c>
    </row>
    <row r="13" spans="1:39" x14ac:dyDescent="0.25">
      <c r="A13" t="s">
        <v>18</v>
      </c>
      <c r="B13" t="s">
        <v>19</v>
      </c>
      <c r="C13" s="56">
        <v>31</v>
      </c>
      <c r="D13" s="56">
        <v>12</v>
      </c>
      <c r="E13" s="56">
        <v>2015</v>
      </c>
      <c r="F13" s="65">
        <v>6.99</v>
      </c>
      <c r="G13" s="77">
        <v>7.07</v>
      </c>
      <c r="H13" s="77">
        <v>7.04</v>
      </c>
      <c r="I13" s="59">
        <v>6.85</v>
      </c>
      <c r="J13" s="59">
        <v>5.3</v>
      </c>
      <c r="K13" s="59">
        <v>4.5</v>
      </c>
      <c r="L13" s="59">
        <v>4.5</v>
      </c>
      <c r="M13" s="59">
        <v>4.5</v>
      </c>
      <c r="N13" s="59">
        <v>4.0999999999999996</v>
      </c>
      <c r="O13" s="59">
        <v>3.5</v>
      </c>
      <c r="P13" s="59">
        <v>5.5</v>
      </c>
      <c r="Q13" s="59">
        <v>3.8</v>
      </c>
      <c r="R13" s="59">
        <v>2</v>
      </c>
      <c r="S13" s="60">
        <v>1.75</v>
      </c>
      <c r="T13" s="13">
        <f t="shared" si="1"/>
        <v>4.8142857142857149</v>
      </c>
      <c r="U13" s="4">
        <f t="shared" ca="1" si="2"/>
        <v>0</v>
      </c>
      <c r="V13" s="4">
        <f t="shared" ca="1" si="3"/>
        <v>122</v>
      </c>
      <c r="W13" s="4">
        <f t="shared" ca="1" si="4"/>
        <v>238</v>
      </c>
      <c r="X13" s="13">
        <f t="shared" ca="1" si="5"/>
        <v>7.0501666666666658</v>
      </c>
      <c r="Y13" s="5">
        <f t="shared" ca="1" si="6"/>
        <v>0.46442631058358019</v>
      </c>
      <c r="Z13" s="15">
        <f t="shared" si="7"/>
        <v>-1.1315417256011373E-2</v>
      </c>
      <c r="AA13" s="15">
        <f t="shared" si="8"/>
        <v>4.2613636363637575E-3</v>
      </c>
      <c r="AB13" s="15">
        <f t="shared" si="9"/>
        <v>2.7737226277372296E-2</v>
      </c>
      <c r="AC13" s="15">
        <f t="shared" si="10"/>
        <v>0.29245283018867929</v>
      </c>
      <c r="AD13" s="15">
        <f t="shared" si="11"/>
        <v>0.17777777777777781</v>
      </c>
      <c r="AE13" s="15">
        <f t="shared" si="12"/>
        <v>0</v>
      </c>
      <c r="AF13" s="15">
        <f t="shared" si="13"/>
        <v>0</v>
      </c>
      <c r="AG13" s="15">
        <f t="shared" si="14"/>
        <v>9.7560975609756184E-2</v>
      </c>
      <c r="AH13" s="15">
        <f t="shared" si="15"/>
        <v>0.17142857142857126</v>
      </c>
      <c r="AI13" s="15">
        <f t="shared" si="16"/>
        <v>-0.36363636363636365</v>
      </c>
      <c r="AJ13" s="15">
        <f t="shared" si="17"/>
        <v>0.44736842105263164</v>
      </c>
      <c r="AK13" s="15">
        <f t="shared" si="18"/>
        <v>0.89999999999999991</v>
      </c>
      <c r="AL13" s="15">
        <f t="shared" si="19"/>
        <v>0.14285714285714279</v>
      </c>
      <c r="AM13" s="5">
        <f t="shared" si="20"/>
        <v>-0.36363636363636365</v>
      </c>
    </row>
    <row r="14" spans="1:39" x14ac:dyDescent="0.25">
      <c r="A14" t="s">
        <v>20</v>
      </c>
      <c r="B14" t="s">
        <v>21</v>
      </c>
      <c r="C14" s="56">
        <v>31</v>
      </c>
      <c r="D14" s="56">
        <v>12</v>
      </c>
      <c r="E14" s="56">
        <v>2015</v>
      </c>
      <c r="F14" s="65">
        <v>8.56</v>
      </c>
      <c r="G14" s="77">
        <v>8.18</v>
      </c>
      <c r="H14" s="77">
        <v>7.91</v>
      </c>
      <c r="I14" s="59">
        <v>7.75</v>
      </c>
      <c r="J14" s="59">
        <v>7.25</v>
      </c>
      <c r="K14" s="59">
        <v>7</v>
      </c>
      <c r="L14" s="59">
        <v>6.25</v>
      </c>
      <c r="M14" s="59">
        <v>6.25</v>
      </c>
      <c r="N14" s="59">
        <v>5.75</v>
      </c>
      <c r="O14" s="59">
        <v>5.5</v>
      </c>
      <c r="P14" s="59">
        <v>5.5</v>
      </c>
      <c r="Q14" s="59">
        <v>4.5</v>
      </c>
      <c r="R14" s="59">
        <v>3.1</v>
      </c>
      <c r="S14" s="60">
        <v>2</v>
      </c>
      <c r="T14" s="13">
        <f t="shared" si="1"/>
        <v>6.1071428571428568</v>
      </c>
      <c r="U14" s="4">
        <f t="shared" ca="1" si="2"/>
        <v>0</v>
      </c>
      <c r="V14" s="4">
        <f t="shared" ca="1" si="3"/>
        <v>122</v>
      </c>
      <c r="W14" s="4">
        <f t="shared" ca="1" si="4"/>
        <v>238</v>
      </c>
      <c r="X14" s="13">
        <f t="shared" ca="1" si="5"/>
        <v>8.0015000000000001</v>
      </c>
      <c r="Y14" s="5">
        <f t="shared" ca="1" si="6"/>
        <v>0.31018713450292412</v>
      </c>
      <c r="Z14" s="15">
        <f t="shared" si="7"/>
        <v>4.6454767726161528E-2</v>
      </c>
      <c r="AA14" s="15">
        <f t="shared" si="8"/>
        <v>3.4134007585334913E-2</v>
      </c>
      <c r="AB14" s="15">
        <f t="shared" si="9"/>
        <v>2.0645161290322678E-2</v>
      </c>
      <c r="AC14" s="15">
        <f t="shared" si="10"/>
        <v>6.8965517241379226E-2</v>
      </c>
      <c r="AD14" s="15">
        <f t="shared" si="11"/>
        <v>3.5714285714285809E-2</v>
      </c>
      <c r="AE14" s="15">
        <f t="shared" si="12"/>
        <v>0.12000000000000011</v>
      </c>
      <c r="AF14" s="15">
        <f t="shared" si="13"/>
        <v>0</v>
      </c>
      <c r="AG14" s="15">
        <f t="shared" si="14"/>
        <v>8.6956521739130377E-2</v>
      </c>
      <c r="AH14" s="15">
        <f t="shared" si="15"/>
        <v>4.5454545454545414E-2</v>
      </c>
      <c r="AI14" s="15">
        <f t="shared" si="16"/>
        <v>0</v>
      </c>
      <c r="AJ14" s="15">
        <f t="shared" si="17"/>
        <v>0.22222222222222232</v>
      </c>
      <c r="AK14" s="15">
        <f t="shared" si="18"/>
        <v>0.45161290322580649</v>
      </c>
      <c r="AL14" s="15">
        <f t="shared" si="19"/>
        <v>0.55000000000000004</v>
      </c>
      <c r="AM14" s="5">
        <f t="shared" si="20"/>
        <v>0</v>
      </c>
    </row>
    <row r="15" spans="1:39" x14ac:dyDescent="0.25">
      <c r="A15" t="s">
        <v>22</v>
      </c>
      <c r="B15" t="s">
        <v>23</v>
      </c>
      <c r="C15" s="56">
        <v>31</v>
      </c>
      <c r="D15" s="56">
        <v>12</v>
      </c>
      <c r="E15" s="56">
        <v>2015</v>
      </c>
      <c r="F15" s="65">
        <v>3.21</v>
      </c>
      <c r="G15" s="77">
        <v>3.04</v>
      </c>
      <c r="H15" s="77">
        <v>2.9</v>
      </c>
      <c r="I15" s="59">
        <v>2.8</v>
      </c>
      <c r="J15" s="59">
        <v>2.7</v>
      </c>
      <c r="K15" s="59">
        <v>2.6</v>
      </c>
      <c r="L15" s="59">
        <v>2.5</v>
      </c>
      <c r="M15" s="59">
        <v>2.2000000000000002</v>
      </c>
      <c r="N15" s="59">
        <v>1.7</v>
      </c>
      <c r="O15" s="59">
        <v>1.95</v>
      </c>
      <c r="P15" s="59">
        <v>1.95</v>
      </c>
      <c r="Q15" s="59">
        <v>1.5</v>
      </c>
      <c r="R15" s="59">
        <v>1</v>
      </c>
      <c r="S15" s="60">
        <v>0.85</v>
      </c>
      <c r="T15" s="13">
        <f t="shared" si="1"/>
        <v>2.2071428571428569</v>
      </c>
      <c r="U15" s="4">
        <f t="shared" ca="1" si="2"/>
        <v>0</v>
      </c>
      <c r="V15" s="4">
        <f t="shared" ca="1" si="3"/>
        <v>122</v>
      </c>
      <c r="W15" s="4">
        <f t="shared" ca="1" si="4"/>
        <v>238</v>
      </c>
      <c r="X15" s="13">
        <f t="shared" ca="1" si="5"/>
        <v>2.9474444444444448</v>
      </c>
      <c r="Y15" s="5">
        <f t="shared" ca="1" si="6"/>
        <v>0.33541172240201389</v>
      </c>
      <c r="Z15" s="15">
        <f t="shared" si="7"/>
        <v>5.5921052631578982E-2</v>
      </c>
      <c r="AA15" s="15">
        <f t="shared" si="8"/>
        <v>4.8275862068965614E-2</v>
      </c>
      <c r="AB15" s="15">
        <f t="shared" si="9"/>
        <v>3.5714285714285809E-2</v>
      </c>
      <c r="AC15" s="15">
        <f t="shared" si="10"/>
        <v>3.7037037037036979E-2</v>
      </c>
      <c r="AD15" s="15">
        <f t="shared" si="11"/>
        <v>3.8461538461538547E-2</v>
      </c>
      <c r="AE15" s="15">
        <f t="shared" si="12"/>
        <v>4.0000000000000036E-2</v>
      </c>
      <c r="AF15" s="15">
        <f t="shared" si="13"/>
        <v>0.13636363636363624</v>
      </c>
      <c r="AG15" s="15">
        <f t="shared" si="14"/>
        <v>0.29411764705882359</v>
      </c>
      <c r="AH15" s="15">
        <f t="shared" si="15"/>
        <v>-0.12820512820512819</v>
      </c>
      <c r="AI15" s="15">
        <f t="shared" si="16"/>
        <v>0</v>
      </c>
      <c r="AJ15" s="15">
        <f t="shared" si="17"/>
        <v>0.30000000000000004</v>
      </c>
      <c r="AK15" s="15">
        <f t="shared" si="18"/>
        <v>0.5</v>
      </c>
      <c r="AL15" s="15">
        <f t="shared" si="19"/>
        <v>0.17647058823529416</v>
      </c>
      <c r="AM15" s="5">
        <f t="shared" si="20"/>
        <v>-0.12820512820512819</v>
      </c>
    </row>
    <row r="16" spans="1:39" x14ac:dyDescent="0.25">
      <c r="A16" t="s">
        <v>24</v>
      </c>
      <c r="B16" t="s">
        <v>25</v>
      </c>
      <c r="C16" s="56">
        <v>31</v>
      </c>
      <c r="D16" s="56">
        <v>12</v>
      </c>
      <c r="E16" s="56">
        <v>2015</v>
      </c>
      <c r="F16" s="65">
        <v>3.05</v>
      </c>
      <c r="G16" s="77">
        <v>2.79</v>
      </c>
      <c r="H16" s="77">
        <v>2.5</v>
      </c>
      <c r="I16" s="59">
        <v>2.25</v>
      </c>
      <c r="J16" s="59">
        <v>2.1</v>
      </c>
      <c r="K16" s="59">
        <v>1.9</v>
      </c>
      <c r="L16" s="59">
        <v>1.65</v>
      </c>
      <c r="M16" s="59">
        <v>1.5</v>
      </c>
      <c r="N16" s="59">
        <v>1.4</v>
      </c>
      <c r="O16" s="59">
        <v>1.4</v>
      </c>
      <c r="P16" s="59">
        <v>1.35</v>
      </c>
      <c r="Q16" s="59">
        <v>1</v>
      </c>
      <c r="R16" s="59">
        <v>0.95</v>
      </c>
      <c r="S16" s="60">
        <v>0.55000000000000004</v>
      </c>
      <c r="T16" s="13">
        <f t="shared" si="1"/>
        <v>1.742142857142857</v>
      </c>
      <c r="U16" s="4">
        <f t="shared" ca="1" si="2"/>
        <v>0</v>
      </c>
      <c r="V16" s="4">
        <f t="shared" ca="1" si="3"/>
        <v>122</v>
      </c>
      <c r="W16" s="4">
        <f t="shared" ca="1" si="4"/>
        <v>238</v>
      </c>
      <c r="X16" s="13">
        <f t="shared" ca="1" si="5"/>
        <v>2.5982777777777777</v>
      </c>
      <c r="Y16" s="5">
        <f t="shared" ca="1" si="6"/>
        <v>0.49142635870803164</v>
      </c>
      <c r="Z16" s="15">
        <f t="shared" si="7"/>
        <v>9.3189964157706084E-2</v>
      </c>
      <c r="AA16" s="15">
        <f t="shared" si="8"/>
        <v>0.1160000000000001</v>
      </c>
      <c r="AB16" s="15">
        <f t="shared" si="9"/>
        <v>0.11111111111111116</v>
      </c>
      <c r="AC16" s="15">
        <f t="shared" si="10"/>
        <v>7.1428571428571397E-2</v>
      </c>
      <c r="AD16" s="15">
        <f t="shared" si="11"/>
        <v>0.10526315789473695</v>
      </c>
      <c r="AE16" s="15">
        <f t="shared" si="12"/>
        <v>0.1515151515151516</v>
      </c>
      <c r="AF16" s="15">
        <f t="shared" si="13"/>
        <v>9.9999999999999867E-2</v>
      </c>
      <c r="AG16" s="15">
        <f t="shared" si="14"/>
        <v>7.1428571428571397E-2</v>
      </c>
      <c r="AH16" s="15">
        <f t="shared" si="15"/>
        <v>0</v>
      </c>
      <c r="AI16" s="15">
        <f t="shared" si="16"/>
        <v>3.7037037037036979E-2</v>
      </c>
      <c r="AJ16" s="15">
        <f t="shared" si="17"/>
        <v>0.35000000000000009</v>
      </c>
      <c r="AK16" s="15">
        <f t="shared" si="18"/>
        <v>5.2631578947368363E-2</v>
      </c>
      <c r="AL16" s="15">
        <f t="shared" si="19"/>
        <v>0.72727272727272707</v>
      </c>
      <c r="AM16" s="5">
        <f t="shared" si="20"/>
        <v>0</v>
      </c>
    </row>
    <row r="17" spans="1:39" x14ac:dyDescent="0.25">
      <c r="A17" t="s">
        <v>26</v>
      </c>
      <c r="B17" t="s">
        <v>27</v>
      </c>
      <c r="C17" s="56">
        <v>31</v>
      </c>
      <c r="D17" s="56">
        <v>12</v>
      </c>
      <c r="E17" s="56">
        <v>2015</v>
      </c>
      <c r="F17" s="65">
        <v>0.72</v>
      </c>
      <c r="G17" s="77">
        <v>0.7</v>
      </c>
      <c r="H17" s="77">
        <v>0.7</v>
      </c>
      <c r="I17" s="59">
        <v>0.4</v>
      </c>
      <c r="J17" s="59">
        <v>0.75</v>
      </c>
      <c r="K17" s="59">
        <v>0.82</v>
      </c>
      <c r="L17" s="59">
        <v>1.52</v>
      </c>
      <c r="M17" s="59">
        <v>1.3</v>
      </c>
      <c r="N17" s="59">
        <v>1</v>
      </c>
      <c r="O17" s="59">
        <v>0.9</v>
      </c>
      <c r="P17" s="59">
        <v>0.65</v>
      </c>
      <c r="Q17" s="59">
        <v>0.55000000000000004</v>
      </c>
      <c r="R17" s="59">
        <v>0.5</v>
      </c>
      <c r="S17" s="60">
        <v>0.4</v>
      </c>
      <c r="T17" s="13">
        <f t="shared" si="1"/>
        <v>0.77928571428571425</v>
      </c>
      <c r="U17" s="4">
        <f t="shared" ca="1" si="2"/>
        <v>0</v>
      </c>
      <c r="V17" s="4">
        <f t="shared" ca="1" si="3"/>
        <v>122</v>
      </c>
      <c r="W17" s="4">
        <f t="shared" ca="1" si="4"/>
        <v>238</v>
      </c>
      <c r="X17" s="13">
        <f t="shared" ca="1" si="5"/>
        <v>0.7</v>
      </c>
      <c r="Y17" s="5">
        <f t="shared" ca="1" si="6"/>
        <v>-0.1017415215398717</v>
      </c>
      <c r="Z17" s="15">
        <f t="shared" si="7"/>
        <v>2.8571428571428692E-2</v>
      </c>
      <c r="AA17" s="15">
        <f t="shared" si="8"/>
        <v>0</v>
      </c>
      <c r="AB17" s="15">
        <f t="shared" si="9"/>
        <v>0.74999999999999978</v>
      </c>
      <c r="AC17" s="15">
        <f t="shared" si="10"/>
        <v>-0.46666666666666667</v>
      </c>
      <c r="AD17" s="15">
        <f t="shared" si="11"/>
        <v>-8.536585365853655E-2</v>
      </c>
      <c r="AE17" s="15">
        <f t="shared" si="12"/>
        <v>-0.46052631578947367</v>
      </c>
      <c r="AF17" s="15">
        <f t="shared" si="13"/>
        <v>0.1692307692307693</v>
      </c>
      <c r="AG17" s="15">
        <f t="shared" si="14"/>
        <v>0.30000000000000004</v>
      </c>
      <c r="AH17" s="15">
        <f t="shared" si="15"/>
        <v>0.11111111111111116</v>
      </c>
      <c r="AI17" s="15">
        <f t="shared" si="16"/>
        <v>0.38461538461538458</v>
      </c>
      <c r="AJ17" s="15">
        <f t="shared" si="17"/>
        <v>0.18181818181818166</v>
      </c>
      <c r="AK17" s="15">
        <f t="shared" si="18"/>
        <v>0.10000000000000009</v>
      </c>
      <c r="AL17" s="15">
        <f t="shared" si="19"/>
        <v>0.25</v>
      </c>
      <c r="AM17" s="5">
        <f t="shared" si="20"/>
        <v>-0.46666666666666667</v>
      </c>
    </row>
    <row r="18" spans="1:39" x14ac:dyDescent="0.25">
      <c r="A18" t="s">
        <v>28</v>
      </c>
      <c r="B18" t="s">
        <v>29</v>
      </c>
      <c r="C18" s="56">
        <v>31</v>
      </c>
      <c r="D18" s="56">
        <v>12</v>
      </c>
      <c r="E18" s="56">
        <v>2015</v>
      </c>
      <c r="F18" s="65">
        <v>1.85</v>
      </c>
      <c r="G18" s="77">
        <v>1.7</v>
      </c>
      <c r="H18" s="77">
        <v>1.58</v>
      </c>
      <c r="I18" s="59">
        <v>1.5</v>
      </c>
      <c r="J18" s="59">
        <v>1.45</v>
      </c>
      <c r="K18" s="59">
        <v>1.45</v>
      </c>
      <c r="L18" s="59">
        <v>1.39</v>
      </c>
      <c r="M18" s="59">
        <v>1.3</v>
      </c>
      <c r="N18" s="59">
        <v>1.2</v>
      </c>
      <c r="O18" s="59">
        <v>1.2</v>
      </c>
      <c r="P18" s="59">
        <v>1.1000000000000001</v>
      </c>
      <c r="Q18" s="59">
        <v>1</v>
      </c>
      <c r="R18" s="59">
        <v>0.85</v>
      </c>
      <c r="S18" s="60">
        <v>0.68</v>
      </c>
      <c r="T18" s="13">
        <f t="shared" si="1"/>
        <v>1.3035714285714286</v>
      </c>
      <c r="U18" s="4">
        <f t="shared" ca="1" si="2"/>
        <v>0</v>
      </c>
      <c r="V18" s="4">
        <f t="shared" ca="1" si="3"/>
        <v>122</v>
      </c>
      <c r="W18" s="4">
        <f t="shared" ca="1" si="4"/>
        <v>238</v>
      </c>
      <c r="X18" s="13">
        <f t="shared" ca="1" si="5"/>
        <v>1.6206666666666667</v>
      </c>
      <c r="Y18" s="5">
        <f t="shared" ca="1" si="6"/>
        <v>0.24325114155251137</v>
      </c>
      <c r="Z18" s="15">
        <f t="shared" si="7"/>
        <v>8.8235294117647189E-2</v>
      </c>
      <c r="AA18" s="15">
        <f t="shared" si="8"/>
        <v>7.5949367088607556E-2</v>
      </c>
      <c r="AB18" s="15">
        <f t="shared" si="9"/>
        <v>5.3333333333333455E-2</v>
      </c>
      <c r="AC18" s="15">
        <f t="shared" si="10"/>
        <v>3.4482758620689724E-2</v>
      </c>
      <c r="AD18" s="15">
        <f t="shared" si="11"/>
        <v>0</v>
      </c>
      <c r="AE18" s="15">
        <f t="shared" si="12"/>
        <v>4.3165467625899234E-2</v>
      </c>
      <c r="AF18" s="15">
        <f t="shared" si="13"/>
        <v>6.9230769230769207E-2</v>
      </c>
      <c r="AG18" s="15">
        <f t="shared" si="14"/>
        <v>8.3333333333333481E-2</v>
      </c>
      <c r="AH18" s="15">
        <f t="shared" si="15"/>
        <v>0</v>
      </c>
      <c r="AI18" s="15">
        <f t="shared" si="16"/>
        <v>9.0909090909090828E-2</v>
      </c>
      <c r="AJ18" s="15">
        <f t="shared" si="17"/>
        <v>0.10000000000000009</v>
      </c>
      <c r="AK18" s="15">
        <f t="shared" si="18"/>
        <v>0.17647058823529416</v>
      </c>
      <c r="AL18" s="15">
        <f t="shared" si="19"/>
        <v>0.24999999999999978</v>
      </c>
      <c r="AM18" s="5">
        <f t="shared" si="20"/>
        <v>0</v>
      </c>
    </row>
    <row r="19" spans="1:39" x14ac:dyDescent="0.25">
      <c r="A19" t="s">
        <v>30</v>
      </c>
      <c r="B19" t="s">
        <v>31</v>
      </c>
      <c r="C19" s="56">
        <v>31</v>
      </c>
      <c r="D19" s="56">
        <v>12</v>
      </c>
      <c r="E19" s="56">
        <v>2015</v>
      </c>
      <c r="F19" s="65">
        <v>1.71</v>
      </c>
      <c r="G19" s="77">
        <v>1.6</v>
      </c>
      <c r="H19" s="77">
        <v>1.53</v>
      </c>
      <c r="I19" s="59">
        <v>1.48</v>
      </c>
      <c r="J19" s="59">
        <v>1.42</v>
      </c>
      <c r="K19" s="59">
        <v>1.35</v>
      </c>
      <c r="L19" s="59">
        <v>1.27</v>
      </c>
      <c r="M19" s="59">
        <v>1.1399999999999999</v>
      </c>
      <c r="N19" s="59">
        <v>1</v>
      </c>
      <c r="O19" s="59">
        <v>0.84</v>
      </c>
      <c r="P19" s="59">
        <v>0.66</v>
      </c>
      <c r="Q19" s="59"/>
      <c r="R19" s="59"/>
      <c r="S19" s="60"/>
      <c r="T19" s="13">
        <f t="shared" si="1"/>
        <v>1.2727272727272727</v>
      </c>
      <c r="U19" s="4">
        <f t="shared" ca="1" si="2"/>
        <v>0</v>
      </c>
      <c r="V19" s="4">
        <f t="shared" ca="1" si="3"/>
        <v>122</v>
      </c>
      <c r="W19" s="4">
        <f t="shared" ca="1" si="4"/>
        <v>238</v>
      </c>
      <c r="X19" s="13">
        <f t="shared" ca="1" si="5"/>
        <v>1.5537222222222224</v>
      </c>
      <c r="Y19" s="5">
        <f t="shared" ca="1" si="6"/>
        <v>0.22078174603174627</v>
      </c>
      <c r="Z19" s="15">
        <f t="shared" si="7"/>
        <v>6.8749999999999867E-2</v>
      </c>
      <c r="AA19" s="15">
        <f t="shared" si="8"/>
        <v>4.5751633986928164E-2</v>
      </c>
      <c r="AB19" s="15">
        <f t="shared" si="9"/>
        <v>3.3783783783783772E-2</v>
      </c>
      <c r="AC19" s="15">
        <f t="shared" si="10"/>
        <v>4.2253521126760507E-2</v>
      </c>
      <c r="AD19" s="15">
        <f t="shared" si="11"/>
        <v>5.1851851851851816E-2</v>
      </c>
      <c r="AE19" s="15">
        <f t="shared" si="12"/>
        <v>6.2992125984252079E-2</v>
      </c>
      <c r="AF19" s="15">
        <f t="shared" si="13"/>
        <v>0.11403508771929838</v>
      </c>
      <c r="AG19" s="15">
        <f t="shared" si="14"/>
        <v>0.1399999999999999</v>
      </c>
      <c r="AH19" s="15">
        <f t="shared" si="15"/>
        <v>0.19047619047619047</v>
      </c>
      <c r="AI19" s="15">
        <f t="shared" si="16"/>
        <v>0.27272727272727271</v>
      </c>
      <c r="AJ19" s="15" t="str">
        <f t="shared" si="17"/>
        <v/>
      </c>
      <c r="AK19" s="15" t="str">
        <f t="shared" si="18"/>
        <v/>
      </c>
      <c r="AL19" s="15" t="str">
        <f t="shared" si="19"/>
        <v/>
      </c>
      <c r="AM19" s="5">
        <f t="shared" si="20"/>
        <v>3.3783783783783772E-2</v>
      </c>
    </row>
    <row r="20" spans="1:39" x14ac:dyDescent="0.25">
      <c r="A20" t="s">
        <v>32</v>
      </c>
      <c r="B20" t="s">
        <v>33</v>
      </c>
      <c r="C20" s="56">
        <v>30</v>
      </c>
      <c r="D20" s="56">
        <v>9</v>
      </c>
      <c r="E20" s="56">
        <v>2015</v>
      </c>
      <c r="F20" s="65">
        <v>1.68</v>
      </c>
      <c r="G20" s="77">
        <v>1.53</v>
      </c>
      <c r="H20" s="77">
        <v>1.4000000000000001</v>
      </c>
      <c r="I20" s="59">
        <v>1.28</v>
      </c>
      <c r="J20" s="59">
        <v>1.1599999999999999</v>
      </c>
      <c r="K20" s="59">
        <v>1.06</v>
      </c>
      <c r="L20" s="59">
        <v>0.95</v>
      </c>
      <c r="M20" s="59">
        <v>0.84</v>
      </c>
      <c r="N20" s="59">
        <v>0.73</v>
      </c>
      <c r="O20" s="59">
        <v>0.63</v>
      </c>
      <c r="P20" s="59">
        <v>0.6</v>
      </c>
      <c r="Q20" s="59"/>
      <c r="R20" s="59"/>
      <c r="S20" s="60"/>
      <c r="T20" s="13">
        <f t="shared" si="1"/>
        <v>1.0781818181818184</v>
      </c>
      <c r="U20" s="4">
        <f t="shared" ca="1" si="2"/>
        <v>0</v>
      </c>
      <c r="V20" s="4">
        <f t="shared" ca="1" si="3"/>
        <v>213</v>
      </c>
      <c r="W20" s="4">
        <f t="shared" ca="1" si="4"/>
        <v>147</v>
      </c>
      <c r="X20" s="13">
        <f t="shared" ca="1" si="5"/>
        <v>1.4769166666666669</v>
      </c>
      <c r="Y20" s="5">
        <f t="shared" ca="1" si="6"/>
        <v>0.36982152894884757</v>
      </c>
      <c r="Z20" s="15">
        <f t="shared" si="7"/>
        <v>9.8039215686274384E-2</v>
      </c>
      <c r="AA20" s="15">
        <f t="shared" si="8"/>
        <v>9.2857142857142749E-2</v>
      </c>
      <c r="AB20" s="15">
        <f t="shared" si="9"/>
        <v>9.375E-2</v>
      </c>
      <c r="AC20" s="15">
        <f t="shared" si="10"/>
        <v>0.10344827586206917</v>
      </c>
      <c r="AD20" s="15">
        <f t="shared" si="11"/>
        <v>9.4339622641509413E-2</v>
      </c>
      <c r="AE20" s="15">
        <f t="shared" si="12"/>
        <v>0.11578947368421066</v>
      </c>
      <c r="AF20" s="15">
        <f t="shared" si="13"/>
        <v>0.13095238095238093</v>
      </c>
      <c r="AG20" s="15">
        <f t="shared" si="14"/>
        <v>0.15068493150684925</v>
      </c>
      <c r="AH20" s="15">
        <f t="shared" si="15"/>
        <v>0.15873015873015861</v>
      </c>
      <c r="AI20" s="15">
        <f t="shared" si="16"/>
        <v>5.0000000000000044E-2</v>
      </c>
      <c r="AJ20" s="15" t="str">
        <f t="shared" si="17"/>
        <v/>
      </c>
      <c r="AK20" s="15" t="str">
        <f t="shared" si="18"/>
        <v/>
      </c>
      <c r="AL20" s="15" t="str">
        <f t="shared" si="19"/>
        <v/>
      </c>
      <c r="AM20" s="5">
        <f t="shared" si="20"/>
        <v>5.0000000000000044E-2</v>
      </c>
    </row>
    <row r="21" spans="1:39" x14ac:dyDescent="0.25">
      <c r="A21" t="s">
        <v>34</v>
      </c>
      <c r="B21" t="s">
        <v>35</v>
      </c>
      <c r="C21" s="56">
        <v>31</v>
      </c>
      <c r="D21" s="56">
        <v>3</v>
      </c>
      <c r="E21" s="56">
        <v>2015</v>
      </c>
      <c r="F21" s="65">
        <v>0.11599999999999999</v>
      </c>
      <c r="G21" s="77">
        <v>0.115</v>
      </c>
      <c r="H21" s="77">
        <v>0.113</v>
      </c>
      <c r="I21" s="59">
        <v>0.11</v>
      </c>
      <c r="J21" s="59">
        <v>0.1</v>
      </c>
      <c r="K21" s="59">
        <v>9.5000000000000001E-2</v>
      </c>
      <c r="L21" s="59">
        <v>8.8999999999999996E-2</v>
      </c>
      <c r="M21" s="59">
        <v>8.3000000000000004E-2</v>
      </c>
      <c r="N21" s="59">
        <v>5.6000000000000001E-2</v>
      </c>
      <c r="O21" s="59">
        <v>7.4999999999999997E-2</v>
      </c>
      <c r="P21" s="59">
        <v>6.8000000000000005E-2</v>
      </c>
      <c r="Q21" s="59">
        <v>6.0999999999999999E-2</v>
      </c>
      <c r="R21" s="59">
        <v>0.04</v>
      </c>
      <c r="S21" s="60">
        <v>0.02</v>
      </c>
      <c r="T21" s="13">
        <f t="shared" si="1"/>
        <v>8.1499999999999989E-2</v>
      </c>
      <c r="U21" s="4">
        <f t="shared" ca="1" si="2"/>
        <v>32</v>
      </c>
      <c r="V21" s="4">
        <f t="shared" ca="1" si="3"/>
        <v>328</v>
      </c>
      <c r="W21" s="4">
        <f t="shared" ca="1" si="4"/>
        <v>0</v>
      </c>
      <c r="X21" s="13">
        <f t="shared" ca="1" si="5"/>
        <v>0.11508888888888891</v>
      </c>
      <c r="Y21" s="5">
        <f t="shared" ca="1" si="6"/>
        <v>0.41213360599863713</v>
      </c>
      <c r="Z21" s="15">
        <f t="shared" si="7"/>
        <v>8.6956521739129933E-3</v>
      </c>
      <c r="AA21" s="15">
        <f t="shared" si="8"/>
        <v>1.7699115044247815E-2</v>
      </c>
      <c r="AB21" s="15">
        <f t="shared" si="9"/>
        <v>2.7272727272727337E-2</v>
      </c>
      <c r="AC21" s="15">
        <f t="shared" si="10"/>
        <v>9.9999999999999867E-2</v>
      </c>
      <c r="AD21" s="15">
        <f t="shared" si="11"/>
        <v>5.2631578947368363E-2</v>
      </c>
      <c r="AE21" s="15">
        <f t="shared" si="12"/>
        <v>6.7415730337078816E-2</v>
      </c>
      <c r="AF21" s="15">
        <f t="shared" si="13"/>
        <v>7.2289156626505813E-2</v>
      </c>
      <c r="AG21" s="15">
        <f t="shared" si="14"/>
        <v>0.48214285714285721</v>
      </c>
      <c r="AH21" s="15">
        <f t="shared" si="15"/>
        <v>-0.2533333333333333</v>
      </c>
      <c r="AI21" s="15">
        <f t="shared" si="16"/>
        <v>0.10294117647058809</v>
      </c>
      <c r="AJ21" s="15">
        <f t="shared" si="17"/>
        <v>0.11475409836065587</v>
      </c>
      <c r="AK21" s="15">
        <f t="shared" si="18"/>
        <v>0.52499999999999991</v>
      </c>
      <c r="AL21" s="15">
        <f t="shared" si="19"/>
        <v>1</v>
      </c>
      <c r="AM21" s="5">
        <f t="shared" si="20"/>
        <v>-0.2533333333333333</v>
      </c>
    </row>
    <row r="22" spans="1:39" x14ac:dyDescent="0.25">
      <c r="A22" t="s">
        <v>36</v>
      </c>
      <c r="B22" t="s">
        <v>37</v>
      </c>
      <c r="C22" s="56">
        <v>31</v>
      </c>
      <c r="D22" s="56">
        <v>12</v>
      </c>
      <c r="E22" s="56">
        <v>2015</v>
      </c>
      <c r="F22" s="65">
        <v>1.38</v>
      </c>
      <c r="G22" s="77">
        <v>1.27</v>
      </c>
      <c r="H22" s="77">
        <v>1.19</v>
      </c>
      <c r="I22" s="59">
        <v>1.1200000000000001</v>
      </c>
      <c r="J22" s="59">
        <v>1.05</v>
      </c>
      <c r="K22" s="59">
        <v>0.97</v>
      </c>
      <c r="L22" s="59">
        <v>0.9</v>
      </c>
      <c r="M22" s="59">
        <v>0.83</v>
      </c>
      <c r="N22" s="61">
        <v>0.8</v>
      </c>
      <c r="O22" s="59">
        <v>0.77</v>
      </c>
      <c r="P22" s="59">
        <v>0.75</v>
      </c>
      <c r="Q22" s="61">
        <v>0.70499999999999996</v>
      </c>
      <c r="R22" s="59">
        <v>0.66</v>
      </c>
      <c r="S22" s="60">
        <v>0.63</v>
      </c>
      <c r="T22" s="13">
        <f t="shared" si="1"/>
        <v>0.93035714285714288</v>
      </c>
      <c r="U22" s="4">
        <f t="shared" ca="1" si="2"/>
        <v>0</v>
      </c>
      <c r="V22" s="4">
        <f t="shared" ca="1" si="3"/>
        <v>122</v>
      </c>
      <c r="W22" s="4">
        <f t="shared" ca="1" si="4"/>
        <v>238</v>
      </c>
      <c r="X22" s="13">
        <f t="shared" ca="1" si="5"/>
        <v>1.217111111111111</v>
      </c>
      <c r="Y22" s="5">
        <f t="shared" ca="1" si="6"/>
        <v>0.30821923651098304</v>
      </c>
      <c r="Z22" s="15">
        <f t="shared" si="7"/>
        <v>8.6614173228346303E-2</v>
      </c>
      <c r="AA22" s="15">
        <f t="shared" si="8"/>
        <v>6.7226890756302504E-2</v>
      </c>
      <c r="AB22" s="15">
        <f t="shared" si="9"/>
        <v>6.2499999999999778E-2</v>
      </c>
      <c r="AC22" s="15">
        <f t="shared" si="10"/>
        <v>6.6666666666666652E-2</v>
      </c>
      <c r="AD22" s="15">
        <f t="shared" si="11"/>
        <v>8.2474226804123862E-2</v>
      </c>
      <c r="AE22" s="15">
        <f t="shared" si="12"/>
        <v>7.7777777777777724E-2</v>
      </c>
      <c r="AF22" s="15">
        <f t="shared" si="13"/>
        <v>8.4337349397590522E-2</v>
      </c>
      <c r="AG22" s="15">
        <f t="shared" si="14"/>
        <v>3.7499999999999867E-2</v>
      </c>
      <c r="AH22" s="15">
        <f t="shared" si="15"/>
        <v>3.8961038961039085E-2</v>
      </c>
      <c r="AI22" s="15">
        <f t="shared" si="16"/>
        <v>2.6666666666666616E-2</v>
      </c>
      <c r="AJ22" s="15">
        <f t="shared" si="17"/>
        <v>6.3829787234042534E-2</v>
      </c>
      <c r="AK22" s="15">
        <f t="shared" si="18"/>
        <v>6.8181818181818121E-2</v>
      </c>
      <c r="AL22" s="15">
        <f t="shared" si="19"/>
        <v>4.7619047619047672E-2</v>
      </c>
      <c r="AM22" s="5">
        <f t="shared" si="20"/>
        <v>2.6666666666666616E-2</v>
      </c>
    </row>
    <row r="23" spans="1:39" x14ac:dyDescent="0.25">
      <c r="A23" t="s">
        <v>38</v>
      </c>
      <c r="B23" t="s">
        <v>39</v>
      </c>
      <c r="C23" s="56">
        <v>31</v>
      </c>
      <c r="D23" s="56">
        <v>12</v>
      </c>
      <c r="E23" s="56">
        <v>2015</v>
      </c>
      <c r="F23" s="65">
        <v>1.96</v>
      </c>
      <c r="G23" s="77">
        <v>1.93</v>
      </c>
      <c r="H23" s="77">
        <v>1.88</v>
      </c>
      <c r="I23" s="59">
        <v>1.85</v>
      </c>
      <c r="J23" s="59">
        <v>1.81</v>
      </c>
      <c r="K23" s="59">
        <v>1.77</v>
      </c>
      <c r="L23" s="59">
        <v>1.72</v>
      </c>
      <c r="M23" s="59">
        <v>1.68</v>
      </c>
      <c r="N23" s="59">
        <v>1.65</v>
      </c>
      <c r="O23" s="59">
        <v>1.61</v>
      </c>
      <c r="P23" s="59">
        <v>1.47</v>
      </c>
      <c r="Q23" s="59">
        <v>1.35</v>
      </c>
      <c r="R23" s="59">
        <v>1.3</v>
      </c>
      <c r="S23" s="60">
        <v>1.26</v>
      </c>
      <c r="T23" s="13">
        <f t="shared" si="1"/>
        <v>1.6600000000000001</v>
      </c>
      <c r="U23" s="4">
        <f t="shared" ca="1" si="2"/>
        <v>0</v>
      </c>
      <c r="V23" s="4">
        <f t="shared" ca="1" si="3"/>
        <v>122</v>
      </c>
      <c r="W23" s="4">
        <f t="shared" ca="1" si="4"/>
        <v>238</v>
      </c>
      <c r="X23" s="13">
        <f t="shared" ca="1" si="5"/>
        <v>1.8969444444444443</v>
      </c>
      <c r="Y23" s="5">
        <f t="shared" ca="1" si="6"/>
        <v>0.14273761713520727</v>
      </c>
      <c r="Z23" s="15">
        <f t="shared" si="7"/>
        <v>1.5544041450777257E-2</v>
      </c>
      <c r="AA23" s="15">
        <f t="shared" si="8"/>
        <v>2.659574468085113E-2</v>
      </c>
      <c r="AB23" s="15">
        <f t="shared" si="9"/>
        <v>1.6216216216216051E-2</v>
      </c>
      <c r="AC23" s="15">
        <f t="shared" si="10"/>
        <v>2.2099447513812098E-2</v>
      </c>
      <c r="AD23" s="15">
        <f t="shared" si="11"/>
        <v>2.2598870056497189E-2</v>
      </c>
      <c r="AE23" s="15">
        <f t="shared" si="12"/>
        <v>2.9069767441860517E-2</v>
      </c>
      <c r="AF23" s="15">
        <f t="shared" si="13"/>
        <v>2.3809523809523725E-2</v>
      </c>
      <c r="AG23" s="15">
        <f t="shared" si="14"/>
        <v>1.8181818181818299E-2</v>
      </c>
      <c r="AH23" s="15">
        <f t="shared" si="15"/>
        <v>2.4844720496894235E-2</v>
      </c>
      <c r="AI23" s="15">
        <f t="shared" si="16"/>
        <v>9.5238095238095344E-2</v>
      </c>
      <c r="AJ23" s="15">
        <f t="shared" si="17"/>
        <v>8.8888888888888795E-2</v>
      </c>
      <c r="AK23" s="15">
        <f t="shared" si="18"/>
        <v>3.8461538461538547E-2</v>
      </c>
      <c r="AL23" s="15">
        <f t="shared" si="19"/>
        <v>3.1746031746031855E-2</v>
      </c>
      <c r="AM23" s="5">
        <f t="shared" si="20"/>
        <v>1.5544041450777257E-2</v>
      </c>
    </row>
    <row r="24" spans="1:39" x14ac:dyDescent="0.25">
      <c r="A24" t="s">
        <v>95</v>
      </c>
      <c r="B24" t="s">
        <v>199</v>
      </c>
      <c r="C24" s="56">
        <v>31</v>
      </c>
      <c r="D24" s="56">
        <v>12</v>
      </c>
      <c r="E24" s="56">
        <v>2015</v>
      </c>
      <c r="F24" s="65">
        <v>10.7</v>
      </c>
      <c r="G24" s="77">
        <v>9.65</v>
      </c>
      <c r="H24" s="77">
        <v>8.75</v>
      </c>
      <c r="I24" s="59">
        <v>7.72</v>
      </c>
      <c r="J24" s="59">
        <v>6.72</v>
      </c>
      <c r="K24" s="59">
        <v>6</v>
      </c>
      <c r="L24" s="59">
        <v>5.5</v>
      </c>
      <c r="M24" s="59">
        <v>4</v>
      </c>
      <c r="N24" s="59">
        <v>3.12</v>
      </c>
      <c r="O24" s="59">
        <v>3.12</v>
      </c>
      <c r="P24" s="59"/>
      <c r="Q24" s="59"/>
      <c r="R24" s="59"/>
      <c r="S24" s="60"/>
      <c r="T24" s="13">
        <f t="shared" si="1"/>
        <v>6.5280000000000005</v>
      </c>
      <c r="U24" s="4">
        <f t="shared" ca="1" si="2"/>
        <v>0</v>
      </c>
      <c r="V24" s="4">
        <f t="shared" ca="1" si="3"/>
        <v>122</v>
      </c>
      <c r="W24" s="4">
        <f t="shared" ca="1" si="4"/>
        <v>238</v>
      </c>
      <c r="X24" s="13">
        <f t="shared" ca="1" si="5"/>
        <v>9.0549999999999997</v>
      </c>
      <c r="Y24" s="5">
        <f t="shared" ca="1" si="6"/>
        <v>0.38710171568627438</v>
      </c>
      <c r="Z24" s="15">
        <f t="shared" si="7"/>
        <v>0.10880829015544036</v>
      </c>
      <c r="AA24" s="15">
        <f t="shared" si="8"/>
        <v>0.10285714285714298</v>
      </c>
      <c r="AB24" s="15">
        <f t="shared" si="9"/>
        <v>0.13341968911917101</v>
      </c>
      <c r="AC24" s="15">
        <f t="shared" si="10"/>
        <v>0.14880952380952372</v>
      </c>
      <c r="AD24" s="15">
        <f t="shared" si="11"/>
        <v>0.11999999999999988</v>
      </c>
      <c r="AE24" s="15">
        <f t="shared" si="12"/>
        <v>9.0909090909090828E-2</v>
      </c>
      <c r="AF24" s="15">
        <f t="shared" si="13"/>
        <v>0.375</v>
      </c>
      <c r="AG24" s="15">
        <f t="shared" si="14"/>
        <v>0.28205128205128194</v>
      </c>
      <c r="AH24" s="15">
        <f t="shared" si="15"/>
        <v>0</v>
      </c>
      <c r="AI24" s="15" t="str">
        <f t="shared" si="16"/>
        <v/>
      </c>
      <c r="AJ24" s="15" t="str">
        <f t="shared" si="17"/>
        <v/>
      </c>
      <c r="AK24" s="15" t="str">
        <f t="shared" si="18"/>
        <v/>
      </c>
      <c r="AL24" s="15" t="str">
        <f t="shared" si="19"/>
        <v/>
      </c>
      <c r="AM24" s="5">
        <f t="shared" si="20"/>
        <v>0</v>
      </c>
    </row>
    <row r="25" spans="1:39" x14ac:dyDescent="0.25">
      <c r="A25" t="s">
        <v>40</v>
      </c>
      <c r="B25" t="s">
        <v>41</v>
      </c>
      <c r="C25" s="56">
        <v>31</v>
      </c>
      <c r="D25" s="56">
        <v>12</v>
      </c>
      <c r="E25" s="56">
        <v>2015</v>
      </c>
      <c r="F25" s="65">
        <v>1.52</v>
      </c>
      <c r="G25" s="77">
        <v>1.42</v>
      </c>
      <c r="H25" s="77">
        <v>1.32</v>
      </c>
      <c r="I25" s="59">
        <v>1.22</v>
      </c>
      <c r="J25" s="59">
        <v>1.1200000000000001</v>
      </c>
      <c r="K25" s="59">
        <v>1.02</v>
      </c>
      <c r="L25" s="59">
        <v>0.94</v>
      </c>
      <c r="M25" s="59">
        <v>0.88</v>
      </c>
      <c r="N25" s="59">
        <v>0.82</v>
      </c>
      <c r="O25" s="59">
        <v>0.76</v>
      </c>
      <c r="P25" s="59">
        <v>0.68</v>
      </c>
      <c r="Q25" s="59">
        <v>0.62</v>
      </c>
      <c r="R25" s="59">
        <v>0.56000000000000005</v>
      </c>
      <c r="S25" s="60">
        <v>0.5</v>
      </c>
      <c r="T25" s="13">
        <f t="shared" si="1"/>
        <v>0.95571428571428563</v>
      </c>
      <c r="U25" s="4">
        <f t="shared" ca="1" si="2"/>
        <v>0</v>
      </c>
      <c r="V25" s="4">
        <f t="shared" ca="1" si="3"/>
        <v>122</v>
      </c>
      <c r="W25" s="4">
        <f t="shared" ca="1" si="4"/>
        <v>238</v>
      </c>
      <c r="X25" s="13">
        <f t="shared" ca="1" si="5"/>
        <v>1.3538888888888889</v>
      </c>
      <c r="Y25" s="5">
        <f t="shared" ca="1" si="6"/>
        <v>0.41662514532469697</v>
      </c>
      <c r="Z25" s="15">
        <f t="shared" si="7"/>
        <v>7.0422535211267734E-2</v>
      </c>
      <c r="AA25" s="15">
        <f t="shared" si="8"/>
        <v>7.575757575757569E-2</v>
      </c>
      <c r="AB25" s="15">
        <f t="shared" si="9"/>
        <v>8.1967213114754189E-2</v>
      </c>
      <c r="AC25" s="15">
        <f t="shared" si="10"/>
        <v>8.9285714285714191E-2</v>
      </c>
      <c r="AD25" s="15">
        <f t="shared" si="11"/>
        <v>9.8039215686274606E-2</v>
      </c>
      <c r="AE25" s="15">
        <f t="shared" si="12"/>
        <v>8.5106382978723527E-2</v>
      </c>
      <c r="AF25" s="15">
        <f t="shared" si="13"/>
        <v>6.8181818181818121E-2</v>
      </c>
      <c r="AG25" s="15">
        <f t="shared" si="14"/>
        <v>7.3170731707317138E-2</v>
      </c>
      <c r="AH25" s="15">
        <f t="shared" si="15"/>
        <v>7.8947368421052655E-2</v>
      </c>
      <c r="AI25" s="15">
        <f t="shared" si="16"/>
        <v>0.11764705882352944</v>
      </c>
      <c r="AJ25" s="15">
        <f t="shared" si="17"/>
        <v>9.6774193548387233E-2</v>
      </c>
      <c r="AK25" s="15">
        <f t="shared" si="18"/>
        <v>0.10714285714285698</v>
      </c>
      <c r="AL25" s="15">
        <f t="shared" si="19"/>
        <v>0.12000000000000011</v>
      </c>
      <c r="AM25" s="5">
        <f t="shared" si="20"/>
        <v>6.8181818181818121E-2</v>
      </c>
    </row>
    <row r="26" spans="1:39" x14ac:dyDescent="0.25">
      <c r="A26" t="s">
        <v>42</v>
      </c>
      <c r="B26" t="s">
        <v>43</v>
      </c>
      <c r="C26" s="56">
        <v>31</v>
      </c>
      <c r="D26" s="56">
        <v>12</v>
      </c>
      <c r="E26" s="56">
        <v>2015</v>
      </c>
      <c r="F26" s="65">
        <v>1.78</v>
      </c>
      <c r="G26" s="77">
        <v>1.64</v>
      </c>
      <c r="H26" s="77">
        <v>1.52</v>
      </c>
      <c r="I26" s="59">
        <v>1.42</v>
      </c>
      <c r="J26" s="59">
        <v>1.33</v>
      </c>
      <c r="K26" s="59">
        <v>1.22</v>
      </c>
      <c r="L26" s="59">
        <v>1.1399999999999999</v>
      </c>
      <c r="M26" s="59">
        <v>1.01</v>
      </c>
      <c r="N26" s="59">
        <v>0.86</v>
      </c>
      <c r="O26" s="59">
        <v>0.78</v>
      </c>
      <c r="P26" s="59">
        <v>0.7</v>
      </c>
      <c r="Q26" s="59">
        <v>0.63</v>
      </c>
      <c r="R26" s="59">
        <v>0.56000000000000005</v>
      </c>
      <c r="S26" s="60">
        <v>0.48</v>
      </c>
      <c r="T26" s="13">
        <f t="shared" si="1"/>
        <v>1.0764285714285715</v>
      </c>
      <c r="U26" s="4">
        <f t="shared" ca="1" si="2"/>
        <v>0</v>
      </c>
      <c r="V26" s="4">
        <f t="shared" ca="1" si="3"/>
        <v>122</v>
      </c>
      <c r="W26" s="4">
        <f t="shared" ca="1" si="4"/>
        <v>238</v>
      </c>
      <c r="X26" s="13">
        <f t="shared" ca="1" si="5"/>
        <v>1.5606666666666666</v>
      </c>
      <c r="Y26" s="5">
        <f t="shared" ca="1" si="6"/>
        <v>0.44985622649856216</v>
      </c>
      <c r="Z26" s="15">
        <f t="shared" si="7"/>
        <v>8.5365853658536661E-2</v>
      </c>
      <c r="AA26" s="15">
        <f t="shared" si="8"/>
        <v>7.8947368421052655E-2</v>
      </c>
      <c r="AB26" s="15">
        <f t="shared" si="9"/>
        <v>7.0422535211267734E-2</v>
      </c>
      <c r="AC26" s="15">
        <f t="shared" si="10"/>
        <v>6.7669172932330657E-2</v>
      </c>
      <c r="AD26" s="15">
        <f t="shared" si="11"/>
        <v>9.0163934426229497E-2</v>
      </c>
      <c r="AE26" s="15">
        <f t="shared" si="12"/>
        <v>7.0175438596491224E-2</v>
      </c>
      <c r="AF26" s="15">
        <f t="shared" si="13"/>
        <v>0.12871287128712861</v>
      </c>
      <c r="AG26" s="15">
        <f t="shared" si="14"/>
        <v>0.17441860465116288</v>
      </c>
      <c r="AH26" s="15">
        <f t="shared" si="15"/>
        <v>0.10256410256410242</v>
      </c>
      <c r="AI26" s="15">
        <f t="shared" si="16"/>
        <v>0.11428571428571432</v>
      </c>
      <c r="AJ26" s="15">
        <f t="shared" si="17"/>
        <v>0.11111111111111094</v>
      </c>
      <c r="AK26" s="15">
        <f t="shared" si="18"/>
        <v>0.125</v>
      </c>
      <c r="AL26" s="15">
        <f t="shared" si="19"/>
        <v>0.16666666666666674</v>
      </c>
      <c r="AM26" s="5">
        <f t="shared" si="20"/>
        <v>6.7669172932330657E-2</v>
      </c>
    </row>
    <row r="27" spans="1:39" x14ac:dyDescent="0.25">
      <c r="A27" t="s">
        <v>44</v>
      </c>
      <c r="B27" t="s">
        <v>45</v>
      </c>
      <c r="C27" s="56">
        <v>31</v>
      </c>
      <c r="D27" s="56">
        <v>12</v>
      </c>
      <c r="E27" s="56">
        <v>2015</v>
      </c>
      <c r="F27" s="65">
        <v>1.02</v>
      </c>
      <c r="G27" s="77">
        <v>0.97</v>
      </c>
      <c r="H27" s="77">
        <v>0.93</v>
      </c>
      <c r="I27" s="59">
        <v>0.89</v>
      </c>
      <c r="J27" s="59">
        <v>0.79</v>
      </c>
      <c r="K27" s="59">
        <v>0.7</v>
      </c>
      <c r="L27" s="59">
        <v>0.61</v>
      </c>
      <c r="M27" s="59">
        <v>0.46</v>
      </c>
      <c r="N27" s="59">
        <v>0.61</v>
      </c>
      <c r="O27" s="59">
        <v>1.24</v>
      </c>
      <c r="P27" s="59">
        <v>1.1499999999999999</v>
      </c>
      <c r="Q27" s="59">
        <v>1.03</v>
      </c>
      <c r="R27" s="59">
        <v>0.91</v>
      </c>
      <c r="S27" s="60">
        <v>0.82</v>
      </c>
      <c r="T27" s="13">
        <f t="shared" si="1"/>
        <v>0.86642857142857144</v>
      </c>
      <c r="U27" s="4">
        <f t="shared" ca="1" si="2"/>
        <v>0</v>
      </c>
      <c r="V27" s="4">
        <f t="shared" ca="1" si="3"/>
        <v>122</v>
      </c>
      <c r="W27" s="4">
        <f t="shared" ca="1" si="4"/>
        <v>238</v>
      </c>
      <c r="X27" s="13">
        <f t="shared" ca="1" si="5"/>
        <v>0.94355555555555548</v>
      </c>
      <c r="Y27" s="5">
        <f t="shared" ca="1" si="6"/>
        <v>8.901712924796179E-2</v>
      </c>
      <c r="Z27" s="15">
        <f t="shared" si="7"/>
        <v>5.1546391752577359E-2</v>
      </c>
      <c r="AA27" s="15">
        <f t="shared" si="8"/>
        <v>4.3010752688172005E-2</v>
      </c>
      <c r="AB27" s="15">
        <f t="shared" si="9"/>
        <v>4.4943820224719211E-2</v>
      </c>
      <c r="AC27" s="15">
        <f t="shared" si="10"/>
        <v>0.12658227848101267</v>
      </c>
      <c r="AD27" s="15">
        <f t="shared" si="11"/>
        <v>0.12857142857142878</v>
      </c>
      <c r="AE27" s="15">
        <f t="shared" si="12"/>
        <v>0.14754098360655732</v>
      </c>
      <c r="AF27" s="15">
        <f t="shared" si="13"/>
        <v>0.32608695652173902</v>
      </c>
      <c r="AG27" s="15">
        <f t="shared" si="14"/>
        <v>-0.24590163934426224</v>
      </c>
      <c r="AH27" s="15">
        <f t="shared" si="15"/>
        <v>-0.50806451612903225</v>
      </c>
      <c r="AI27" s="15">
        <f t="shared" si="16"/>
        <v>7.8260869565217384E-2</v>
      </c>
      <c r="AJ27" s="15">
        <f t="shared" si="17"/>
        <v>0.11650485436893199</v>
      </c>
      <c r="AK27" s="15">
        <f t="shared" si="18"/>
        <v>0.13186813186813184</v>
      </c>
      <c r="AL27" s="15">
        <f t="shared" si="19"/>
        <v>0.10975609756097571</v>
      </c>
      <c r="AM27" s="5">
        <f t="shared" si="20"/>
        <v>-0.50806451612903225</v>
      </c>
    </row>
    <row r="28" spans="1:39" x14ac:dyDescent="0.25">
      <c r="A28" t="s">
        <v>46</v>
      </c>
      <c r="B28" t="s">
        <v>47</v>
      </c>
      <c r="C28" s="56">
        <v>31</v>
      </c>
      <c r="D28" s="56">
        <v>12</v>
      </c>
      <c r="E28" s="56">
        <v>2015</v>
      </c>
      <c r="F28" s="65">
        <v>4.74</v>
      </c>
      <c r="G28" s="77">
        <v>4.8600000000000003</v>
      </c>
      <c r="H28" s="77">
        <v>4.5599999999999996</v>
      </c>
      <c r="I28" s="59">
        <v>4.25</v>
      </c>
      <c r="J28" s="59">
        <v>3.7</v>
      </c>
      <c r="K28" s="59">
        <v>3.3</v>
      </c>
      <c r="L28" s="59">
        <v>2.9</v>
      </c>
      <c r="M28" s="59">
        <v>2.5</v>
      </c>
      <c r="N28" s="59">
        <v>2.15</v>
      </c>
      <c r="O28" s="59">
        <v>1.9</v>
      </c>
      <c r="P28" s="59">
        <v>1.5</v>
      </c>
      <c r="Q28" s="59">
        <v>1.1000000000000001</v>
      </c>
      <c r="R28" s="59">
        <v>0.78</v>
      </c>
      <c r="S28" s="60">
        <v>0.7</v>
      </c>
      <c r="T28" s="13">
        <f t="shared" si="1"/>
        <v>2.7814285714285716</v>
      </c>
      <c r="U28" s="4">
        <f t="shared" ca="1" si="2"/>
        <v>0</v>
      </c>
      <c r="V28" s="4">
        <f t="shared" ca="1" si="3"/>
        <v>122</v>
      </c>
      <c r="W28" s="4">
        <f t="shared" ca="1" si="4"/>
        <v>238</v>
      </c>
      <c r="X28" s="13">
        <f t="shared" ca="1" si="5"/>
        <v>4.6616666666666671</v>
      </c>
      <c r="Y28" s="5">
        <f t="shared" ca="1" si="6"/>
        <v>0.67599726074302358</v>
      </c>
      <c r="Z28" s="15">
        <f t="shared" si="7"/>
        <v>-2.4691358024691357E-2</v>
      </c>
      <c r="AA28" s="15">
        <f t="shared" si="8"/>
        <v>6.578947368421062E-2</v>
      </c>
      <c r="AB28" s="15">
        <f t="shared" si="9"/>
        <v>7.2941176470588065E-2</v>
      </c>
      <c r="AC28" s="15">
        <f t="shared" si="10"/>
        <v>0.14864864864864868</v>
      </c>
      <c r="AD28" s="15">
        <f t="shared" si="11"/>
        <v>0.12121212121212133</v>
      </c>
      <c r="AE28" s="15">
        <f t="shared" si="12"/>
        <v>0.13793103448275867</v>
      </c>
      <c r="AF28" s="15">
        <f t="shared" si="13"/>
        <v>0.15999999999999992</v>
      </c>
      <c r="AG28" s="15">
        <f t="shared" si="14"/>
        <v>0.16279069767441867</v>
      </c>
      <c r="AH28" s="15">
        <f t="shared" si="15"/>
        <v>0.13157894736842102</v>
      </c>
      <c r="AI28" s="15">
        <f t="shared" si="16"/>
        <v>0.26666666666666661</v>
      </c>
      <c r="AJ28" s="15">
        <f t="shared" si="17"/>
        <v>0.36363636363636354</v>
      </c>
      <c r="AK28" s="15">
        <f t="shared" si="18"/>
        <v>0.41025641025641035</v>
      </c>
      <c r="AL28" s="15">
        <f t="shared" si="19"/>
        <v>0.11428571428571432</v>
      </c>
      <c r="AM28" s="5">
        <f t="shared" si="20"/>
        <v>-2.4691358024691357E-2</v>
      </c>
    </row>
    <row r="29" spans="1:39" x14ac:dyDescent="0.25">
      <c r="A29" t="s">
        <v>48</v>
      </c>
      <c r="B29" t="s">
        <v>49</v>
      </c>
      <c r="C29" s="56">
        <v>31</v>
      </c>
      <c r="D29" s="56">
        <v>12</v>
      </c>
      <c r="E29" s="56">
        <v>2015</v>
      </c>
      <c r="F29" s="65">
        <v>3.33</v>
      </c>
      <c r="G29" s="77">
        <v>3.08</v>
      </c>
      <c r="H29" s="77">
        <v>2.91</v>
      </c>
      <c r="I29" s="59">
        <v>2.76</v>
      </c>
      <c r="J29" s="59">
        <v>2.59</v>
      </c>
      <c r="K29" s="59">
        <v>2.4</v>
      </c>
      <c r="L29" s="59">
        <v>2.25</v>
      </c>
      <c r="M29" s="59">
        <v>2.11</v>
      </c>
      <c r="N29" s="59">
        <v>1.93</v>
      </c>
      <c r="O29" s="59">
        <v>1.79</v>
      </c>
      <c r="P29" s="59">
        <v>1.62</v>
      </c>
      <c r="Q29" s="59">
        <v>1.46</v>
      </c>
      <c r="R29" s="59">
        <v>1.27</v>
      </c>
      <c r="S29" s="60">
        <v>1.0900000000000001</v>
      </c>
      <c r="T29" s="13">
        <f t="shared" si="1"/>
        <v>2.1850000000000001</v>
      </c>
      <c r="U29" s="4">
        <f t="shared" ca="1" si="2"/>
        <v>0</v>
      </c>
      <c r="V29" s="4">
        <f t="shared" ca="1" si="3"/>
        <v>122</v>
      </c>
      <c r="W29" s="4">
        <f t="shared" ca="1" si="4"/>
        <v>238</v>
      </c>
      <c r="X29" s="13">
        <f t="shared" ca="1" si="5"/>
        <v>2.9676111111111112</v>
      </c>
      <c r="Y29" s="5">
        <f t="shared" ca="1" si="6"/>
        <v>0.35817442156114931</v>
      </c>
      <c r="Z29" s="15">
        <f t="shared" si="7"/>
        <v>8.1168831168831224E-2</v>
      </c>
      <c r="AA29" s="15">
        <f t="shared" si="8"/>
        <v>5.841924398625431E-2</v>
      </c>
      <c r="AB29" s="15">
        <f t="shared" si="9"/>
        <v>5.4347826086956763E-2</v>
      </c>
      <c r="AC29" s="15">
        <f t="shared" si="10"/>
        <v>6.5637065637065506E-2</v>
      </c>
      <c r="AD29" s="15">
        <f t="shared" si="11"/>
        <v>7.9166666666666607E-2</v>
      </c>
      <c r="AE29" s="15">
        <f t="shared" si="12"/>
        <v>6.6666666666666652E-2</v>
      </c>
      <c r="AF29" s="15">
        <f t="shared" si="13"/>
        <v>6.6350710900473953E-2</v>
      </c>
      <c r="AG29" s="15">
        <f t="shared" si="14"/>
        <v>9.32642487046631E-2</v>
      </c>
      <c r="AH29" s="15">
        <f t="shared" si="15"/>
        <v>7.8212290502793325E-2</v>
      </c>
      <c r="AI29" s="15">
        <f t="shared" si="16"/>
        <v>0.10493827160493829</v>
      </c>
      <c r="AJ29" s="15">
        <f t="shared" si="17"/>
        <v>0.1095890410958904</v>
      </c>
      <c r="AK29" s="15">
        <f t="shared" si="18"/>
        <v>0.14960629921259838</v>
      </c>
      <c r="AL29" s="15">
        <f t="shared" si="19"/>
        <v>0.16513761467889898</v>
      </c>
      <c r="AM29" s="5">
        <f t="shared" si="20"/>
        <v>5.4347826086956763E-2</v>
      </c>
    </row>
    <row r="30" spans="1:39" x14ac:dyDescent="0.25">
      <c r="A30" t="s">
        <v>50</v>
      </c>
      <c r="B30" t="s">
        <v>51</v>
      </c>
      <c r="C30" s="56">
        <v>31</v>
      </c>
      <c r="D30" s="56">
        <v>12</v>
      </c>
      <c r="E30" s="56">
        <v>2015</v>
      </c>
      <c r="F30" s="65">
        <v>2.4900000000000002</v>
      </c>
      <c r="G30" s="77">
        <v>2.36</v>
      </c>
      <c r="H30" s="77">
        <v>2.23</v>
      </c>
      <c r="I30" s="59">
        <v>2.15</v>
      </c>
      <c r="J30" s="59">
        <v>2.0499999999999998</v>
      </c>
      <c r="K30" s="61">
        <v>1.1426592797783934</v>
      </c>
      <c r="L30" s="61">
        <v>0.8765743073047858</v>
      </c>
      <c r="M30" s="61">
        <v>1.0368715083798883</v>
      </c>
      <c r="N30" s="61">
        <v>0.985079365079365</v>
      </c>
      <c r="O30" s="61">
        <v>1.07919028340081</v>
      </c>
      <c r="P30" s="59"/>
      <c r="Q30" s="59"/>
      <c r="R30" s="59"/>
      <c r="S30" s="60"/>
      <c r="T30" s="13">
        <f t="shared" si="1"/>
        <v>1.6400374743943242</v>
      </c>
      <c r="U30" s="4">
        <f t="shared" ca="1" si="2"/>
        <v>0</v>
      </c>
      <c r="V30" s="4">
        <f t="shared" ca="1" si="3"/>
        <v>122</v>
      </c>
      <c r="W30" s="4">
        <f t="shared" ca="1" si="4"/>
        <v>238</v>
      </c>
      <c r="X30" s="13">
        <f t="shared" ca="1" si="5"/>
        <v>2.2740555555555555</v>
      </c>
      <c r="Y30" s="5">
        <f t="shared" ca="1" si="6"/>
        <v>0.3865875573333335</v>
      </c>
      <c r="Z30" s="15">
        <f t="shared" si="7"/>
        <v>5.508474576271194E-2</v>
      </c>
      <c r="AA30" s="15">
        <f t="shared" si="8"/>
        <v>5.8295964125560484E-2</v>
      </c>
      <c r="AB30" s="15">
        <f t="shared" si="9"/>
        <v>3.7209302325581506E-2</v>
      </c>
      <c r="AC30" s="15">
        <f t="shared" si="10"/>
        <v>4.8780487804878092E-2</v>
      </c>
      <c r="AD30" s="15">
        <f t="shared" si="11"/>
        <v>0.79406060606060569</v>
      </c>
      <c r="AE30" s="15">
        <f t="shared" si="12"/>
        <v>0.30355095997707537</v>
      </c>
      <c r="AF30" s="15">
        <f t="shared" si="13"/>
        <v>-0.15459697732997491</v>
      </c>
      <c r="AG30" s="15">
        <f t="shared" si="14"/>
        <v>5.2576619850676298E-2</v>
      </c>
      <c r="AH30" s="15">
        <f t="shared" si="15"/>
        <v>-8.7205120143295733E-2</v>
      </c>
      <c r="AI30" s="15" t="str">
        <f t="shared" si="16"/>
        <v/>
      </c>
      <c r="AJ30" s="15" t="str">
        <f t="shared" si="17"/>
        <v/>
      </c>
      <c r="AK30" s="15" t="str">
        <f t="shared" si="18"/>
        <v/>
      </c>
      <c r="AL30" s="15" t="str">
        <f t="shared" si="19"/>
        <v/>
      </c>
      <c r="AM30" s="5">
        <f t="shared" si="20"/>
        <v>-0.15459697732997491</v>
      </c>
    </row>
    <row r="31" spans="1:39" x14ac:dyDescent="0.25">
      <c r="A31" t="s">
        <v>52</v>
      </c>
      <c r="B31" t="s">
        <v>53</v>
      </c>
      <c r="C31" s="56">
        <v>31</v>
      </c>
      <c r="D31" s="56">
        <v>12</v>
      </c>
      <c r="E31" s="56">
        <v>2015</v>
      </c>
      <c r="F31" s="65">
        <v>3.95</v>
      </c>
      <c r="G31" s="77">
        <v>3.69</v>
      </c>
      <c r="H31" s="77">
        <v>3.46</v>
      </c>
      <c r="I31" s="59">
        <v>3.28</v>
      </c>
      <c r="J31" s="59">
        <v>3.12</v>
      </c>
      <c r="K31" s="59">
        <v>2.87</v>
      </c>
      <c r="L31" s="59">
        <v>2.5299999999999998</v>
      </c>
      <c r="M31" s="59">
        <v>2.2599999999999998</v>
      </c>
      <c r="N31" s="59">
        <v>2.0499999999999998</v>
      </c>
      <c r="O31" s="59">
        <v>1.63</v>
      </c>
      <c r="P31" s="59">
        <v>1.5</v>
      </c>
      <c r="Q31" s="59">
        <v>1</v>
      </c>
      <c r="R31" s="59">
        <v>0.67</v>
      </c>
      <c r="S31" s="60">
        <v>0.55000000000000004</v>
      </c>
      <c r="T31" s="13">
        <f t="shared" si="1"/>
        <v>2.3257142857142861</v>
      </c>
      <c r="U31" s="4">
        <f t="shared" ca="1" si="2"/>
        <v>0</v>
      </c>
      <c r="V31" s="4">
        <f t="shared" ca="1" si="3"/>
        <v>122</v>
      </c>
      <c r="W31" s="4">
        <f t="shared" ca="1" si="4"/>
        <v>238</v>
      </c>
      <c r="X31" s="13">
        <f t="shared" ca="1" si="5"/>
        <v>3.5379444444444443</v>
      </c>
      <c r="Y31" s="5">
        <f t="shared" ca="1" si="6"/>
        <v>0.52122918372918337</v>
      </c>
      <c r="Z31" s="15">
        <f t="shared" si="7"/>
        <v>7.0460704607046232E-2</v>
      </c>
      <c r="AA31" s="15">
        <f t="shared" si="8"/>
        <v>6.6473988439306408E-2</v>
      </c>
      <c r="AB31" s="15">
        <f t="shared" si="9"/>
        <v>5.4878048780487854E-2</v>
      </c>
      <c r="AC31" s="15">
        <f t="shared" si="10"/>
        <v>5.12820512820511E-2</v>
      </c>
      <c r="AD31" s="15">
        <f t="shared" si="11"/>
        <v>8.710801393728218E-2</v>
      </c>
      <c r="AE31" s="15">
        <f t="shared" si="12"/>
        <v>0.13438735177865624</v>
      </c>
      <c r="AF31" s="15">
        <f t="shared" si="13"/>
        <v>0.11946902654867264</v>
      </c>
      <c r="AG31" s="15">
        <f t="shared" si="14"/>
        <v>0.10243902439024399</v>
      </c>
      <c r="AH31" s="15">
        <f t="shared" si="15"/>
        <v>0.25766871165644178</v>
      </c>
      <c r="AI31" s="15">
        <f t="shared" si="16"/>
        <v>8.666666666666667E-2</v>
      </c>
      <c r="AJ31" s="15">
        <f t="shared" si="17"/>
        <v>0.5</v>
      </c>
      <c r="AK31" s="15">
        <f t="shared" si="18"/>
        <v>0.49253731343283569</v>
      </c>
      <c r="AL31" s="15">
        <f t="shared" si="19"/>
        <v>0.21818181818181825</v>
      </c>
      <c r="AM31" s="5">
        <f t="shared" si="20"/>
        <v>5.12820512820511E-2</v>
      </c>
    </row>
    <row r="32" spans="1:39" x14ac:dyDescent="0.25">
      <c r="A32" t="s">
        <v>54</v>
      </c>
      <c r="B32" t="s">
        <v>55</v>
      </c>
      <c r="C32" s="56">
        <v>31</v>
      </c>
      <c r="D32" s="56">
        <v>12</v>
      </c>
      <c r="E32" s="56">
        <v>2015</v>
      </c>
      <c r="F32" s="65">
        <v>1.88</v>
      </c>
      <c r="G32" s="77">
        <v>1.84</v>
      </c>
      <c r="H32" s="77">
        <v>1.79</v>
      </c>
      <c r="I32" s="59">
        <v>1.77</v>
      </c>
      <c r="J32" s="59">
        <v>1.73</v>
      </c>
      <c r="K32" s="59">
        <v>1.68</v>
      </c>
      <c r="L32" s="59">
        <v>1.52</v>
      </c>
      <c r="M32" s="59">
        <v>1.52</v>
      </c>
      <c r="N32" s="59">
        <v>1.52</v>
      </c>
      <c r="O32" s="59">
        <v>1.52</v>
      </c>
      <c r="P32" s="59">
        <v>1.52</v>
      </c>
      <c r="Q32" s="59">
        <v>1.52</v>
      </c>
      <c r="R32" s="59">
        <v>1.52</v>
      </c>
      <c r="S32" s="60">
        <v>1.49</v>
      </c>
      <c r="T32" s="13">
        <f t="shared" si="1"/>
        <v>1.6299999999999997</v>
      </c>
      <c r="U32" s="4">
        <f t="shared" ca="1" si="2"/>
        <v>0</v>
      </c>
      <c r="V32" s="4">
        <f t="shared" ca="1" si="3"/>
        <v>122</v>
      </c>
      <c r="W32" s="4">
        <f t="shared" ca="1" si="4"/>
        <v>238</v>
      </c>
      <c r="X32" s="13">
        <f t="shared" ca="1" si="5"/>
        <v>1.8069444444444447</v>
      </c>
      <c r="Y32" s="5">
        <f t="shared" ca="1" si="6"/>
        <v>0.10855487389229768</v>
      </c>
      <c r="Z32" s="15">
        <f t="shared" si="7"/>
        <v>2.1739130434782483E-2</v>
      </c>
      <c r="AA32" s="15">
        <f t="shared" si="8"/>
        <v>2.7932960893854775E-2</v>
      </c>
      <c r="AB32" s="15">
        <f t="shared" si="9"/>
        <v>1.1299435028248705E-2</v>
      </c>
      <c r="AC32" s="15">
        <f t="shared" si="10"/>
        <v>2.3121387283236983E-2</v>
      </c>
      <c r="AD32" s="15">
        <f t="shared" si="11"/>
        <v>2.9761904761904878E-2</v>
      </c>
      <c r="AE32" s="15">
        <f t="shared" si="12"/>
        <v>0.10526315789473673</v>
      </c>
      <c r="AF32" s="15">
        <f t="shared" si="13"/>
        <v>0</v>
      </c>
      <c r="AG32" s="15">
        <f t="shared" si="14"/>
        <v>0</v>
      </c>
      <c r="AH32" s="15">
        <f t="shared" si="15"/>
        <v>0</v>
      </c>
      <c r="AI32" s="15">
        <f t="shared" si="16"/>
        <v>0</v>
      </c>
      <c r="AJ32" s="15">
        <f t="shared" si="17"/>
        <v>0</v>
      </c>
      <c r="AK32" s="15">
        <f t="shared" si="18"/>
        <v>0</v>
      </c>
      <c r="AL32" s="15">
        <f t="shared" si="19"/>
        <v>2.0134228187919545E-2</v>
      </c>
      <c r="AM32" s="5">
        <f t="shared" si="20"/>
        <v>0</v>
      </c>
    </row>
    <row r="33" spans="1:39" x14ac:dyDescent="0.25">
      <c r="A33" t="s">
        <v>56</v>
      </c>
      <c r="B33" t="s">
        <v>57</v>
      </c>
      <c r="C33" s="56">
        <v>30</v>
      </c>
      <c r="D33" s="56">
        <v>6</v>
      </c>
      <c r="E33" s="56">
        <v>2015</v>
      </c>
      <c r="F33" s="65">
        <v>1.38</v>
      </c>
      <c r="G33" s="77">
        <v>1.27</v>
      </c>
      <c r="H33" s="77">
        <v>1.19</v>
      </c>
      <c r="I33" s="59">
        <v>1.1200000000000001</v>
      </c>
      <c r="J33" s="59">
        <v>0.92</v>
      </c>
      <c r="K33" s="59">
        <v>0.8</v>
      </c>
      <c r="L33" s="59">
        <v>0.64</v>
      </c>
      <c r="M33" s="59">
        <v>0.52</v>
      </c>
      <c r="N33" s="59">
        <v>0.52</v>
      </c>
      <c r="O33" s="59">
        <v>0.44</v>
      </c>
      <c r="P33" s="59">
        <v>0.4</v>
      </c>
      <c r="Q33" s="59">
        <v>0.35</v>
      </c>
      <c r="R33" s="59">
        <v>0.34</v>
      </c>
      <c r="S33" s="60">
        <v>0.16</v>
      </c>
      <c r="T33" s="13">
        <f t="shared" si="1"/>
        <v>0.71785714285714275</v>
      </c>
      <c r="U33" s="4">
        <f t="shared" ca="1" si="2"/>
        <v>0</v>
      </c>
      <c r="V33" s="4">
        <f t="shared" ca="1" si="3"/>
        <v>303</v>
      </c>
      <c r="W33" s="4">
        <f t="shared" ca="1" si="4"/>
        <v>57</v>
      </c>
      <c r="X33" s="13">
        <f t="shared" ca="1" si="5"/>
        <v>1.2573333333333334</v>
      </c>
      <c r="Y33" s="5">
        <f t="shared" ca="1" si="6"/>
        <v>0.75150912106136025</v>
      </c>
      <c r="Z33" s="15">
        <f t="shared" si="7"/>
        <v>8.6614173228346303E-2</v>
      </c>
      <c r="AA33" s="15">
        <f t="shared" si="8"/>
        <v>6.7226890756302504E-2</v>
      </c>
      <c r="AB33" s="15">
        <f t="shared" si="9"/>
        <v>6.2499999999999778E-2</v>
      </c>
      <c r="AC33" s="15">
        <f t="shared" si="10"/>
        <v>0.21739130434782616</v>
      </c>
      <c r="AD33" s="15">
        <f t="shared" si="11"/>
        <v>0.14999999999999991</v>
      </c>
      <c r="AE33" s="15">
        <f t="shared" si="12"/>
        <v>0.25</v>
      </c>
      <c r="AF33" s="15">
        <f t="shared" si="13"/>
        <v>0.23076923076923084</v>
      </c>
      <c r="AG33" s="15">
        <f t="shared" si="14"/>
        <v>0</v>
      </c>
      <c r="AH33" s="15">
        <f t="shared" si="15"/>
        <v>0.18181818181818188</v>
      </c>
      <c r="AI33" s="15">
        <f t="shared" si="16"/>
        <v>9.9999999999999867E-2</v>
      </c>
      <c r="AJ33" s="15">
        <f t="shared" si="17"/>
        <v>0.14285714285714302</v>
      </c>
      <c r="AK33" s="15">
        <f t="shared" si="18"/>
        <v>2.9411764705882248E-2</v>
      </c>
      <c r="AL33" s="15">
        <f t="shared" si="19"/>
        <v>1.125</v>
      </c>
      <c r="AM33" s="5">
        <f t="shared" si="20"/>
        <v>0</v>
      </c>
    </row>
    <row r="34" spans="1:39" x14ac:dyDescent="0.25">
      <c r="A34" t="s">
        <v>58</v>
      </c>
      <c r="B34" t="s">
        <v>59</v>
      </c>
      <c r="C34" s="56">
        <v>31</v>
      </c>
      <c r="D34" s="56">
        <v>12</v>
      </c>
      <c r="E34" s="56">
        <v>2015</v>
      </c>
      <c r="F34" s="65">
        <v>0.72</v>
      </c>
      <c r="G34" s="77">
        <v>0.66</v>
      </c>
      <c r="H34" s="77">
        <v>0.61</v>
      </c>
      <c r="I34" s="59">
        <v>0.57999999999999996</v>
      </c>
      <c r="J34" s="59">
        <v>0.54</v>
      </c>
      <c r="K34" s="61">
        <v>0.35734072022160668</v>
      </c>
      <c r="L34" s="61">
        <v>0.28342569269521412</v>
      </c>
      <c r="M34" s="61">
        <v>0.12312849162011172</v>
      </c>
      <c r="N34" s="61">
        <v>0.17492063492063489</v>
      </c>
      <c r="O34" s="61">
        <v>4.080971659919029E-2</v>
      </c>
      <c r="P34" s="59"/>
      <c r="Q34" s="59"/>
      <c r="R34" s="59"/>
      <c r="S34" s="60"/>
      <c r="T34" s="13">
        <f t="shared" si="1"/>
        <v>0.4089625256056757</v>
      </c>
      <c r="U34" s="4">
        <f t="shared" ca="1" si="2"/>
        <v>0</v>
      </c>
      <c r="V34" s="4">
        <f t="shared" ca="1" si="3"/>
        <v>122</v>
      </c>
      <c r="W34" s="4">
        <f t="shared" ca="1" si="4"/>
        <v>238</v>
      </c>
      <c r="X34" s="13">
        <f t="shared" ca="1" si="5"/>
        <v>0.62694444444444453</v>
      </c>
      <c r="Y34" s="5">
        <f t="shared" ca="1" si="6"/>
        <v>0.53301196366570869</v>
      </c>
      <c r="Z34" s="15">
        <f t="shared" si="7"/>
        <v>9.0909090909090828E-2</v>
      </c>
      <c r="AA34" s="15">
        <f t="shared" si="8"/>
        <v>8.1967213114754189E-2</v>
      </c>
      <c r="AB34" s="15">
        <f t="shared" si="9"/>
        <v>5.1724137931034475E-2</v>
      </c>
      <c r="AC34" s="15">
        <f t="shared" si="10"/>
        <v>7.4074074074073959E-2</v>
      </c>
      <c r="AD34" s="15">
        <f t="shared" si="11"/>
        <v>0.51116279069767434</v>
      </c>
      <c r="AE34" s="15">
        <f t="shared" si="12"/>
        <v>0.26079155641644025</v>
      </c>
      <c r="AF34" s="15">
        <f t="shared" si="13"/>
        <v>1.3018692827787355</v>
      </c>
      <c r="AG34" s="15">
        <f t="shared" si="14"/>
        <v>-0.2960893854748603</v>
      </c>
      <c r="AH34" s="15">
        <f t="shared" si="15"/>
        <v>3.2862496850592073</v>
      </c>
      <c r="AI34" s="15" t="str">
        <f t="shared" si="16"/>
        <v/>
      </c>
      <c r="AJ34" s="15" t="str">
        <f t="shared" si="17"/>
        <v/>
      </c>
      <c r="AK34" s="15" t="str">
        <f t="shared" si="18"/>
        <v/>
      </c>
      <c r="AL34" s="15" t="str">
        <f t="shared" si="19"/>
        <v/>
      </c>
      <c r="AM34" s="5">
        <f t="shared" si="20"/>
        <v>-0.2960893854748603</v>
      </c>
    </row>
    <row r="35" spans="1:39" x14ac:dyDescent="0.25">
      <c r="A35" t="s">
        <v>60</v>
      </c>
      <c r="B35" t="s">
        <v>61</v>
      </c>
      <c r="C35" s="56">
        <v>31</v>
      </c>
      <c r="D35" s="56">
        <v>8</v>
      </c>
      <c r="E35" s="56">
        <v>2015</v>
      </c>
      <c r="F35" s="65">
        <v>2.06</v>
      </c>
      <c r="G35" s="77">
        <v>2.0699999999999998</v>
      </c>
      <c r="H35" s="77">
        <v>1.92</v>
      </c>
      <c r="I35" s="59">
        <v>1.78</v>
      </c>
      <c r="J35" s="59">
        <v>1.56</v>
      </c>
      <c r="K35" s="59">
        <v>1.28</v>
      </c>
      <c r="L35" s="59">
        <v>1.1399999999999999</v>
      </c>
      <c r="M35" s="59">
        <v>1.08</v>
      </c>
      <c r="N35" s="59">
        <v>1.04</v>
      </c>
      <c r="O35" s="59">
        <v>0.83</v>
      </c>
      <c r="P35" s="59">
        <v>0.55000000000000004</v>
      </c>
      <c r="Q35" s="59">
        <v>0.4</v>
      </c>
      <c r="R35" s="59">
        <v>0.34</v>
      </c>
      <c r="S35" s="60">
        <v>0.34</v>
      </c>
      <c r="T35" s="13">
        <f t="shared" si="1"/>
        <v>1.1707142857142858</v>
      </c>
      <c r="U35" s="4">
        <f t="shared" ca="1" si="2"/>
        <v>0</v>
      </c>
      <c r="V35" s="4">
        <f t="shared" ca="1" si="3"/>
        <v>242</v>
      </c>
      <c r="W35" s="4">
        <f t="shared" ca="1" si="4"/>
        <v>118</v>
      </c>
      <c r="X35" s="13">
        <f t="shared" ca="1" si="5"/>
        <v>2.020833333333333</v>
      </c>
      <c r="Y35" s="5">
        <f t="shared" ca="1" si="6"/>
        <v>0.72615415904006464</v>
      </c>
      <c r="Z35" s="15">
        <f t="shared" si="7"/>
        <v>-4.8309178743960457E-3</v>
      </c>
      <c r="AA35" s="15">
        <f t="shared" si="8"/>
        <v>7.8125E-2</v>
      </c>
      <c r="AB35" s="15">
        <f t="shared" si="9"/>
        <v>7.8651685393258397E-2</v>
      </c>
      <c r="AC35" s="15">
        <f t="shared" si="10"/>
        <v>0.14102564102564097</v>
      </c>
      <c r="AD35" s="15">
        <f t="shared" si="11"/>
        <v>0.21875</v>
      </c>
      <c r="AE35" s="15">
        <f t="shared" si="12"/>
        <v>0.12280701754385981</v>
      </c>
      <c r="AF35" s="15">
        <f t="shared" si="13"/>
        <v>5.5555555555555358E-2</v>
      </c>
      <c r="AG35" s="15">
        <f t="shared" si="14"/>
        <v>3.8461538461538547E-2</v>
      </c>
      <c r="AH35" s="15">
        <f t="shared" si="15"/>
        <v>0.25301204819277112</v>
      </c>
      <c r="AI35" s="15">
        <f t="shared" si="16"/>
        <v>0.50909090909090882</v>
      </c>
      <c r="AJ35" s="15">
        <f t="shared" si="17"/>
        <v>0.375</v>
      </c>
      <c r="AK35" s="15">
        <f t="shared" si="18"/>
        <v>0.17647058823529416</v>
      </c>
      <c r="AL35" s="15">
        <f t="shared" si="19"/>
        <v>0</v>
      </c>
      <c r="AM35" s="5">
        <f t="shared" si="20"/>
        <v>-4.8309178743960457E-3</v>
      </c>
    </row>
    <row r="36" spans="1:39" x14ac:dyDescent="0.25">
      <c r="A36" t="s">
        <v>62</v>
      </c>
      <c r="B36" t="s">
        <v>63</v>
      </c>
      <c r="C36" s="56">
        <v>31</v>
      </c>
      <c r="D36" s="56">
        <v>5</v>
      </c>
      <c r="E36" s="56">
        <v>2015</v>
      </c>
      <c r="F36" s="65">
        <v>0.56000000000000005</v>
      </c>
      <c r="G36" s="77">
        <v>0.55000000000000004</v>
      </c>
      <c r="H36" s="77">
        <v>0.5</v>
      </c>
      <c r="I36" s="59">
        <v>0.48</v>
      </c>
      <c r="J36" s="59">
        <v>0.3</v>
      </c>
      <c r="K36" s="59">
        <v>0.24</v>
      </c>
      <c r="L36" s="59">
        <v>0.21</v>
      </c>
      <c r="M36" s="59">
        <v>0.2</v>
      </c>
      <c r="N36" s="59">
        <v>0.05</v>
      </c>
      <c r="O36" s="59">
        <v>0</v>
      </c>
      <c r="P36" s="59">
        <v>0</v>
      </c>
      <c r="Q36" s="59">
        <v>0</v>
      </c>
      <c r="R36" s="59">
        <v>0</v>
      </c>
      <c r="S36" s="60">
        <v>0</v>
      </c>
      <c r="T36" s="13">
        <f t="shared" ref="T36:T102" si="21">AVERAGE(F36:S36)</f>
        <v>0.2207142857142857</v>
      </c>
      <c r="U36" s="4">
        <f t="shared" ref="U36:U102" ca="1" si="22">IF(DAYS360(TODAY(),DATE(E36+2,D36,C36))&gt;=720,0,360-V36)</f>
        <v>0</v>
      </c>
      <c r="V36" s="4">
        <f t="shared" ref="V36:V102" ca="1" si="23">IF(DAYS360(TODAY(),DATE(E36+1,D36,C36))&lt;=360,DAYS360(TODAY(),DATE(E36+1,D36,C36)),360-W36)</f>
        <v>332</v>
      </c>
      <c r="W36" s="4">
        <f t="shared" ref="W36:W103" ca="1" si="24">IF(DATE(E36,D36,C36)&lt;=TODAY(),0,DAYS360(TODAY(),DATE(E36,D36,C36)))</f>
        <v>28</v>
      </c>
      <c r="X36" s="13">
        <f t="shared" ref="X36:X102" ca="1" si="25">(F36/360*U36)+(G36/360*V36)+(H36/360*W36)</f>
        <v>0.5461111111111111</v>
      </c>
      <c r="Y36" s="5">
        <f t="shared" ref="Y36:Y102" ca="1" si="26">IF(X36&lt;0,IF(X36&lt;0,((X36/T36)-1)*-1,(X36/T36)-1),IF(T36&lt;0,ABS((X36/T36)-1),(X36/T36)-1))</f>
        <v>1.4742898238043871</v>
      </c>
      <c r="Z36" s="15">
        <f t="shared" ref="Z36:Z103" si="27">IF(F36&lt;&gt;"",IF(G36&lt;&gt;"",IF(G36=0,1,(F36/G36)-1),""),"")</f>
        <v>1.8181818181818299E-2</v>
      </c>
      <c r="AA36" s="15">
        <f t="shared" ref="AA36:AA103" si="28">IF(G36&lt;&gt;"",IF(H36&lt;&gt;"",IF(H36=0,1,(G36/H36)-1),""),"")</f>
        <v>0.10000000000000009</v>
      </c>
      <c r="AB36" s="15">
        <f t="shared" ref="AB36:AB103" si="29">IF(H36&lt;&gt;"",IF(I36&lt;&gt;"",IF(I36=0,1,(H36/I36)-1),""),"")</f>
        <v>4.1666666666666741E-2</v>
      </c>
      <c r="AC36" s="15">
        <f t="shared" ref="AC36:AC103" si="30">IF(I36&lt;&gt;"",IF(J36&lt;&gt;"",IF(J36=0,1,(I36/J36)-1),""),"")</f>
        <v>0.60000000000000009</v>
      </c>
      <c r="AD36" s="15">
        <f t="shared" ref="AD36:AD103" si="31">IF(J36&lt;&gt;"",IF(K36&lt;&gt;"",IF(K36=0,1,(J36/K36)-1),""),"")</f>
        <v>0.25</v>
      </c>
      <c r="AE36" s="15">
        <f t="shared" ref="AE36:AE103" si="32">IF(K36&lt;&gt;"",IF(L36&lt;&gt;"",IF(L36=0,1,(K36/L36)-1),""),"")</f>
        <v>0.14285714285714279</v>
      </c>
      <c r="AF36" s="15">
        <f t="shared" ref="AF36:AF103" si="33">IF(L36&lt;&gt;"",IF(M36&lt;&gt;"",IF(M36=0,1,(L36/M36)-1),""),"")</f>
        <v>4.9999999999999822E-2</v>
      </c>
      <c r="AG36" s="15">
        <f t="shared" ref="AG36:AG103" si="34">IF(M36&lt;&gt;"",IF(N36&lt;&gt;"",IF(N36=0,1,(M36/N36)-1),""),"")</f>
        <v>3</v>
      </c>
      <c r="AH36" s="15">
        <f t="shared" ref="AH36:AH103" si="35">IF(N36&lt;&gt;"",IF(O36&lt;&gt;"",IF(O36=0,1,(N36/O36)-1),""),"")</f>
        <v>1</v>
      </c>
      <c r="AI36" s="15">
        <f t="shared" ref="AI36:AI103" si="36">IF(O36&lt;&gt;"",IF(P36&lt;&gt;"",IF(P36=0,1,(O36/P36)-1),""),"")</f>
        <v>1</v>
      </c>
      <c r="AJ36" s="15">
        <f t="shared" ref="AJ36:AJ103" si="37">IF(P36&lt;&gt;"",IF(Q36&lt;&gt;"",IF(Q36=0,1,(P36/Q36)-1),""),"")</f>
        <v>1</v>
      </c>
      <c r="AK36" s="15">
        <f t="shared" ref="AK36:AK103" si="38">IF(Q36&lt;&gt;"",IF(R36&lt;&gt;"",IF(R36=0,1,(Q36/R36)-1),""),"")</f>
        <v>1</v>
      </c>
      <c r="AL36" s="15">
        <f t="shared" ref="AL36:AL103" si="39">IF(R36&lt;&gt;"",IF(S36&lt;&gt;"",IF(S36=0,1,(R36/S36)-1),""),"")</f>
        <v>1</v>
      </c>
      <c r="AM36" s="5">
        <f t="shared" ref="AM36:AM102" si="40">MIN(Z36:AL36)</f>
        <v>1.8181818181818299E-2</v>
      </c>
    </row>
    <row r="37" spans="1:39" x14ac:dyDescent="0.25">
      <c r="A37" t="s">
        <v>64</v>
      </c>
      <c r="B37" t="s">
        <v>65</v>
      </c>
      <c r="C37" s="56">
        <v>31</v>
      </c>
      <c r="D37" s="56">
        <v>12</v>
      </c>
      <c r="E37" s="56">
        <v>2015</v>
      </c>
      <c r="F37" s="65">
        <v>3.24</v>
      </c>
      <c r="G37" s="77">
        <v>2.96</v>
      </c>
      <c r="H37" s="77">
        <v>2.76</v>
      </c>
      <c r="I37" s="59">
        <v>2.5299999999999998</v>
      </c>
      <c r="J37" s="59">
        <v>2.2400000000000002</v>
      </c>
      <c r="K37" s="59">
        <v>2.13</v>
      </c>
      <c r="L37" s="59">
        <v>2.0299999999999998</v>
      </c>
      <c r="M37" s="59">
        <v>1.89</v>
      </c>
      <c r="N37" s="59">
        <v>1.78</v>
      </c>
      <c r="O37" s="59">
        <v>1.65</v>
      </c>
      <c r="P37" s="59">
        <v>1.43</v>
      </c>
      <c r="Q37" s="59">
        <v>1.1599999999999999</v>
      </c>
      <c r="R37" s="59">
        <v>1.01</v>
      </c>
      <c r="S37" s="60">
        <v>0.85</v>
      </c>
      <c r="T37" s="13">
        <f t="shared" si="21"/>
        <v>1.975714285714286</v>
      </c>
      <c r="U37" s="4">
        <f t="shared" ca="1" si="22"/>
        <v>0</v>
      </c>
      <c r="V37" s="4">
        <f t="shared" ca="1" si="23"/>
        <v>122</v>
      </c>
      <c r="W37" s="4">
        <f t="shared" ca="1" si="24"/>
        <v>238</v>
      </c>
      <c r="X37" s="13">
        <f t="shared" ca="1" si="25"/>
        <v>2.8277777777777779</v>
      </c>
      <c r="Y37" s="5">
        <f t="shared" ca="1" si="26"/>
        <v>0.4312685787740016</v>
      </c>
      <c r="Z37" s="15">
        <f t="shared" si="27"/>
        <v>9.4594594594594739E-2</v>
      </c>
      <c r="AA37" s="15">
        <f t="shared" si="28"/>
        <v>7.2463768115942129E-2</v>
      </c>
      <c r="AB37" s="15">
        <f t="shared" si="29"/>
        <v>9.0909090909090828E-2</v>
      </c>
      <c r="AC37" s="15">
        <f t="shared" si="30"/>
        <v>0.12946428571428559</v>
      </c>
      <c r="AD37" s="15">
        <f t="shared" si="31"/>
        <v>5.164319248826299E-2</v>
      </c>
      <c r="AE37" s="15">
        <f t="shared" si="32"/>
        <v>4.9261083743842304E-2</v>
      </c>
      <c r="AF37" s="15">
        <f t="shared" si="33"/>
        <v>7.4074074074073959E-2</v>
      </c>
      <c r="AG37" s="15">
        <f t="shared" si="34"/>
        <v>6.1797752808988804E-2</v>
      </c>
      <c r="AH37" s="15">
        <f t="shared" si="35"/>
        <v>7.8787878787878851E-2</v>
      </c>
      <c r="AI37" s="15">
        <f t="shared" si="36"/>
        <v>0.15384615384615374</v>
      </c>
      <c r="AJ37" s="15">
        <f t="shared" si="37"/>
        <v>0.23275862068965525</v>
      </c>
      <c r="AK37" s="15">
        <f t="shared" si="38"/>
        <v>0.14851485148514842</v>
      </c>
      <c r="AL37" s="15">
        <f t="shared" si="39"/>
        <v>0.18823529411764706</v>
      </c>
      <c r="AM37" s="5">
        <f t="shared" si="40"/>
        <v>4.9261083743842304E-2</v>
      </c>
    </row>
    <row r="38" spans="1:39" x14ac:dyDescent="0.25">
      <c r="A38" t="s">
        <v>66</v>
      </c>
      <c r="B38" t="s">
        <v>67</v>
      </c>
      <c r="C38" s="56">
        <v>31</v>
      </c>
      <c r="D38" s="56">
        <v>12</v>
      </c>
      <c r="E38" s="56">
        <v>2015</v>
      </c>
      <c r="F38" s="65">
        <v>1.21</v>
      </c>
      <c r="G38" s="77">
        <v>1.1499999999999999</v>
      </c>
      <c r="H38" s="77">
        <v>1.1100000000000001</v>
      </c>
      <c r="I38" s="59">
        <v>1.04</v>
      </c>
      <c r="J38" s="59">
        <v>0.96</v>
      </c>
      <c r="K38" s="59">
        <v>0.88</v>
      </c>
      <c r="L38" s="59">
        <v>0.8</v>
      </c>
      <c r="M38" s="59">
        <v>0.72</v>
      </c>
      <c r="N38" s="59">
        <v>0.8</v>
      </c>
      <c r="O38" s="59">
        <v>1.28</v>
      </c>
      <c r="P38" s="59">
        <v>1.1599999999999999</v>
      </c>
      <c r="Q38" s="59">
        <v>0.96</v>
      </c>
      <c r="R38" s="59">
        <v>0.76</v>
      </c>
      <c r="S38" s="60">
        <v>0.68</v>
      </c>
      <c r="T38" s="13">
        <f t="shared" si="21"/>
        <v>0.96499999999999997</v>
      </c>
      <c r="U38" s="4">
        <f t="shared" ca="1" si="22"/>
        <v>0</v>
      </c>
      <c r="V38" s="4">
        <f t="shared" ca="1" si="23"/>
        <v>122</v>
      </c>
      <c r="W38" s="4">
        <f t="shared" ca="1" si="24"/>
        <v>238</v>
      </c>
      <c r="X38" s="13">
        <f t="shared" ca="1" si="25"/>
        <v>1.1235555555555556</v>
      </c>
      <c r="Y38" s="5">
        <f t="shared" ca="1" si="26"/>
        <v>0.16430627518710428</v>
      </c>
      <c r="Z38" s="15">
        <f t="shared" si="27"/>
        <v>5.2173913043478404E-2</v>
      </c>
      <c r="AA38" s="15">
        <f t="shared" si="28"/>
        <v>3.603603603603589E-2</v>
      </c>
      <c r="AB38" s="15">
        <f t="shared" si="29"/>
        <v>6.7307692307692291E-2</v>
      </c>
      <c r="AC38" s="15">
        <f t="shared" si="30"/>
        <v>8.3333333333333481E-2</v>
      </c>
      <c r="AD38" s="15">
        <f t="shared" si="31"/>
        <v>9.0909090909090828E-2</v>
      </c>
      <c r="AE38" s="15">
        <f t="shared" si="32"/>
        <v>9.9999999999999867E-2</v>
      </c>
      <c r="AF38" s="15">
        <f t="shared" si="33"/>
        <v>0.11111111111111116</v>
      </c>
      <c r="AG38" s="15">
        <f t="shared" si="34"/>
        <v>-0.10000000000000009</v>
      </c>
      <c r="AH38" s="15">
        <f t="shared" si="35"/>
        <v>-0.375</v>
      </c>
      <c r="AI38" s="15">
        <f t="shared" si="36"/>
        <v>0.10344827586206917</v>
      </c>
      <c r="AJ38" s="15">
        <f t="shared" si="37"/>
        <v>0.20833333333333326</v>
      </c>
      <c r="AK38" s="15">
        <f t="shared" si="38"/>
        <v>0.26315789473684204</v>
      </c>
      <c r="AL38" s="15">
        <f t="shared" si="39"/>
        <v>0.11764705882352944</v>
      </c>
      <c r="AM38" s="5">
        <f t="shared" si="40"/>
        <v>-0.375</v>
      </c>
    </row>
    <row r="39" spans="1:39" x14ac:dyDescent="0.25">
      <c r="A39" t="s">
        <v>68</v>
      </c>
      <c r="B39" t="s">
        <v>69</v>
      </c>
      <c r="C39" s="56">
        <v>31</v>
      </c>
      <c r="D39" s="56">
        <v>12</v>
      </c>
      <c r="E39" s="56">
        <v>2015</v>
      </c>
      <c r="F39" s="65">
        <v>4.38</v>
      </c>
      <c r="G39" s="77">
        <v>4.22</v>
      </c>
      <c r="H39" s="77">
        <v>4.0599999999999996</v>
      </c>
      <c r="I39" s="59">
        <v>3.88</v>
      </c>
      <c r="J39" s="59">
        <v>3.58</v>
      </c>
      <c r="K39" s="59">
        <v>3.24</v>
      </c>
      <c r="L39" s="59">
        <v>2.82</v>
      </c>
      <c r="M39" s="59">
        <v>2.44</v>
      </c>
      <c r="N39" s="59">
        <v>2.2400000000000002</v>
      </c>
      <c r="O39" s="59">
        <v>1.54</v>
      </c>
      <c r="P39" s="59"/>
      <c r="Q39" s="59"/>
      <c r="R39" s="59"/>
      <c r="S39" s="60"/>
      <c r="T39" s="13">
        <f t="shared" si="21"/>
        <v>3.2399999999999998</v>
      </c>
      <c r="U39" s="4">
        <f t="shared" ca="1" si="22"/>
        <v>0</v>
      </c>
      <c r="V39" s="4">
        <f t="shared" ca="1" si="23"/>
        <v>122</v>
      </c>
      <c r="W39" s="4">
        <f t="shared" ca="1" si="24"/>
        <v>238</v>
      </c>
      <c r="X39" s="13">
        <f t="shared" ca="1" si="25"/>
        <v>4.1142222222222218</v>
      </c>
      <c r="Y39" s="5">
        <f t="shared" ca="1" si="26"/>
        <v>0.26982167352537711</v>
      </c>
      <c r="Z39" s="15">
        <f t="shared" si="27"/>
        <v>3.7914691943127909E-2</v>
      </c>
      <c r="AA39" s="15">
        <f t="shared" si="28"/>
        <v>3.9408866995073843E-2</v>
      </c>
      <c r="AB39" s="15">
        <f t="shared" si="29"/>
        <v>4.6391752577319423E-2</v>
      </c>
      <c r="AC39" s="15">
        <f t="shared" si="30"/>
        <v>8.3798882681564102E-2</v>
      </c>
      <c r="AD39" s="15">
        <f t="shared" si="31"/>
        <v>0.10493827160493829</v>
      </c>
      <c r="AE39" s="15">
        <f t="shared" si="32"/>
        <v>0.14893617021276606</v>
      </c>
      <c r="AF39" s="15">
        <f t="shared" si="33"/>
        <v>0.15573770491803285</v>
      </c>
      <c r="AG39" s="15">
        <f t="shared" si="34"/>
        <v>8.9285714285714191E-2</v>
      </c>
      <c r="AH39" s="15">
        <f t="shared" si="35"/>
        <v>0.45454545454545459</v>
      </c>
      <c r="AI39" s="15" t="str">
        <f t="shared" si="36"/>
        <v/>
      </c>
      <c r="AJ39" s="15" t="str">
        <f t="shared" si="37"/>
        <v/>
      </c>
      <c r="AK39" s="15" t="str">
        <f t="shared" si="38"/>
        <v/>
      </c>
      <c r="AL39" s="15" t="str">
        <f t="shared" si="39"/>
        <v/>
      </c>
      <c r="AM39" s="5">
        <f t="shared" si="40"/>
        <v>3.7914691943127909E-2</v>
      </c>
    </row>
    <row r="40" spans="1:39" x14ac:dyDescent="0.25">
      <c r="A40" t="s">
        <v>70</v>
      </c>
      <c r="B40" t="s">
        <v>71</v>
      </c>
      <c r="C40" s="56">
        <v>30</v>
      </c>
      <c r="D40" s="56">
        <v>6</v>
      </c>
      <c r="E40" s="56">
        <v>2015</v>
      </c>
      <c r="F40" s="65">
        <v>2.94</v>
      </c>
      <c r="G40" s="77">
        <v>2.75</v>
      </c>
      <c r="H40" s="77">
        <v>2.58</v>
      </c>
      <c r="I40" s="59">
        <v>2.4500000000000002</v>
      </c>
      <c r="J40" s="59">
        <v>2.29</v>
      </c>
      <c r="K40" s="59">
        <v>2.14</v>
      </c>
      <c r="L40" s="59">
        <v>1.97</v>
      </c>
      <c r="M40" s="59">
        <v>1.8</v>
      </c>
      <c r="N40" s="59">
        <v>1.64</v>
      </c>
      <c r="O40" s="59">
        <v>1.45</v>
      </c>
      <c r="P40" s="59">
        <v>1.28</v>
      </c>
      <c r="Q40" s="59">
        <v>1.1499999999999999</v>
      </c>
      <c r="R40" s="59">
        <v>1.03</v>
      </c>
      <c r="S40" s="60">
        <v>0.93</v>
      </c>
      <c r="T40" s="13">
        <f t="shared" si="21"/>
        <v>1.8857142857142857</v>
      </c>
      <c r="U40" s="4">
        <f t="shared" ca="1" si="22"/>
        <v>0</v>
      </c>
      <c r="V40" s="4">
        <f t="shared" ca="1" si="23"/>
        <v>303</v>
      </c>
      <c r="W40" s="4">
        <f t="shared" ca="1" si="24"/>
        <v>57</v>
      </c>
      <c r="X40" s="13">
        <f t="shared" ca="1" si="25"/>
        <v>2.7230833333333333</v>
      </c>
      <c r="Y40" s="5">
        <f t="shared" ca="1" si="26"/>
        <v>0.44405934343434339</v>
      </c>
      <c r="Z40" s="15">
        <f t="shared" si="27"/>
        <v>6.9090909090909092E-2</v>
      </c>
      <c r="AA40" s="15">
        <f t="shared" si="28"/>
        <v>6.5891472868216949E-2</v>
      </c>
      <c r="AB40" s="15">
        <f t="shared" si="29"/>
        <v>5.3061224489795888E-2</v>
      </c>
      <c r="AC40" s="15">
        <f t="shared" si="30"/>
        <v>6.9868995633187936E-2</v>
      </c>
      <c r="AD40" s="15">
        <f t="shared" si="31"/>
        <v>7.0093457943925186E-2</v>
      </c>
      <c r="AE40" s="15">
        <f t="shared" si="32"/>
        <v>8.629441624365497E-2</v>
      </c>
      <c r="AF40" s="15">
        <f t="shared" si="33"/>
        <v>9.4444444444444331E-2</v>
      </c>
      <c r="AG40" s="15">
        <f t="shared" si="34"/>
        <v>9.7560975609756184E-2</v>
      </c>
      <c r="AH40" s="15">
        <f t="shared" si="35"/>
        <v>0.13103448275862073</v>
      </c>
      <c r="AI40" s="15">
        <f t="shared" si="36"/>
        <v>0.1328125</v>
      </c>
      <c r="AJ40" s="15">
        <f t="shared" si="37"/>
        <v>0.11304347826086958</v>
      </c>
      <c r="AK40" s="15">
        <f t="shared" si="38"/>
        <v>0.11650485436893199</v>
      </c>
      <c r="AL40" s="15">
        <f t="shared" si="39"/>
        <v>0.10752688172043001</v>
      </c>
      <c r="AM40" s="5">
        <f t="shared" si="40"/>
        <v>5.3061224489795888E-2</v>
      </c>
    </row>
    <row r="41" spans="1:39" x14ac:dyDescent="0.25">
      <c r="A41" t="s">
        <v>72</v>
      </c>
      <c r="B41" t="s">
        <v>73</v>
      </c>
      <c r="C41" s="56">
        <v>31</v>
      </c>
      <c r="D41" s="56">
        <v>12</v>
      </c>
      <c r="E41" s="56">
        <v>2015</v>
      </c>
      <c r="F41" s="65">
        <v>2.33</v>
      </c>
      <c r="G41" s="77">
        <v>2.27</v>
      </c>
      <c r="H41" s="77">
        <v>2.2200000000000002</v>
      </c>
      <c r="I41" s="59">
        <v>2.16</v>
      </c>
      <c r="J41" s="59">
        <v>2.09</v>
      </c>
      <c r="K41" s="59">
        <v>2.0299999999999998</v>
      </c>
      <c r="L41" s="59">
        <v>1.98</v>
      </c>
      <c r="M41" s="59">
        <v>1.93</v>
      </c>
      <c r="N41" s="59">
        <v>1.87</v>
      </c>
      <c r="O41" s="59">
        <v>1.78</v>
      </c>
      <c r="P41" s="59">
        <v>1.67</v>
      </c>
      <c r="Q41" s="59">
        <v>1.62</v>
      </c>
      <c r="R41" s="59">
        <v>1.62</v>
      </c>
      <c r="S41" s="60">
        <v>1.54</v>
      </c>
      <c r="T41" s="13">
        <f t="shared" si="21"/>
        <v>1.9364285714285718</v>
      </c>
      <c r="U41" s="4">
        <f t="shared" ca="1" si="22"/>
        <v>0</v>
      </c>
      <c r="V41" s="4">
        <f t="shared" ca="1" si="23"/>
        <v>122</v>
      </c>
      <c r="W41" s="4">
        <f t="shared" ca="1" si="24"/>
        <v>238</v>
      </c>
      <c r="X41" s="13">
        <f t="shared" ca="1" si="25"/>
        <v>2.2369444444444446</v>
      </c>
      <c r="Y41" s="5">
        <f t="shared" ca="1" si="26"/>
        <v>0.15519078650764362</v>
      </c>
      <c r="Z41" s="15">
        <f t="shared" si="27"/>
        <v>2.6431718061673992E-2</v>
      </c>
      <c r="AA41" s="15">
        <f t="shared" si="28"/>
        <v>2.2522522522522515E-2</v>
      </c>
      <c r="AB41" s="15">
        <f t="shared" si="29"/>
        <v>2.7777777777777901E-2</v>
      </c>
      <c r="AC41" s="15">
        <f t="shared" si="30"/>
        <v>3.3492822966507241E-2</v>
      </c>
      <c r="AD41" s="15">
        <f t="shared" si="31"/>
        <v>2.9556650246305383E-2</v>
      </c>
      <c r="AE41" s="15">
        <f t="shared" si="32"/>
        <v>2.5252525252525082E-2</v>
      </c>
      <c r="AF41" s="15">
        <f t="shared" si="33"/>
        <v>2.5906735751295429E-2</v>
      </c>
      <c r="AG41" s="15">
        <f t="shared" si="34"/>
        <v>3.2085561497326109E-2</v>
      </c>
      <c r="AH41" s="15">
        <f t="shared" si="35"/>
        <v>5.0561797752809001E-2</v>
      </c>
      <c r="AI41" s="15">
        <f t="shared" si="36"/>
        <v>6.5868263473053856E-2</v>
      </c>
      <c r="AJ41" s="15">
        <f t="shared" si="37"/>
        <v>3.0864197530864113E-2</v>
      </c>
      <c r="AK41" s="15">
        <f t="shared" si="38"/>
        <v>0</v>
      </c>
      <c r="AL41" s="15">
        <f t="shared" si="39"/>
        <v>5.1948051948051965E-2</v>
      </c>
      <c r="AM41" s="5">
        <f t="shared" si="40"/>
        <v>0</v>
      </c>
    </row>
    <row r="42" spans="1:39" x14ac:dyDescent="0.25">
      <c r="A42" t="s">
        <v>74</v>
      </c>
      <c r="B42" t="s">
        <v>75</v>
      </c>
      <c r="C42" s="56">
        <v>31</v>
      </c>
      <c r="D42" s="56">
        <v>1</v>
      </c>
      <c r="E42" s="56">
        <v>2015</v>
      </c>
      <c r="F42" s="65">
        <v>2.04</v>
      </c>
      <c r="G42" s="77">
        <v>1.97</v>
      </c>
      <c r="H42" s="59">
        <v>1.92</v>
      </c>
      <c r="I42" s="59">
        <v>1.88</v>
      </c>
      <c r="J42" s="59">
        <v>1.59</v>
      </c>
      <c r="K42" s="59">
        <v>1.46</v>
      </c>
      <c r="L42" s="59">
        <v>1.21</v>
      </c>
      <c r="M42" s="59">
        <v>1.0900000000000001</v>
      </c>
      <c r="N42" s="59">
        <v>0.95</v>
      </c>
      <c r="O42" s="59">
        <v>0.88</v>
      </c>
      <c r="P42" s="59">
        <v>0.67</v>
      </c>
      <c r="Q42" s="59">
        <v>0.6</v>
      </c>
      <c r="R42" s="59">
        <v>0.52</v>
      </c>
      <c r="S42" s="60">
        <v>0.36</v>
      </c>
      <c r="T42" s="13">
        <f t="shared" si="21"/>
        <v>1.2242857142857144</v>
      </c>
      <c r="U42" s="4">
        <f t="shared" ca="1" si="22"/>
        <v>92</v>
      </c>
      <c r="V42" s="4">
        <f t="shared" ca="1" si="23"/>
        <v>268</v>
      </c>
      <c r="W42" s="4">
        <f t="shared" ca="1" si="24"/>
        <v>0</v>
      </c>
      <c r="X42" s="13">
        <f t="shared" ca="1" si="25"/>
        <v>1.987888888888889</v>
      </c>
      <c r="Y42" s="5">
        <f t="shared" ca="1" si="26"/>
        <v>0.62371321146116943</v>
      </c>
      <c r="Z42" s="15">
        <f t="shared" si="27"/>
        <v>3.5532994923857864E-2</v>
      </c>
      <c r="AA42" s="15">
        <f t="shared" si="28"/>
        <v>2.6041666666666741E-2</v>
      </c>
      <c r="AB42" s="15">
        <f t="shared" si="29"/>
        <v>2.1276595744680771E-2</v>
      </c>
      <c r="AC42" s="15">
        <f t="shared" si="30"/>
        <v>0.1823899371069182</v>
      </c>
      <c r="AD42" s="15">
        <f t="shared" si="31"/>
        <v>8.9041095890411093E-2</v>
      </c>
      <c r="AE42" s="15">
        <f t="shared" si="32"/>
        <v>0.20661157024793386</v>
      </c>
      <c r="AF42" s="15">
        <f t="shared" si="33"/>
        <v>0.11009174311926584</v>
      </c>
      <c r="AG42" s="15">
        <f t="shared" si="34"/>
        <v>0.14736842105263182</v>
      </c>
      <c r="AH42" s="15">
        <f t="shared" si="35"/>
        <v>7.9545454545454586E-2</v>
      </c>
      <c r="AI42" s="15">
        <f t="shared" si="36"/>
        <v>0.31343283582089554</v>
      </c>
      <c r="AJ42" s="15">
        <f t="shared" si="37"/>
        <v>0.1166666666666667</v>
      </c>
      <c r="AK42" s="15">
        <f t="shared" si="38"/>
        <v>0.15384615384615374</v>
      </c>
      <c r="AL42" s="15">
        <f t="shared" si="39"/>
        <v>0.44444444444444464</v>
      </c>
      <c r="AM42" s="5">
        <f t="shared" si="40"/>
        <v>2.1276595744680771E-2</v>
      </c>
    </row>
    <row r="43" spans="1:39" x14ac:dyDescent="0.25">
      <c r="A43" t="s">
        <v>76</v>
      </c>
      <c r="B43" t="s">
        <v>77</v>
      </c>
      <c r="C43" s="56">
        <v>31</v>
      </c>
      <c r="D43" s="56">
        <v>12</v>
      </c>
      <c r="E43" s="56">
        <v>2015</v>
      </c>
      <c r="F43" s="65">
        <v>4.16</v>
      </c>
      <c r="G43" s="77">
        <v>3.78</v>
      </c>
      <c r="H43" s="77">
        <v>3.49</v>
      </c>
      <c r="I43" s="59">
        <v>3</v>
      </c>
      <c r="J43" s="59">
        <v>2.0499999999999998</v>
      </c>
      <c r="K43" s="59">
        <v>2.23</v>
      </c>
      <c r="L43" s="59">
        <v>1.55</v>
      </c>
      <c r="M43" s="59">
        <v>1.07</v>
      </c>
      <c r="N43" s="59">
        <v>0.55000000000000004</v>
      </c>
      <c r="O43" s="59">
        <v>0.35</v>
      </c>
      <c r="P43" s="59"/>
      <c r="Q43" s="59"/>
      <c r="R43" s="59"/>
      <c r="S43" s="60"/>
      <c r="T43" s="13">
        <f t="shared" si="21"/>
        <v>2.2230000000000003</v>
      </c>
      <c r="U43" s="4">
        <f t="shared" ca="1" si="22"/>
        <v>0</v>
      </c>
      <c r="V43" s="4">
        <f t="shared" ca="1" si="23"/>
        <v>122</v>
      </c>
      <c r="W43" s="4">
        <f t="shared" ca="1" si="24"/>
        <v>238</v>
      </c>
      <c r="X43" s="13">
        <f t="shared" ca="1" si="25"/>
        <v>3.5882777777777779</v>
      </c>
      <c r="Y43" s="5">
        <f t="shared" ca="1" si="26"/>
        <v>0.61416004398460511</v>
      </c>
      <c r="Z43" s="15">
        <f t="shared" si="27"/>
        <v>0.10052910052910069</v>
      </c>
      <c r="AA43" s="15">
        <f t="shared" si="28"/>
        <v>8.3094555873925335E-2</v>
      </c>
      <c r="AB43" s="15">
        <f t="shared" si="29"/>
        <v>0.16333333333333333</v>
      </c>
      <c r="AC43" s="15">
        <f t="shared" si="30"/>
        <v>0.46341463414634165</v>
      </c>
      <c r="AD43" s="15">
        <f t="shared" si="31"/>
        <v>-8.071748878923779E-2</v>
      </c>
      <c r="AE43" s="15">
        <f t="shared" si="32"/>
        <v>0.43870967741935485</v>
      </c>
      <c r="AF43" s="15">
        <f t="shared" si="33"/>
        <v>0.44859813084112155</v>
      </c>
      <c r="AG43" s="15">
        <f t="shared" si="34"/>
        <v>0.94545454545454533</v>
      </c>
      <c r="AH43" s="15">
        <f t="shared" si="35"/>
        <v>0.57142857142857162</v>
      </c>
      <c r="AI43" s="15" t="str">
        <f t="shared" si="36"/>
        <v/>
      </c>
      <c r="AJ43" s="15" t="str">
        <f t="shared" si="37"/>
        <v/>
      </c>
      <c r="AK43" s="15" t="str">
        <f t="shared" si="38"/>
        <v/>
      </c>
      <c r="AL43" s="15" t="str">
        <f t="shared" si="39"/>
        <v/>
      </c>
      <c r="AM43" s="5">
        <f t="shared" si="40"/>
        <v>-8.071748878923779E-2</v>
      </c>
    </row>
    <row r="44" spans="1:39" x14ac:dyDescent="0.25">
      <c r="A44" t="s">
        <v>78</v>
      </c>
      <c r="B44" t="s">
        <v>79</v>
      </c>
      <c r="C44" s="56">
        <v>31</v>
      </c>
      <c r="D44" s="56">
        <v>12</v>
      </c>
      <c r="E44" s="56">
        <v>2015</v>
      </c>
      <c r="F44" s="65">
        <v>997</v>
      </c>
      <c r="G44" s="77">
        <v>898</v>
      </c>
      <c r="H44" s="77">
        <v>800</v>
      </c>
      <c r="I44" s="59">
        <v>725</v>
      </c>
      <c r="J44" s="59">
        <v>650</v>
      </c>
      <c r="K44" s="59">
        <v>575</v>
      </c>
      <c r="L44" s="59">
        <v>500</v>
      </c>
      <c r="M44" s="59">
        <v>450</v>
      </c>
      <c r="N44" s="59">
        <v>400</v>
      </c>
      <c r="O44" s="59">
        <v>360</v>
      </c>
      <c r="P44" s="59">
        <v>330</v>
      </c>
      <c r="Q44" s="59">
        <v>275</v>
      </c>
      <c r="R44" s="59">
        <v>225</v>
      </c>
      <c r="S44" s="60">
        <v>180</v>
      </c>
      <c r="T44" s="13">
        <f t="shared" si="21"/>
        <v>526.07142857142856</v>
      </c>
      <c r="U44" s="4">
        <f t="shared" ca="1" si="22"/>
        <v>0</v>
      </c>
      <c r="V44" s="4">
        <f t="shared" ca="1" si="23"/>
        <v>122</v>
      </c>
      <c r="W44" s="4">
        <f t="shared" ca="1" si="24"/>
        <v>238</v>
      </c>
      <c r="X44" s="13">
        <f t="shared" ca="1" si="25"/>
        <v>833.21111111111122</v>
      </c>
      <c r="Y44" s="5">
        <f t="shared" ca="1" si="26"/>
        <v>0.58383646375499754</v>
      </c>
      <c r="Z44" s="15">
        <f t="shared" si="27"/>
        <v>0.11024498886414258</v>
      </c>
      <c r="AA44" s="15">
        <f t="shared" si="28"/>
        <v>0.12250000000000005</v>
      </c>
      <c r="AB44" s="15">
        <f t="shared" si="29"/>
        <v>0.10344827586206895</v>
      </c>
      <c r="AC44" s="15">
        <f t="shared" si="30"/>
        <v>0.11538461538461542</v>
      </c>
      <c r="AD44" s="15">
        <f t="shared" si="31"/>
        <v>0.13043478260869557</v>
      </c>
      <c r="AE44" s="15">
        <f t="shared" si="32"/>
        <v>0.14999999999999991</v>
      </c>
      <c r="AF44" s="15">
        <f t="shared" si="33"/>
        <v>0.11111111111111116</v>
      </c>
      <c r="AG44" s="15">
        <f t="shared" si="34"/>
        <v>0.125</v>
      </c>
      <c r="AH44" s="15">
        <f t="shared" si="35"/>
        <v>0.11111111111111116</v>
      </c>
      <c r="AI44" s="15">
        <f t="shared" si="36"/>
        <v>9.0909090909090828E-2</v>
      </c>
      <c r="AJ44" s="15">
        <f t="shared" si="37"/>
        <v>0.19999999999999996</v>
      </c>
      <c r="AK44" s="15">
        <f t="shared" si="38"/>
        <v>0.22222222222222232</v>
      </c>
      <c r="AL44" s="15">
        <f t="shared" si="39"/>
        <v>0.25</v>
      </c>
      <c r="AM44" s="5">
        <f t="shared" si="40"/>
        <v>9.0909090909090828E-2</v>
      </c>
    </row>
    <row r="45" spans="1:39" x14ac:dyDescent="0.25">
      <c r="A45" t="s">
        <v>81</v>
      </c>
      <c r="B45" t="s">
        <v>82</v>
      </c>
      <c r="C45" s="56">
        <v>31</v>
      </c>
      <c r="D45" s="56">
        <v>12</v>
      </c>
      <c r="E45" s="56">
        <v>2015</v>
      </c>
      <c r="F45" s="65">
        <v>1.74</v>
      </c>
      <c r="G45" s="77">
        <v>1.59</v>
      </c>
      <c r="H45" s="77">
        <v>1.47</v>
      </c>
      <c r="I45" s="64">
        <v>1.32</v>
      </c>
      <c r="J45" s="59">
        <v>1.22</v>
      </c>
      <c r="K45" s="59">
        <v>0.95</v>
      </c>
      <c r="L45" s="59">
        <v>0.8</v>
      </c>
      <c r="M45" s="59">
        <v>0.72</v>
      </c>
      <c r="N45" s="59">
        <v>0.53</v>
      </c>
      <c r="O45" s="59">
        <v>0.53</v>
      </c>
      <c r="P45" s="59">
        <v>0.53</v>
      </c>
      <c r="Q45" s="59">
        <v>0.5</v>
      </c>
      <c r="R45" s="59">
        <v>0.45</v>
      </c>
      <c r="S45" s="60">
        <v>0.43</v>
      </c>
      <c r="T45" s="13">
        <f t="shared" si="21"/>
        <v>0.9128571428571427</v>
      </c>
      <c r="U45" s="4">
        <f t="shared" ca="1" si="22"/>
        <v>0</v>
      </c>
      <c r="V45" s="4">
        <f t="shared" ca="1" si="23"/>
        <v>122</v>
      </c>
      <c r="W45" s="4">
        <f t="shared" ca="1" si="24"/>
        <v>238</v>
      </c>
      <c r="X45" s="13">
        <f t="shared" ca="1" si="25"/>
        <v>1.5106666666666666</v>
      </c>
      <c r="Y45" s="5">
        <f t="shared" ca="1" si="26"/>
        <v>0.65487741262389165</v>
      </c>
      <c r="Z45" s="15">
        <f t="shared" si="27"/>
        <v>9.4339622641509413E-2</v>
      </c>
      <c r="AA45" s="15">
        <f t="shared" si="28"/>
        <v>8.163265306122458E-2</v>
      </c>
      <c r="AB45" s="15">
        <f t="shared" si="29"/>
        <v>0.11363636363636354</v>
      </c>
      <c r="AC45" s="15">
        <f t="shared" si="30"/>
        <v>8.1967213114754189E-2</v>
      </c>
      <c r="AD45" s="15">
        <f t="shared" si="31"/>
        <v>0.28421052631578947</v>
      </c>
      <c r="AE45" s="15">
        <f t="shared" si="32"/>
        <v>0.18749999999999978</v>
      </c>
      <c r="AF45" s="15">
        <f t="shared" si="33"/>
        <v>0.11111111111111116</v>
      </c>
      <c r="AG45" s="15">
        <f t="shared" si="34"/>
        <v>0.35849056603773577</v>
      </c>
      <c r="AH45" s="15">
        <f t="shared" si="35"/>
        <v>0</v>
      </c>
      <c r="AI45" s="15">
        <f t="shared" si="36"/>
        <v>0</v>
      </c>
      <c r="AJ45" s="15">
        <f t="shared" si="37"/>
        <v>6.0000000000000053E-2</v>
      </c>
      <c r="AK45" s="15">
        <f t="shared" si="38"/>
        <v>0.11111111111111116</v>
      </c>
      <c r="AL45" s="15">
        <f t="shared" si="39"/>
        <v>4.6511627906976827E-2</v>
      </c>
      <c r="AM45" s="5">
        <f t="shared" si="40"/>
        <v>0</v>
      </c>
    </row>
    <row r="46" spans="1:39" x14ac:dyDescent="0.25">
      <c r="A46" s="52" t="s">
        <v>273</v>
      </c>
      <c r="B46" s="52" t="s">
        <v>278</v>
      </c>
      <c r="C46" s="90">
        <v>31</v>
      </c>
      <c r="D46" s="90">
        <v>12</v>
      </c>
      <c r="E46" s="90">
        <v>2015</v>
      </c>
      <c r="F46" s="65">
        <v>4.18</v>
      </c>
      <c r="G46" s="77">
        <v>3.8</v>
      </c>
      <c r="H46" s="77">
        <v>3.45</v>
      </c>
      <c r="I46" s="59">
        <v>3.15</v>
      </c>
      <c r="J46" s="59">
        <v>3</v>
      </c>
      <c r="K46" s="59">
        <v>2.7</v>
      </c>
      <c r="L46" s="59">
        <v>2.5</v>
      </c>
      <c r="M46" s="59">
        <v>2.2000000000000002</v>
      </c>
      <c r="N46" s="59">
        <v>1.8</v>
      </c>
      <c r="O46" s="59">
        <v>1.8</v>
      </c>
      <c r="P46" s="59">
        <v>1.7</v>
      </c>
      <c r="Q46" s="59">
        <v>1.5</v>
      </c>
      <c r="R46" s="59">
        <v>1.4</v>
      </c>
      <c r="S46" s="60">
        <v>1.25</v>
      </c>
      <c r="T46" s="13">
        <f t="shared" si="21"/>
        <v>2.4592857142857141</v>
      </c>
      <c r="U46" s="4">
        <f t="shared" ca="1" si="22"/>
        <v>0</v>
      </c>
      <c r="V46" s="4">
        <f t="shared" ca="1" si="23"/>
        <v>122</v>
      </c>
      <c r="W46" s="4">
        <f t="shared" ca="1" si="24"/>
        <v>238</v>
      </c>
      <c r="X46" s="13">
        <f t="shared" ca="1" si="25"/>
        <v>3.5686111111111116</v>
      </c>
      <c r="Y46" s="5">
        <f t="shared" ca="1" si="26"/>
        <v>0.45107625778552318</v>
      </c>
      <c r="Z46" s="15">
        <f t="shared" si="27"/>
        <v>9.9999999999999867E-2</v>
      </c>
      <c r="AA46" s="15">
        <f t="shared" si="28"/>
        <v>0.10144927536231862</v>
      </c>
      <c r="AB46" s="15">
        <f t="shared" si="29"/>
        <v>9.5238095238095344E-2</v>
      </c>
      <c r="AC46" s="15">
        <f t="shared" si="30"/>
        <v>5.0000000000000044E-2</v>
      </c>
      <c r="AD46" s="15">
        <f t="shared" si="31"/>
        <v>0.11111111111111094</v>
      </c>
      <c r="AE46" s="15">
        <f t="shared" si="32"/>
        <v>8.0000000000000071E-2</v>
      </c>
      <c r="AF46" s="15">
        <f t="shared" si="33"/>
        <v>0.13636363636363624</v>
      </c>
      <c r="AG46" s="15">
        <f t="shared" si="34"/>
        <v>0.22222222222222232</v>
      </c>
      <c r="AH46" s="15">
        <f t="shared" si="35"/>
        <v>0</v>
      </c>
      <c r="AI46" s="15">
        <f t="shared" si="36"/>
        <v>5.8823529411764719E-2</v>
      </c>
      <c r="AJ46" s="15">
        <f t="shared" si="37"/>
        <v>0.1333333333333333</v>
      </c>
      <c r="AK46" s="15">
        <f t="shared" si="38"/>
        <v>7.1428571428571397E-2</v>
      </c>
      <c r="AL46" s="15">
        <f t="shared" si="39"/>
        <v>0.11999999999999988</v>
      </c>
      <c r="AM46" s="5">
        <f t="shared" si="40"/>
        <v>0</v>
      </c>
    </row>
    <row r="47" spans="1:39" x14ac:dyDescent="0.25">
      <c r="A47" s="52" t="s">
        <v>275</v>
      </c>
      <c r="B47" s="52" t="s">
        <v>280</v>
      </c>
      <c r="C47" s="90">
        <v>31</v>
      </c>
      <c r="D47" s="90">
        <v>12</v>
      </c>
      <c r="E47" s="90">
        <v>2015</v>
      </c>
      <c r="F47" s="65">
        <v>7.9</v>
      </c>
      <c r="G47" s="77">
        <v>6.97</v>
      </c>
      <c r="H47" s="77">
        <v>5.74</v>
      </c>
      <c r="I47" s="59">
        <v>5</v>
      </c>
      <c r="J47" s="59">
        <v>4.5</v>
      </c>
      <c r="K47" s="59">
        <v>3.6</v>
      </c>
      <c r="L47" s="59">
        <v>2.8</v>
      </c>
      <c r="M47" s="59">
        <v>2</v>
      </c>
      <c r="N47" s="59">
        <v>1.5</v>
      </c>
      <c r="O47" s="59">
        <v>1.2</v>
      </c>
      <c r="P47" s="59">
        <v>0.9</v>
      </c>
      <c r="Q47" s="59">
        <v>0.7</v>
      </c>
      <c r="R47" s="59">
        <v>0.6</v>
      </c>
      <c r="S47" s="60">
        <v>0.48</v>
      </c>
      <c r="T47" s="13">
        <f t="shared" si="21"/>
        <v>3.1350000000000002</v>
      </c>
      <c r="U47" s="4">
        <f t="shared" ca="1" si="22"/>
        <v>0</v>
      </c>
      <c r="V47" s="4">
        <f t="shared" ca="1" si="23"/>
        <v>122</v>
      </c>
      <c r="W47" s="4">
        <f t="shared" ca="1" si="24"/>
        <v>238</v>
      </c>
      <c r="X47" s="13">
        <f t="shared" ca="1" si="25"/>
        <v>6.1568333333333332</v>
      </c>
      <c r="Y47" s="5">
        <f t="shared" ca="1" si="26"/>
        <v>0.96390217969165315</v>
      </c>
      <c r="Z47" s="15">
        <f t="shared" si="27"/>
        <v>0.13342898134863712</v>
      </c>
      <c r="AA47" s="15">
        <f t="shared" si="28"/>
        <v>0.21428571428571419</v>
      </c>
      <c r="AB47" s="15">
        <f t="shared" si="29"/>
        <v>0.14800000000000013</v>
      </c>
      <c r="AC47" s="15">
        <f t="shared" si="30"/>
        <v>0.11111111111111116</v>
      </c>
      <c r="AD47" s="15">
        <f t="shared" si="31"/>
        <v>0.25</v>
      </c>
      <c r="AE47" s="15">
        <f t="shared" si="32"/>
        <v>0.28571428571428581</v>
      </c>
      <c r="AF47" s="15">
        <f t="shared" si="33"/>
        <v>0.39999999999999991</v>
      </c>
      <c r="AG47" s="15">
        <f t="shared" si="34"/>
        <v>0.33333333333333326</v>
      </c>
      <c r="AH47" s="15">
        <f t="shared" si="35"/>
        <v>0.25</v>
      </c>
      <c r="AI47" s="15">
        <f t="shared" si="36"/>
        <v>0.33333333333333326</v>
      </c>
      <c r="AJ47" s="15">
        <f t="shared" si="37"/>
        <v>0.28571428571428581</v>
      </c>
      <c r="AK47" s="15">
        <f t="shared" si="38"/>
        <v>0.16666666666666674</v>
      </c>
      <c r="AL47" s="15">
        <f t="shared" si="39"/>
        <v>0.25</v>
      </c>
      <c r="AM47" s="5">
        <f t="shared" si="40"/>
        <v>0.11111111111111116</v>
      </c>
    </row>
    <row r="48" spans="1:39" x14ac:dyDescent="0.25">
      <c r="A48" t="s">
        <v>83</v>
      </c>
      <c r="B48" t="s">
        <v>84</v>
      </c>
      <c r="C48" s="56">
        <v>31</v>
      </c>
      <c r="D48" s="56">
        <v>12</v>
      </c>
      <c r="E48" s="56">
        <v>2015</v>
      </c>
      <c r="F48" s="65">
        <v>3.68</v>
      </c>
      <c r="G48" s="77">
        <v>3.38</v>
      </c>
      <c r="H48" s="77">
        <v>3.1</v>
      </c>
      <c r="I48" s="59">
        <v>2.7</v>
      </c>
      <c r="J48" s="59">
        <v>2.5</v>
      </c>
      <c r="K48" s="59">
        <v>2.2999999999999998</v>
      </c>
      <c r="L48" s="59">
        <v>2</v>
      </c>
      <c r="M48" s="59">
        <v>1.8</v>
      </c>
      <c r="N48" s="59">
        <v>1.5</v>
      </c>
      <c r="O48" s="59">
        <v>1.44</v>
      </c>
      <c r="P48" s="59">
        <v>1.38</v>
      </c>
      <c r="Q48" s="59">
        <v>1.18</v>
      </c>
      <c r="R48" s="59">
        <v>1</v>
      </c>
      <c r="S48" s="60">
        <v>0.82</v>
      </c>
      <c r="T48" s="13">
        <f t="shared" si="21"/>
        <v>2.0557142857142856</v>
      </c>
      <c r="U48" s="4">
        <f t="shared" ca="1" si="22"/>
        <v>0</v>
      </c>
      <c r="V48" s="4">
        <f t="shared" ca="1" si="23"/>
        <v>122</v>
      </c>
      <c r="W48" s="4">
        <f t="shared" ca="1" si="24"/>
        <v>238</v>
      </c>
      <c r="X48" s="13">
        <f t="shared" ca="1" si="25"/>
        <v>3.1948888888888893</v>
      </c>
      <c r="Y48" s="5">
        <f t="shared" ca="1" si="26"/>
        <v>0.55415025866728462</v>
      </c>
      <c r="Z48" s="15">
        <f t="shared" si="27"/>
        <v>8.8757396449704151E-2</v>
      </c>
      <c r="AA48" s="15">
        <f t="shared" si="28"/>
        <v>9.0322580645161299E-2</v>
      </c>
      <c r="AB48" s="15">
        <f t="shared" si="29"/>
        <v>0.14814814814814814</v>
      </c>
      <c r="AC48" s="15">
        <f t="shared" si="30"/>
        <v>8.0000000000000071E-2</v>
      </c>
      <c r="AD48" s="15">
        <f t="shared" si="31"/>
        <v>8.6956521739130599E-2</v>
      </c>
      <c r="AE48" s="15">
        <f t="shared" si="32"/>
        <v>0.14999999999999991</v>
      </c>
      <c r="AF48" s="15">
        <f t="shared" si="33"/>
        <v>0.11111111111111116</v>
      </c>
      <c r="AG48" s="15">
        <f t="shared" si="34"/>
        <v>0.19999999999999996</v>
      </c>
      <c r="AH48" s="15">
        <f t="shared" si="35"/>
        <v>4.1666666666666741E-2</v>
      </c>
      <c r="AI48" s="15">
        <f t="shared" si="36"/>
        <v>4.3478260869565188E-2</v>
      </c>
      <c r="AJ48" s="15">
        <f t="shared" si="37"/>
        <v>0.16949152542372881</v>
      </c>
      <c r="AK48" s="15">
        <f t="shared" si="38"/>
        <v>0.17999999999999994</v>
      </c>
      <c r="AL48" s="15">
        <f t="shared" si="39"/>
        <v>0.21951219512195119</v>
      </c>
      <c r="AM48" s="5">
        <f t="shared" si="40"/>
        <v>4.1666666666666741E-2</v>
      </c>
    </row>
    <row r="49" spans="1:39" x14ac:dyDescent="0.25">
      <c r="A49" t="s">
        <v>85</v>
      </c>
      <c r="B49" t="s">
        <v>86</v>
      </c>
      <c r="C49" s="56">
        <v>31</v>
      </c>
      <c r="D49" s="56">
        <v>12</v>
      </c>
      <c r="E49" s="56">
        <v>2015</v>
      </c>
      <c r="F49" s="65">
        <v>3.32</v>
      </c>
      <c r="G49" s="77">
        <v>3.16</v>
      </c>
      <c r="H49" s="77">
        <v>3.03</v>
      </c>
      <c r="I49" s="59">
        <v>2.8</v>
      </c>
      <c r="J49" s="59">
        <v>2.77</v>
      </c>
      <c r="K49" s="59">
        <v>2.65</v>
      </c>
      <c r="L49" s="59">
        <v>2.5</v>
      </c>
      <c r="M49" s="59">
        <v>2.4</v>
      </c>
      <c r="N49" s="59">
        <v>2.2000000000000002</v>
      </c>
      <c r="O49" s="59">
        <v>2.0699999999999998</v>
      </c>
      <c r="P49" s="59">
        <v>1.75</v>
      </c>
      <c r="Q49" s="59">
        <v>1.52</v>
      </c>
      <c r="R49" s="59">
        <v>1.2</v>
      </c>
      <c r="S49" s="60">
        <v>1.02</v>
      </c>
      <c r="T49" s="13">
        <f t="shared" si="21"/>
        <v>2.3135714285714282</v>
      </c>
      <c r="U49" s="4">
        <f t="shared" ca="1" si="22"/>
        <v>0</v>
      </c>
      <c r="V49" s="4">
        <f t="shared" ca="1" si="23"/>
        <v>122</v>
      </c>
      <c r="W49" s="4">
        <f t="shared" ca="1" si="24"/>
        <v>238</v>
      </c>
      <c r="X49" s="13">
        <f t="shared" ca="1" si="25"/>
        <v>3.0740555555555558</v>
      </c>
      <c r="Y49" s="5">
        <f t="shared" ca="1" si="26"/>
        <v>0.32870570477856709</v>
      </c>
      <c r="Z49" s="15">
        <f t="shared" si="27"/>
        <v>5.0632911392404889E-2</v>
      </c>
      <c r="AA49" s="15">
        <f t="shared" si="28"/>
        <v>4.290429042904309E-2</v>
      </c>
      <c r="AB49" s="15">
        <f t="shared" si="29"/>
        <v>8.2142857142857073E-2</v>
      </c>
      <c r="AC49" s="15">
        <f t="shared" si="30"/>
        <v>1.0830324909747224E-2</v>
      </c>
      <c r="AD49" s="15">
        <f t="shared" si="31"/>
        <v>4.5283018867924518E-2</v>
      </c>
      <c r="AE49" s="15">
        <f t="shared" si="32"/>
        <v>6.0000000000000053E-2</v>
      </c>
      <c r="AF49" s="15">
        <f t="shared" si="33"/>
        <v>4.1666666666666741E-2</v>
      </c>
      <c r="AG49" s="15">
        <f t="shared" si="34"/>
        <v>9.0909090909090828E-2</v>
      </c>
      <c r="AH49" s="15">
        <f t="shared" si="35"/>
        <v>6.2801932367150037E-2</v>
      </c>
      <c r="AI49" s="15">
        <f t="shared" si="36"/>
        <v>0.18285714285714283</v>
      </c>
      <c r="AJ49" s="15">
        <f t="shared" si="37"/>
        <v>0.15131578947368429</v>
      </c>
      <c r="AK49" s="15">
        <f t="shared" si="38"/>
        <v>0.26666666666666683</v>
      </c>
      <c r="AL49" s="15">
        <f t="shared" si="39"/>
        <v>0.17647058823529416</v>
      </c>
      <c r="AM49" s="5">
        <f t="shared" si="40"/>
        <v>1.0830324909747224E-2</v>
      </c>
    </row>
    <row r="50" spans="1:39" x14ac:dyDescent="0.25">
      <c r="A50" t="s">
        <v>87</v>
      </c>
      <c r="B50" t="s">
        <v>88</v>
      </c>
      <c r="C50" s="56">
        <v>30</v>
      </c>
      <c r="D50" s="56">
        <v>6</v>
      </c>
      <c r="E50" s="56">
        <v>2015</v>
      </c>
      <c r="F50" s="65">
        <v>0.61299999999999999</v>
      </c>
      <c r="G50" s="77">
        <v>0.57700000000000007</v>
      </c>
      <c r="H50" s="77">
        <v>0.53800000000000003</v>
      </c>
      <c r="I50" s="59">
        <v>0.52</v>
      </c>
      <c r="J50" s="59">
        <v>0.47</v>
      </c>
      <c r="K50" s="59">
        <v>0.44</v>
      </c>
      <c r="L50" s="59">
        <v>0.4</v>
      </c>
      <c r="M50" s="59">
        <v>0.38</v>
      </c>
      <c r="N50" s="59">
        <v>0.36</v>
      </c>
      <c r="O50" s="59">
        <v>0.34</v>
      </c>
      <c r="P50" s="59">
        <v>0.33</v>
      </c>
      <c r="Q50" s="59">
        <v>0.31</v>
      </c>
      <c r="R50" s="59">
        <v>0.3</v>
      </c>
      <c r="S50" s="60">
        <v>0.28000000000000003</v>
      </c>
      <c r="T50" s="13">
        <f t="shared" si="21"/>
        <v>0.41842857142857143</v>
      </c>
      <c r="U50" s="4">
        <f t="shared" ca="1" si="22"/>
        <v>0</v>
      </c>
      <c r="V50" s="4">
        <f t="shared" ca="1" si="23"/>
        <v>303</v>
      </c>
      <c r="W50" s="4">
        <f t="shared" ca="1" si="24"/>
        <v>57</v>
      </c>
      <c r="X50" s="13">
        <f t="shared" ca="1" si="25"/>
        <v>0.57082500000000014</v>
      </c>
      <c r="Y50" s="5">
        <f t="shared" ca="1" si="26"/>
        <v>0.36421133492659652</v>
      </c>
      <c r="Z50" s="15">
        <f t="shared" si="27"/>
        <v>6.239168110918536E-2</v>
      </c>
      <c r="AA50" s="15">
        <f t="shared" si="28"/>
        <v>7.2490706319702669E-2</v>
      </c>
      <c r="AB50" s="15">
        <f t="shared" si="29"/>
        <v>3.4615384615384714E-2</v>
      </c>
      <c r="AC50" s="15">
        <f t="shared" si="30"/>
        <v>0.1063829787234043</v>
      </c>
      <c r="AD50" s="15">
        <f t="shared" si="31"/>
        <v>6.8181818181818121E-2</v>
      </c>
      <c r="AE50" s="15">
        <f t="shared" si="32"/>
        <v>9.9999999999999867E-2</v>
      </c>
      <c r="AF50" s="15">
        <f t="shared" si="33"/>
        <v>5.2631578947368363E-2</v>
      </c>
      <c r="AG50" s="15">
        <f t="shared" si="34"/>
        <v>5.555555555555558E-2</v>
      </c>
      <c r="AH50" s="15">
        <f t="shared" si="35"/>
        <v>5.8823529411764497E-2</v>
      </c>
      <c r="AI50" s="15">
        <f t="shared" si="36"/>
        <v>3.0303030303030276E-2</v>
      </c>
      <c r="AJ50" s="15">
        <f t="shared" si="37"/>
        <v>6.4516129032258229E-2</v>
      </c>
      <c r="AK50" s="15">
        <f t="shared" si="38"/>
        <v>3.3333333333333437E-2</v>
      </c>
      <c r="AL50" s="15">
        <f t="shared" si="39"/>
        <v>7.1428571428571397E-2</v>
      </c>
      <c r="AM50" s="5">
        <f t="shared" si="40"/>
        <v>3.0303030303030276E-2</v>
      </c>
    </row>
    <row r="51" spans="1:39" x14ac:dyDescent="0.25">
      <c r="A51" t="s">
        <v>89</v>
      </c>
      <c r="B51" t="s">
        <v>90</v>
      </c>
      <c r="C51" s="56">
        <v>31</v>
      </c>
      <c r="D51" s="56">
        <v>3</v>
      </c>
      <c r="E51" s="56">
        <v>2015</v>
      </c>
      <c r="F51" s="65">
        <v>1.25</v>
      </c>
      <c r="G51" s="77">
        <v>1.1599999999999999</v>
      </c>
      <c r="H51" s="77">
        <v>1.1000000000000001</v>
      </c>
      <c r="I51" s="59">
        <v>1.05</v>
      </c>
      <c r="J51" s="59">
        <v>1.01</v>
      </c>
      <c r="K51" s="59">
        <v>0.91</v>
      </c>
      <c r="L51" s="59">
        <v>0.81</v>
      </c>
      <c r="M51" s="59">
        <v>0.68</v>
      </c>
      <c r="N51" s="59">
        <v>0.57999999999999996</v>
      </c>
      <c r="O51" s="59">
        <v>0.57999999999999996</v>
      </c>
      <c r="P51" s="59">
        <v>0.5</v>
      </c>
      <c r="Q51" s="59"/>
      <c r="R51" s="59"/>
      <c r="S51" s="60"/>
      <c r="T51" s="13">
        <f t="shared" si="21"/>
        <v>0.87545454545454549</v>
      </c>
      <c r="U51" s="4">
        <f t="shared" ca="1" si="22"/>
        <v>32</v>
      </c>
      <c r="V51" s="4">
        <f t="shared" ca="1" si="23"/>
        <v>328</v>
      </c>
      <c r="W51" s="4">
        <f t="shared" ca="1" si="24"/>
        <v>0</v>
      </c>
      <c r="X51" s="13">
        <f t="shared" ca="1" si="25"/>
        <v>1.1679999999999999</v>
      </c>
      <c r="Y51" s="5">
        <f t="shared" ca="1" si="26"/>
        <v>0.33416407061266851</v>
      </c>
      <c r="Z51" s="15">
        <f t="shared" si="27"/>
        <v>7.7586206896551824E-2</v>
      </c>
      <c r="AA51" s="15">
        <f t="shared" si="28"/>
        <v>5.4545454545454453E-2</v>
      </c>
      <c r="AB51" s="15">
        <f t="shared" si="29"/>
        <v>4.7619047619047672E-2</v>
      </c>
      <c r="AC51" s="15">
        <f t="shared" si="30"/>
        <v>3.9603960396039639E-2</v>
      </c>
      <c r="AD51" s="15">
        <f t="shared" si="31"/>
        <v>0.10989010989010994</v>
      </c>
      <c r="AE51" s="15">
        <f t="shared" si="32"/>
        <v>0.12345679012345667</v>
      </c>
      <c r="AF51" s="15">
        <f t="shared" si="33"/>
        <v>0.19117647058823528</v>
      </c>
      <c r="AG51" s="15">
        <f t="shared" si="34"/>
        <v>0.1724137931034484</v>
      </c>
      <c r="AH51" s="15">
        <f t="shared" si="35"/>
        <v>0</v>
      </c>
      <c r="AI51" s="15">
        <f t="shared" si="36"/>
        <v>0.15999999999999992</v>
      </c>
      <c r="AJ51" s="15" t="str">
        <f t="shared" si="37"/>
        <v/>
      </c>
      <c r="AK51" s="15" t="str">
        <f t="shared" si="38"/>
        <v/>
      </c>
      <c r="AL51" s="15" t="str">
        <f t="shared" si="39"/>
        <v/>
      </c>
      <c r="AM51" s="5">
        <f t="shared" si="40"/>
        <v>0</v>
      </c>
    </row>
    <row r="52" spans="1:39" x14ac:dyDescent="0.25">
      <c r="A52" t="s">
        <v>91</v>
      </c>
      <c r="B52" t="s">
        <v>92</v>
      </c>
      <c r="C52" s="56">
        <v>31</v>
      </c>
      <c r="D52" s="56">
        <v>12</v>
      </c>
      <c r="E52" s="56">
        <v>2015</v>
      </c>
      <c r="F52" s="65">
        <v>1.45</v>
      </c>
      <c r="G52" s="77">
        <v>1.34</v>
      </c>
      <c r="H52" s="77">
        <v>1.26</v>
      </c>
      <c r="I52" s="59">
        <v>1.39</v>
      </c>
      <c r="J52" s="59">
        <v>1.37</v>
      </c>
      <c r="K52" s="59">
        <v>1.34</v>
      </c>
      <c r="L52" s="59">
        <v>1.25</v>
      </c>
      <c r="M52" s="59">
        <v>1.1499999999999999</v>
      </c>
      <c r="N52" s="59">
        <v>1</v>
      </c>
      <c r="O52" s="59">
        <v>0.62</v>
      </c>
      <c r="P52" s="59">
        <v>0.5</v>
      </c>
      <c r="Q52" s="59">
        <v>0.42</v>
      </c>
      <c r="R52" s="59">
        <v>0.36</v>
      </c>
      <c r="S52" s="60"/>
      <c r="T52" s="13">
        <f t="shared" si="21"/>
        <v>1.0346153846153845</v>
      </c>
      <c r="U52" s="4">
        <f t="shared" ca="1" si="22"/>
        <v>0</v>
      </c>
      <c r="V52" s="4">
        <f t="shared" ca="1" si="23"/>
        <v>122</v>
      </c>
      <c r="W52" s="4">
        <f t="shared" ca="1" si="24"/>
        <v>238</v>
      </c>
      <c r="X52" s="13">
        <f t="shared" ca="1" si="25"/>
        <v>1.2871111111111111</v>
      </c>
      <c r="Y52" s="5">
        <f t="shared" ca="1" si="26"/>
        <v>0.24404791408508886</v>
      </c>
      <c r="Z52" s="15">
        <f t="shared" si="27"/>
        <v>8.2089552238805874E-2</v>
      </c>
      <c r="AA52" s="15">
        <f t="shared" si="28"/>
        <v>6.3492063492063489E-2</v>
      </c>
      <c r="AB52" s="15">
        <f t="shared" si="29"/>
        <v>-9.3525179856115082E-2</v>
      </c>
      <c r="AC52" s="15">
        <f t="shared" si="30"/>
        <v>1.4598540145985162E-2</v>
      </c>
      <c r="AD52" s="15">
        <f t="shared" si="31"/>
        <v>2.2388059701492491E-2</v>
      </c>
      <c r="AE52" s="15">
        <f t="shared" si="32"/>
        <v>7.2000000000000064E-2</v>
      </c>
      <c r="AF52" s="15">
        <f t="shared" si="33"/>
        <v>8.6956521739130599E-2</v>
      </c>
      <c r="AG52" s="15">
        <f t="shared" si="34"/>
        <v>0.14999999999999991</v>
      </c>
      <c r="AH52" s="15">
        <f t="shared" si="35"/>
        <v>0.61290322580645173</v>
      </c>
      <c r="AI52" s="15">
        <f t="shared" si="36"/>
        <v>0.24</v>
      </c>
      <c r="AJ52" s="15">
        <f t="shared" si="37"/>
        <v>0.19047619047619047</v>
      </c>
      <c r="AK52" s="15">
        <f t="shared" si="38"/>
        <v>0.16666666666666674</v>
      </c>
      <c r="AL52" s="15" t="str">
        <f t="shared" si="39"/>
        <v/>
      </c>
      <c r="AM52" s="5">
        <f t="shared" si="40"/>
        <v>-9.3525179856115082E-2</v>
      </c>
    </row>
    <row r="53" spans="1:39" x14ac:dyDescent="0.25">
      <c r="A53" s="52" t="s">
        <v>288</v>
      </c>
      <c r="B53" s="52" t="s">
        <v>289</v>
      </c>
      <c r="C53" s="90">
        <v>31</v>
      </c>
      <c r="D53" s="90">
        <v>8</v>
      </c>
      <c r="E53" s="90">
        <v>2015</v>
      </c>
      <c r="F53" s="65">
        <v>2.35</v>
      </c>
      <c r="G53" s="77">
        <v>2.19</v>
      </c>
      <c r="H53" s="77">
        <v>2.02</v>
      </c>
      <c r="I53" s="59">
        <v>1.86</v>
      </c>
      <c r="J53" s="59">
        <v>1.62</v>
      </c>
      <c r="K53" s="59">
        <v>1.35</v>
      </c>
      <c r="L53" s="59">
        <v>0.9</v>
      </c>
      <c r="M53" s="59">
        <v>1.1299999999999999</v>
      </c>
      <c r="N53" s="59">
        <v>0.5</v>
      </c>
      <c r="O53" s="59">
        <v>0.42</v>
      </c>
      <c r="P53" s="59">
        <v>0.35</v>
      </c>
      <c r="Q53" s="59">
        <v>0.3</v>
      </c>
      <c r="R53" s="59">
        <v>0</v>
      </c>
      <c r="S53" s="60">
        <v>0</v>
      </c>
      <c r="T53" s="13">
        <f t="shared" si="21"/>
        <v>1.0707142857142855</v>
      </c>
      <c r="U53" s="4">
        <f t="shared" ca="1" si="22"/>
        <v>0</v>
      </c>
      <c r="V53" s="4">
        <f t="shared" ca="1" si="23"/>
        <v>242</v>
      </c>
      <c r="W53" s="4">
        <f t="shared" ca="1" si="24"/>
        <v>118</v>
      </c>
      <c r="X53" s="13">
        <f t="shared" ca="1" si="25"/>
        <v>2.1342777777777777</v>
      </c>
      <c r="Y53" s="5">
        <f t="shared" ca="1" si="26"/>
        <v>0.99332147357497624</v>
      </c>
      <c r="Z53" s="15">
        <f t="shared" si="27"/>
        <v>7.3059360730593603E-2</v>
      </c>
      <c r="AA53" s="15">
        <f t="shared" si="28"/>
        <v>8.4158415841584233E-2</v>
      </c>
      <c r="AB53" s="15">
        <f t="shared" si="29"/>
        <v>8.602150537634401E-2</v>
      </c>
      <c r="AC53" s="15">
        <f t="shared" si="30"/>
        <v>0.14814814814814814</v>
      </c>
      <c r="AD53" s="15">
        <f t="shared" si="31"/>
        <v>0.19999999999999996</v>
      </c>
      <c r="AE53" s="15">
        <f t="shared" si="32"/>
        <v>0.5</v>
      </c>
      <c r="AF53" s="15">
        <f t="shared" si="33"/>
        <v>-0.20353982300884943</v>
      </c>
      <c r="AG53" s="15">
        <f t="shared" si="34"/>
        <v>1.2599999999999998</v>
      </c>
      <c r="AH53" s="15">
        <f t="shared" si="35"/>
        <v>0.19047619047619047</v>
      </c>
      <c r="AI53" s="15">
        <f t="shared" si="36"/>
        <v>0.19999999999999996</v>
      </c>
      <c r="AJ53" s="15">
        <f t="shared" si="37"/>
        <v>0.16666666666666674</v>
      </c>
      <c r="AK53" s="15">
        <f t="shared" si="38"/>
        <v>1</v>
      </c>
      <c r="AL53" s="15">
        <f t="shared" si="39"/>
        <v>1</v>
      </c>
      <c r="AM53" s="5">
        <f t="shared" si="40"/>
        <v>-0.20353982300884943</v>
      </c>
    </row>
    <row r="54" spans="1:39" x14ac:dyDescent="0.25">
      <c r="A54" s="52" t="s">
        <v>257</v>
      </c>
      <c r="B54" s="52" t="s">
        <v>258</v>
      </c>
      <c r="C54" s="90">
        <v>30</v>
      </c>
      <c r="D54" s="90">
        <v>4</v>
      </c>
      <c r="E54" s="90">
        <v>2015</v>
      </c>
      <c r="F54" s="65">
        <v>1.58</v>
      </c>
      <c r="G54" s="77">
        <v>1.47</v>
      </c>
      <c r="H54" s="77">
        <v>0.92</v>
      </c>
      <c r="I54" s="59">
        <v>1.1200000000000001</v>
      </c>
      <c r="J54" s="59">
        <v>1.04</v>
      </c>
      <c r="K54" s="59">
        <v>0.97</v>
      </c>
      <c r="L54" s="59">
        <v>0.9</v>
      </c>
      <c r="M54" s="59">
        <v>0.82</v>
      </c>
      <c r="N54" s="59">
        <v>0.75</v>
      </c>
      <c r="O54" s="59">
        <v>0.5</v>
      </c>
      <c r="P54" s="59">
        <v>0.44</v>
      </c>
      <c r="Q54" s="59">
        <v>0.39</v>
      </c>
      <c r="R54" s="59">
        <v>0.34</v>
      </c>
      <c r="S54" s="60">
        <v>0.28999999999999998</v>
      </c>
      <c r="T54" s="13">
        <f t="shared" si="21"/>
        <v>0.82357142857142851</v>
      </c>
      <c r="U54" s="4">
        <f t="shared" ca="1" si="22"/>
        <v>3</v>
      </c>
      <c r="V54" s="4">
        <f t="shared" ca="1" si="23"/>
        <v>357</v>
      </c>
      <c r="W54" s="4">
        <f t="shared" ca="1" si="24"/>
        <v>0</v>
      </c>
      <c r="X54" s="13">
        <f t="shared" ca="1" si="25"/>
        <v>1.4709166666666667</v>
      </c>
      <c r="Y54" s="5">
        <f t="shared" ca="1" si="26"/>
        <v>0.78602197166811227</v>
      </c>
      <c r="Z54" s="15">
        <f t="shared" si="27"/>
        <v>7.4829931972789199E-2</v>
      </c>
      <c r="AA54" s="15">
        <f t="shared" si="28"/>
        <v>0.59782608695652173</v>
      </c>
      <c r="AB54" s="15">
        <f t="shared" si="29"/>
        <v>-0.1785714285714286</v>
      </c>
      <c r="AC54" s="15">
        <f t="shared" si="30"/>
        <v>7.6923076923077094E-2</v>
      </c>
      <c r="AD54" s="15">
        <f t="shared" si="31"/>
        <v>7.2164948453608213E-2</v>
      </c>
      <c r="AE54" s="15">
        <f t="shared" si="32"/>
        <v>7.7777777777777724E-2</v>
      </c>
      <c r="AF54" s="15">
        <f t="shared" si="33"/>
        <v>9.7560975609756184E-2</v>
      </c>
      <c r="AG54" s="15">
        <f t="shared" si="34"/>
        <v>9.3333333333333268E-2</v>
      </c>
      <c r="AH54" s="15">
        <f t="shared" si="35"/>
        <v>0.5</v>
      </c>
      <c r="AI54" s="15">
        <f t="shared" si="36"/>
        <v>0.13636363636363646</v>
      </c>
      <c r="AJ54" s="15">
        <f t="shared" si="37"/>
        <v>0.12820512820512819</v>
      </c>
      <c r="AK54" s="15">
        <f t="shared" si="38"/>
        <v>0.14705882352941169</v>
      </c>
      <c r="AL54" s="15">
        <f t="shared" si="39"/>
        <v>0.1724137931034484</v>
      </c>
      <c r="AM54" s="5">
        <f t="shared" si="40"/>
        <v>-0.1785714285714286</v>
      </c>
    </row>
    <row r="55" spans="1:39" x14ac:dyDescent="0.25">
      <c r="A55" t="s">
        <v>93</v>
      </c>
      <c r="B55" t="s">
        <v>94</v>
      </c>
      <c r="C55" s="56">
        <v>31</v>
      </c>
      <c r="D55" s="56">
        <v>12</v>
      </c>
      <c r="E55" s="56">
        <v>2015</v>
      </c>
      <c r="F55" s="65">
        <v>2.52</v>
      </c>
      <c r="G55" s="77">
        <v>2.35</v>
      </c>
      <c r="H55" s="77">
        <v>2.17</v>
      </c>
      <c r="I55" s="59">
        <v>1.7</v>
      </c>
      <c r="J55" s="59">
        <v>1.84</v>
      </c>
      <c r="K55" s="59">
        <v>1.7</v>
      </c>
      <c r="L55" s="59">
        <v>1.58</v>
      </c>
      <c r="M55" s="59">
        <v>1.46</v>
      </c>
      <c r="N55" s="59">
        <v>1.32</v>
      </c>
      <c r="O55" s="61">
        <v>1.04</v>
      </c>
      <c r="P55" s="61">
        <v>0.94199999999999995</v>
      </c>
      <c r="Q55" s="61">
        <v>0.83499999999999996</v>
      </c>
      <c r="R55" s="61">
        <v>0.70899999999999996</v>
      </c>
      <c r="S55" s="62">
        <v>0.77300000000000002</v>
      </c>
      <c r="T55" s="13">
        <f t="shared" si="21"/>
        <v>1.4956428571428571</v>
      </c>
      <c r="U55" s="4">
        <f t="shared" ca="1" si="22"/>
        <v>0</v>
      </c>
      <c r="V55" s="4">
        <f t="shared" ca="1" si="23"/>
        <v>122</v>
      </c>
      <c r="W55" s="4">
        <f t="shared" ca="1" si="24"/>
        <v>238</v>
      </c>
      <c r="X55" s="13">
        <f t="shared" ca="1" si="25"/>
        <v>2.2309999999999999</v>
      </c>
      <c r="Y55" s="5">
        <f t="shared" ca="1" si="26"/>
        <v>0.49166626868522845</v>
      </c>
      <c r="Z55" s="15">
        <f t="shared" si="27"/>
        <v>7.2340425531914887E-2</v>
      </c>
      <c r="AA55" s="15">
        <f t="shared" si="28"/>
        <v>8.2949308755760454E-2</v>
      </c>
      <c r="AB55" s="15">
        <f t="shared" si="29"/>
        <v>0.27647058823529402</v>
      </c>
      <c r="AC55" s="15">
        <f t="shared" si="30"/>
        <v>-7.6086956521739246E-2</v>
      </c>
      <c r="AD55" s="15">
        <f t="shared" si="31"/>
        <v>8.235294117647074E-2</v>
      </c>
      <c r="AE55" s="15">
        <f t="shared" si="32"/>
        <v>7.5949367088607556E-2</v>
      </c>
      <c r="AF55" s="15">
        <f t="shared" si="33"/>
        <v>8.2191780821917915E-2</v>
      </c>
      <c r="AG55" s="15">
        <f t="shared" si="34"/>
        <v>0.10606060606060597</v>
      </c>
      <c r="AH55" s="15">
        <f t="shared" si="35"/>
        <v>0.26923076923076916</v>
      </c>
      <c r="AI55" s="15">
        <f t="shared" si="36"/>
        <v>0.10403397027600869</v>
      </c>
      <c r="AJ55" s="15">
        <f t="shared" si="37"/>
        <v>0.12814371257485035</v>
      </c>
      <c r="AK55" s="15">
        <f t="shared" si="38"/>
        <v>0.17771509167842026</v>
      </c>
      <c r="AL55" s="15">
        <f t="shared" si="39"/>
        <v>-8.2794307891332575E-2</v>
      </c>
      <c r="AM55" s="5">
        <f t="shared" si="40"/>
        <v>-8.2794307891332575E-2</v>
      </c>
    </row>
    <row r="56" spans="1:39" x14ac:dyDescent="0.25">
      <c r="A56" s="52" t="s">
        <v>274</v>
      </c>
      <c r="B56" s="52" t="s">
        <v>279</v>
      </c>
      <c r="C56" s="90">
        <v>31</v>
      </c>
      <c r="D56" s="90">
        <v>12</v>
      </c>
      <c r="E56" s="90">
        <v>2015</v>
      </c>
      <c r="F56" s="65">
        <v>2</v>
      </c>
      <c r="G56" s="77">
        <v>1.59</v>
      </c>
      <c r="H56" s="77">
        <v>1.32</v>
      </c>
      <c r="I56" s="59">
        <v>1.1000000000000001</v>
      </c>
      <c r="J56" s="59">
        <v>0.9</v>
      </c>
      <c r="K56" s="59">
        <v>0.65</v>
      </c>
      <c r="L56" s="59">
        <v>0.5</v>
      </c>
      <c r="M56" s="59">
        <v>0.35</v>
      </c>
      <c r="N56" s="59">
        <v>0.31</v>
      </c>
      <c r="O56" s="59">
        <v>0.26</v>
      </c>
      <c r="P56" s="59">
        <v>0.23</v>
      </c>
      <c r="Q56" s="59">
        <v>0.16</v>
      </c>
      <c r="R56" s="59">
        <v>0.14000000000000001</v>
      </c>
      <c r="S56" s="60">
        <v>0.13</v>
      </c>
      <c r="T56" s="13">
        <f t="shared" si="21"/>
        <v>0.68857142857142872</v>
      </c>
      <c r="U56" s="4">
        <f t="shared" ca="1" si="22"/>
        <v>0</v>
      </c>
      <c r="V56" s="4">
        <f t="shared" ca="1" si="23"/>
        <v>122</v>
      </c>
      <c r="W56" s="4">
        <f t="shared" ca="1" si="24"/>
        <v>238</v>
      </c>
      <c r="X56" s="13">
        <f t="shared" ca="1" si="25"/>
        <v>1.4115000000000002</v>
      </c>
      <c r="Y56" s="5">
        <f t="shared" ca="1" si="26"/>
        <v>1.0498962655601658</v>
      </c>
      <c r="Z56" s="15">
        <f t="shared" si="27"/>
        <v>0.25786163522012573</v>
      </c>
      <c r="AA56" s="15">
        <f t="shared" si="28"/>
        <v>0.20454545454545459</v>
      </c>
      <c r="AB56" s="15">
        <f t="shared" si="29"/>
        <v>0.19999999999999996</v>
      </c>
      <c r="AC56" s="15">
        <f t="shared" si="30"/>
        <v>0.22222222222222232</v>
      </c>
      <c r="AD56" s="15">
        <f t="shared" si="31"/>
        <v>0.38461538461538458</v>
      </c>
      <c r="AE56" s="15">
        <f t="shared" si="32"/>
        <v>0.30000000000000004</v>
      </c>
      <c r="AF56" s="15">
        <f t="shared" si="33"/>
        <v>0.4285714285714286</v>
      </c>
      <c r="AG56" s="15">
        <f t="shared" si="34"/>
        <v>0.12903225806451601</v>
      </c>
      <c r="AH56" s="15">
        <f t="shared" si="35"/>
        <v>0.19230769230769229</v>
      </c>
      <c r="AI56" s="15">
        <f t="shared" si="36"/>
        <v>0.13043478260869557</v>
      </c>
      <c r="AJ56" s="15">
        <f t="shared" si="37"/>
        <v>0.4375</v>
      </c>
      <c r="AK56" s="15">
        <f t="shared" si="38"/>
        <v>0.14285714285714279</v>
      </c>
      <c r="AL56" s="15">
        <f t="shared" si="39"/>
        <v>7.6923076923077094E-2</v>
      </c>
      <c r="AM56" s="5">
        <f t="shared" si="40"/>
        <v>7.6923076923077094E-2</v>
      </c>
    </row>
    <row r="57" spans="1:39" x14ac:dyDescent="0.25">
      <c r="A57" s="52" t="s">
        <v>291</v>
      </c>
      <c r="B57" s="52" t="s">
        <v>292</v>
      </c>
      <c r="C57" s="90">
        <v>31</v>
      </c>
      <c r="D57" s="90">
        <v>7</v>
      </c>
      <c r="E57" s="90">
        <v>2015</v>
      </c>
      <c r="F57" s="65">
        <v>0.94</v>
      </c>
      <c r="G57" s="77">
        <v>0.84</v>
      </c>
      <c r="H57" s="77">
        <v>0.79</v>
      </c>
      <c r="I57" s="59">
        <v>0.72</v>
      </c>
      <c r="J57" s="59">
        <v>0.62</v>
      </c>
      <c r="K57" s="59">
        <v>0.28000000000000003</v>
      </c>
      <c r="L57" s="59">
        <v>0.12</v>
      </c>
      <c r="M57" s="59">
        <v>0</v>
      </c>
      <c r="N57" s="59">
        <v>0</v>
      </c>
      <c r="O57" s="59">
        <v>0</v>
      </c>
      <c r="P57" s="59">
        <v>0</v>
      </c>
      <c r="Q57" s="59">
        <v>0</v>
      </c>
      <c r="R57" s="59">
        <v>0</v>
      </c>
      <c r="S57" s="60">
        <v>0</v>
      </c>
      <c r="T57" s="13">
        <f t="shared" si="21"/>
        <v>0.30785714285714288</v>
      </c>
      <c r="U57" s="4">
        <f t="shared" ca="1" si="22"/>
        <v>0</v>
      </c>
      <c r="V57" s="4">
        <f t="shared" ca="1" si="23"/>
        <v>272</v>
      </c>
      <c r="W57" s="4">
        <f t="shared" ca="1" si="24"/>
        <v>88</v>
      </c>
      <c r="X57" s="13">
        <f t="shared" ca="1" si="25"/>
        <v>0.82777777777777772</v>
      </c>
      <c r="Y57" s="5">
        <f t="shared" ca="1" si="26"/>
        <v>1.6888373292085586</v>
      </c>
      <c r="Z57" s="15">
        <f t="shared" si="27"/>
        <v>0.11904761904761907</v>
      </c>
      <c r="AA57" s="15">
        <f t="shared" si="28"/>
        <v>6.3291139240506222E-2</v>
      </c>
      <c r="AB57" s="15">
        <f t="shared" si="29"/>
        <v>9.7222222222222321E-2</v>
      </c>
      <c r="AC57" s="15">
        <f t="shared" si="30"/>
        <v>0.16129032258064502</v>
      </c>
      <c r="AD57" s="15">
        <f t="shared" si="31"/>
        <v>1.214285714285714</v>
      </c>
      <c r="AE57" s="15">
        <f t="shared" si="32"/>
        <v>1.3333333333333335</v>
      </c>
      <c r="AF57" s="15">
        <f t="shared" si="33"/>
        <v>1</v>
      </c>
      <c r="AG57" s="15">
        <f t="shared" si="34"/>
        <v>1</v>
      </c>
      <c r="AH57" s="15">
        <f t="shared" si="35"/>
        <v>1</v>
      </c>
      <c r="AI57" s="15">
        <f t="shared" si="36"/>
        <v>1</v>
      </c>
      <c r="AJ57" s="15">
        <f t="shared" si="37"/>
        <v>1</v>
      </c>
      <c r="AK57" s="15">
        <f t="shared" si="38"/>
        <v>1</v>
      </c>
      <c r="AL57" s="15">
        <f t="shared" si="39"/>
        <v>1</v>
      </c>
      <c r="AM57" s="5">
        <f t="shared" si="40"/>
        <v>6.3291139240506222E-2</v>
      </c>
    </row>
    <row r="58" spans="1:39" x14ac:dyDescent="0.25">
      <c r="A58" s="52" t="s">
        <v>272</v>
      </c>
      <c r="B58" s="52" t="s">
        <v>277</v>
      </c>
      <c r="C58" s="90">
        <v>31</v>
      </c>
      <c r="D58" s="90">
        <v>12</v>
      </c>
      <c r="E58" s="90">
        <v>2015</v>
      </c>
      <c r="F58" s="65">
        <v>2.14</v>
      </c>
      <c r="G58" s="77">
        <v>2.0299999999999998</v>
      </c>
      <c r="H58" s="77">
        <v>1.93</v>
      </c>
      <c r="I58" s="59">
        <v>1.84</v>
      </c>
      <c r="J58" s="59">
        <v>1.78</v>
      </c>
      <c r="K58" s="59">
        <v>1.7</v>
      </c>
      <c r="L58" s="59">
        <v>1.64</v>
      </c>
      <c r="M58" s="59">
        <v>1.64</v>
      </c>
      <c r="N58" s="59">
        <v>1.64</v>
      </c>
      <c r="O58" s="59">
        <v>1.64</v>
      </c>
      <c r="P58" s="59">
        <v>1.52</v>
      </c>
      <c r="Q58" s="59">
        <v>1.48</v>
      </c>
      <c r="R58" s="59">
        <v>1.46</v>
      </c>
      <c r="S58" s="60">
        <v>1.4</v>
      </c>
      <c r="T58" s="13">
        <f t="shared" si="21"/>
        <v>1.7028571428571428</v>
      </c>
      <c r="U58" s="4">
        <f t="shared" ca="1" si="22"/>
        <v>0</v>
      </c>
      <c r="V58" s="4">
        <f t="shared" ca="1" si="23"/>
        <v>122</v>
      </c>
      <c r="W58" s="4">
        <f t="shared" ca="1" si="24"/>
        <v>238</v>
      </c>
      <c r="X58" s="13">
        <f t="shared" ca="1" si="25"/>
        <v>1.9638888888888886</v>
      </c>
      <c r="Y58" s="5">
        <f t="shared" ca="1" si="26"/>
        <v>0.15329045488441451</v>
      </c>
      <c r="Z58" s="15">
        <f t="shared" si="27"/>
        <v>5.4187192118226868E-2</v>
      </c>
      <c r="AA58" s="15">
        <f t="shared" si="28"/>
        <v>5.1813471502590636E-2</v>
      </c>
      <c r="AB58" s="15">
        <f t="shared" si="29"/>
        <v>4.8913043478260754E-2</v>
      </c>
      <c r="AC58" s="15">
        <f t="shared" si="30"/>
        <v>3.3707865168539408E-2</v>
      </c>
      <c r="AD58" s="15">
        <f t="shared" si="31"/>
        <v>4.705882352941182E-2</v>
      </c>
      <c r="AE58" s="15">
        <f t="shared" si="32"/>
        <v>3.6585365853658569E-2</v>
      </c>
      <c r="AF58" s="15">
        <f t="shared" si="33"/>
        <v>0</v>
      </c>
      <c r="AG58" s="15">
        <f t="shared" si="34"/>
        <v>0</v>
      </c>
      <c r="AH58" s="15">
        <f t="shared" si="35"/>
        <v>0</v>
      </c>
      <c r="AI58" s="15">
        <f t="shared" si="36"/>
        <v>7.8947368421052655E-2</v>
      </c>
      <c r="AJ58" s="15">
        <f t="shared" si="37"/>
        <v>2.7027027027026973E-2</v>
      </c>
      <c r="AK58" s="15">
        <f t="shared" si="38"/>
        <v>1.3698630136986356E-2</v>
      </c>
      <c r="AL58" s="15">
        <f t="shared" si="39"/>
        <v>4.2857142857142927E-2</v>
      </c>
      <c r="AM58" s="5">
        <f t="shared" si="40"/>
        <v>0</v>
      </c>
    </row>
    <row r="59" spans="1:39" x14ac:dyDescent="0.25">
      <c r="A59" t="s">
        <v>97</v>
      </c>
      <c r="B59" t="s">
        <v>98</v>
      </c>
      <c r="C59" s="56">
        <v>31</v>
      </c>
      <c r="D59" s="56">
        <v>5</v>
      </c>
      <c r="E59" s="56">
        <v>2015</v>
      </c>
      <c r="F59" s="65">
        <v>1.88</v>
      </c>
      <c r="G59" s="77">
        <v>1.76</v>
      </c>
      <c r="H59" s="77">
        <v>1.64</v>
      </c>
      <c r="I59" s="59">
        <v>1.55</v>
      </c>
      <c r="J59" s="59">
        <v>1.32</v>
      </c>
      <c r="K59" s="59">
        <v>1.22</v>
      </c>
      <c r="L59" s="59">
        <v>1.1200000000000001</v>
      </c>
      <c r="M59" s="59">
        <v>0.96</v>
      </c>
      <c r="N59" s="59">
        <v>0.86</v>
      </c>
      <c r="O59" s="59">
        <v>0.79</v>
      </c>
      <c r="P59" s="59">
        <v>0.72</v>
      </c>
      <c r="Q59" s="59">
        <v>0.67</v>
      </c>
      <c r="R59" s="59">
        <v>0.62</v>
      </c>
      <c r="S59" s="60">
        <v>0.55000000000000004</v>
      </c>
      <c r="T59" s="13">
        <f t="shared" si="21"/>
        <v>1.1185714285714285</v>
      </c>
      <c r="U59" s="4">
        <f t="shared" ca="1" si="22"/>
        <v>0</v>
      </c>
      <c r="V59" s="4">
        <f t="shared" ca="1" si="23"/>
        <v>332</v>
      </c>
      <c r="W59" s="4">
        <f t="shared" ca="1" si="24"/>
        <v>28</v>
      </c>
      <c r="X59" s="13">
        <f t="shared" ca="1" si="25"/>
        <v>1.7506666666666666</v>
      </c>
      <c r="Y59" s="5">
        <f t="shared" ca="1" si="26"/>
        <v>0.56509152830991916</v>
      </c>
      <c r="Z59" s="15">
        <f t="shared" si="27"/>
        <v>6.8181818181818121E-2</v>
      </c>
      <c r="AA59" s="15">
        <f t="shared" si="28"/>
        <v>7.3170731707317138E-2</v>
      </c>
      <c r="AB59" s="15">
        <f t="shared" si="29"/>
        <v>5.8064516129032073E-2</v>
      </c>
      <c r="AC59" s="15">
        <f t="shared" si="30"/>
        <v>0.17424242424242431</v>
      </c>
      <c r="AD59" s="15">
        <f t="shared" si="31"/>
        <v>8.1967213114754189E-2</v>
      </c>
      <c r="AE59" s="15">
        <f t="shared" si="32"/>
        <v>8.9285714285714191E-2</v>
      </c>
      <c r="AF59" s="15">
        <f t="shared" si="33"/>
        <v>0.16666666666666674</v>
      </c>
      <c r="AG59" s="15">
        <f t="shared" si="34"/>
        <v>0.11627906976744184</v>
      </c>
      <c r="AH59" s="15">
        <f t="shared" si="35"/>
        <v>8.8607594936708889E-2</v>
      </c>
      <c r="AI59" s="15">
        <f t="shared" si="36"/>
        <v>9.7222222222222321E-2</v>
      </c>
      <c r="AJ59" s="15">
        <f t="shared" si="37"/>
        <v>7.4626865671641784E-2</v>
      </c>
      <c r="AK59" s="15">
        <f t="shared" si="38"/>
        <v>8.0645161290322731E-2</v>
      </c>
      <c r="AL59" s="15">
        <f t="shared" si="39"/>
        <v>0.1272727272727272</v>
      </c>
      <c r="AM59" s="5">
        <f t="shared" si="40"/>
        <v>5.8064516129032073E-2</v>
      </c>
    </row>
    <row r="60" spans="1:39" x14ac:dyDescent="0.25">
      <c r="A60" s="52" t="s">
        <v>259</v>
      </c>
      <c r="B60" s="52" t="s">
        <v>260</v>
      </c>
      <c r="C60" s="90">
        <v>31</v>
      </c>
      <c r="D60" s="90">
        <v>12</v>
      </c>
      <c r="E60" s="90">
        <v>2015</v>
      </c>
      <c r="F60" s="65">
        <v>2.19</v>
      </c>
      <c r="G60" s="77">
        <v>2.02</v>
      </c>
      <c r="H60" s="77">
        <v>1.94</v>
      </c>
      <c r="I60" s="59">
        <v>1.9</v>
      </c>
      <c r="J60" s="59">
        <v>1.8</v>
      </c>
      <c r="K60" s="59">
        <v>1.74</v>
      </c>
      <c r="L60" s="59">
        <v>1.67</v>
      </c>
      <c r="M60" s="59">
        <v>1.56</v>
      </c>
      <c r="N60" s="59">
        <v>1.43</v>
      </c>
      <c r="O60" s="59">
        <v>1.3</v>
      </c>
      <c r="P60" s="59">
        <v>1.2</v>
      </c>
      <c r="Q60" s="59">
        <v>1.1399999999999999</v>
      </c>
      <c r="R60" s="59">
        <v>1.06</v>
      </c>
      <c r="S60" s="60">
        <v>1.01</v>
      </c>
      <c r="T60" s="13">
        <f t="shared" si="21"/>
        <v>1.5685714285714289</v>
      </c>
      <c r="U60" s="4">
        <f t="shared" ca="1" si="22"/>
        <v>0</v>
      </c>
      <c r="V60" s="4">
        <f t="shared" ca="1" si="23"/>
        <v>122</v>
      </c>
      <c r="W60" s="4">
        <f t="shared" ca="1" si="24"/>
        <v>238</v>
      </c>
      <c r="X60" s="13">
        <f t="shared" ca="1" si="25"/>
        <v>1.967111111111111</v>
      </c>
      <c r="Y60" s="5">
        <f t="shared" ca="1" si="26"/>
        <v>0.25407812183768441</v>
      </c>
      <c r="Z60" s="15">
        <f t="shared" si="27"/>
        <v>8.4158415841584233E-2</v>
      </c>
      <c r="AA60" s="15">
        <f t="shared" si="28"/>
        <v>4.1237113402061931E-2</v>
      </c>
      <c r="AB60" s="15">
        <f t="shared" si="29"/>
        <v>2.1052631578947434E-2</v>
      </c>
      <c r="AC60" s="15">
        <f t="shared" si="30"/>
        <v>5.555555555555558E-2</v>
      </c>
      <c r="AD60" s="15">
        <f t="shared" si="31"/>
        <v>3.4482758620689724E-2</v>
      </c>
      <c r="AE60" s="15">
        <f t="shared" si="32"/>
        <v>4.1916167664670656E-2</v>
      </c>
      <c r="AF60" s="15">
        <f t="shared" si="33"/>
        <v>7.0512820512820484E-2</v>
      </c>
      <c r="AG60" s="15">
        <f t="shared" si="34"/>
        <v>9.090909090909105E-2</v>
      </c>
      <c r="AH60" s="15">
        <f t="shared" si="35"/>
        <v>9.9999999999999867E-2</v>
      </c>
      <c r="AI60" s="15">
        <f t="shared" si="36"/>
        <v>8.3333333333333481E-2</v>
      </c>
      <c r="AJ60" s="15">
        <f t="shared" si="37"/>
        <v>5.2631578947368363E-2</v>
      </c>
      <c r="AK60" s="15">
        <f t="shared" si="38"/>
        <v>7.5471698113207308E-2</v>
      </c>
      <c r="AL60" s="15">
        <f t="shared" si="39"/>
        <v>4.9504950495049549E-2</v>
      </c>
      <c r="AM60" s="5">
        <f t="shared" si="40"/>
        <v>2.1052631578947434E-2</v>
      </c>
    </row>
    <row r="61" spans="1:39" x14ac:dyDescent="0.25">
      <c r="A61" t="s">
        <v>99</v>
      </c>
      <c r="B61" t="s">
        <v>100</v>
      </c>
      <c r="C61" s="56">
        <v>31</v>
      </c>
      <c r="D61" s="56">
        <v>12</v>
      </c>
      <c r="E61" s="56">
        <v>2015</v>
      </c>
      <c r="F61" s="65">
        <v>3.99</v>
      </c>
      <c r="G61" s="77">
        <v>3.65</v>
      </c>
      <c r="H61" s="77">
        <v>3.45</v>
      </c>
      <c r="I61" s="59">
        <v>3.36</v>
      </c>
      <c r="J61" s="59">
        <v>3.24</v>
      </c>
      <c r="K61" s="59">
        <v>2.96</v>
      </c>
      <c r="L61" s="59">
        <v>2.8</v>
      </c>
      <c r="M61" s="59">
        <v>2.64</v>
      </c>
      <c r="N61" s="59">
        <v>2.4</v>
      </c>
      <c r="O61" s="59">
        <v>2.3199999999999998</v>
      </c>
      <c r="P61" s="59">
        <v>2.12</v>
      </c>
      <c r="Q61" s="59">
        <v>1.96</v>
      </c>
      <c r="R61" s="59">
        <v>1.8</v>
      </c>
      <c r="S61" s="60">
        <v>1.6</v>
      </c>
      <c r="T61" s="13">
        <f t="shared" si="21"/>
        <v>2.7349999999999999</v>
      </c>
      <c r="U61" s="4">
        <f t="shared" ca="1" si="22"/>
        <v>0</v>
      </c>
      <c r="V61" s="4">
        <f t="shared" ca="1" si="23"/>
        <v>122</v>
      </c>
      <c r="W61" s="4">
        <f t="shared" ca="1" si="24"/>
        <v>238</v>
      </c>
      <c r="X61" s="13">
        <f t="shared" ca="1" si="25"/>
        <v>3.5177777777777779</v>
      </c>
      <c r="Y61" s="5">
        <f t="shared" ca="1" si="26"/>
        <v>0.28620759699370302</v>
      </c>
      <c r="Z61" s="15">
        <f t="shared" si="27"/>
        <v>9.3150684931506911E-2</v>
      </c>
      <c r="AA61" s="15">
        <f t="shared" si="28"/>
        <v>5.7971014492753437E-2</v>
      </c>
      <c r="AB61" s="15">
        <f t="shared" si="29"/>
        <v>2.6785714285714413E-2</v>
      </c>
      <c r="AC61" s="15">
        <f t="shared" si="30"/>
        <v>3.7037037037036979E-2</v>
      </c>
      <c r="AD61" s="15">
        <f t="shared" si="31"/>
        <v>9.4594594594594739E-2</v>
      </c>
      <c r="AE61" s="15">
        <f t="shared" si="32"/>
        <v>5.7142857142857162E-2</v>
      </c>
      <c r="AF61" s="15">
        <f t="shared" si="33"/>
        <v>6.0606060606060552E-2</v>
      </c>
      <c r="AG61" s="15">
        <f t="shared" si="34"/>
        <v>0.10000000000000009</v>
      </c>
      <c r="AH61" s="15">
        <f t="shared" si="35"/>
        <v>3.4482758620689724E-2</v>
      </c>
      <c r="AI61" s="15">
        <f t="shared" si="36"/>
        <v>9.4339622641509413E-2</v>
      </c>
      <c r="AJ61" s="15">
        <f t="shared" si="37"/>
        <v>8.163265306122458E-2</v>
      </c>
      <c r="AK61" s="15">
        <f t="shared" si="38"/>
        <v>8.8888888888888795E-2</v>
      </c>
      <c r="AL61" s="15">
        <f t="shared" si="39"/>
        <v>0.125</v>
      </c>
      <c r="AM61" s="5">
        <f t="shared" si="40"/>
        <v>2.6785714285714413E-2</v>
      </c>
    </row>
    <row r="62" spans="1:39" x14ac:dyDescent="0.25">
      <c r="A62" s="52" t="s">
        <v>261</v>
      </c>
      <c r="B62" s="52" t="s">
        <v>262</v>
      </c>
      <c r="C62" s="90">
        <v>31</v>
      </c>
      <c r="D62" s="90">
        <v>12</v>
      </c>
      <c r="E62" s="90">
        <v>2015</v>
      </c>
      <c r="F62" s="65">
        <v>0.6</v>
      </c>
      <c r="G62" s="77">
        <v>0.57999999999999996</v>
      </c>
      <c r="H62" s="77">
        <v>0.56000000000000005</v>
      </c>
      <c r="I62" s="59">
        <v>0.44</v>
      </c>
      <c r="J62" s="59">
        <v>0.21</v>
      </c>
      <c r="K62" s="59">
        <v>0.12</v>
      </c>
      <c r="L62" s="59">
        <v>0.06</v>
      </c>
      <c r="M62" s="59">
        <v>0.06</v>
      </c>
      <c r="N62" s="59">
        <v>0.06</v>
      </c>
      <c r="O62" s="59">
        <v>0.06</v>
      </c>
      <c r="P62" s="59"/>
      <c r="Q62" s="59"/>
      <c r="R62" s="59"/>
      <c r="S62" s="60"/>
      <c r="T62" s="13">
        <f t="shared" si="21"/>
        <v>0.27500000000000002</v>
      </c>
      <c r="U62" s="4">
        <f t="shared" ca="1" si="22"/>
        <v>0</v>
      </c>
      <c r="V62" s="4">
        <f t="shared" ca="1" si="23"/>
        <v>122</v>
      </c>
      <c r="W62" s="4">
        <f t="shared" ca="1" si="24"/>
        <v>238</v>
      </c>
      <c r="X62" s="13">
        <f t="shared" ca="1" si="25"/>
        <v>0.56677777777777782</v>
      </c>
      <c r="Y62" s="5">
        <f t="shared" ca="1" si="26"/>
        <v>1.0610101010101012</v>
      </c>
      <c r="Z62" s="15">
        <f t="shared" si="27"/>
        <v>3.4482758620689724E-2</v>
      </c>
      <c r="AA62" s="15">
        <f t="shared" si="28"/>
        <v>3.5714285714285587E-2</v>
      </c>
      <c r="AB62" s="15">
        <f t="shared" si="29"/>
        <v>0.27272727272727293</v>
      </c>
      <c r="AC62" s="15">
        <f t="shared" si="30"/>
        <v>1.0952380952380953</v>
      </c>
      <c r="AD62" s="15">
        <f t="shared" si="31"/>
        <v>0.75</v>
      </c>
      <c r="AE62" s="15">
        <f t="shared" si="32"/>
        <v>1</v>
      </c>
      <c r="AF62" s="15">
        <f t="shared" si="33"/>
        <v>0</v>
      </c>
      <c r="AG62" s="15">
        <f t="shared" si="34"/>
        <v>0</v>
      </c>
      <c r="AH62" s="15">
        <f t="shared" si="35"/>
        <v>0</v>
      </c>
      <c r="AI62" s="15" t="str">
        <f t="shared" si="36"/>
        <v/>
      </c>
      <c r="AJ62" s="15" t="str">
        <f t="shared" si="37"/>
        <v/>
      </c>
      <c r="AK62" s="15" t="str">
        <f t="shared" si="38"/>
        <v/>
      </c>
      <c r="AL62" s="15" t="str">
        <f t="shared" si="39"/>
        <v/>
      </c>
      <c r="AM62" s="5">
        <f t="shared" si="40"/>
        <v>0</v>
      </c>
    </row>
    <row r="63" spans="1:39" x14ac:dyDescent="0.25">
      <c r="A63" s="52" t="s">
        <v>263</v>
      </c>
      <c r="B63" s="52" t="s">
        <v>264</v>
      </c>
      <c r="C63" s="90">
        <v>31</v>
      </c>
      <c r="D63" s="90">
        <v>12</v>
      </c>
      <c r="E63" s="90">
        <v>2015</v>
      </c>
      <c r="F63" s="65">
        <v>1.75</v>
      </c>
      <c r="G63" s="77">
        <v>1.43</v>
      </c>
      <c r="H63" s="77">
        <v>1.32</v>
      </c>
      <c r="I63" s="59">
        <v>1.18</v>
      </c>
      <c r="J63" s="59">
        <v>0.98</v>
      </c>
      <c r="K63" s="59">
        <v>0.64</v>
      </c>
      <c r="L63" s="59">
        <v>0.54</v>
      </c>
      <c r="M63" s="59">
        <v>0.42</v>
      </c>
      <c r="N63" s="59">
        <v>0.4</v>
      </c>
      <c r="O63" s="59">
        <v>0.4</v>
      </c>
      <c r="P63" s="59">
        <v>0.34</v>
      </c>
      <c r="Q63" s="59">
        <v>0.28999999999999998</v>
      </c>
      <c r="R63" s="59">
        <v>0.24</v>
      </c>
      <c r="S63" s="60">
        <v>0.15</v>
      </c>
      <c r="T63" s="13">
        <f t="shared" si="21"/>
        <v>0.72</v>
      </c>
      <c r="U63" s="4">
        <f t="shared" ca="1" si="22"/>
        <v>0</v>
      </c>
      <c r="V63" s="4">
        <f t="shared" ca="1" si="23"/>
        <v>122</v>
      </c>
      <c r="W63" s="4">
        <f t="shared" ca="1" si="24"/>
        <v>238</v>
      </c>
      <c r="X63" s="13">
        <f t="shared" ca="1" si="25"/>
        <v>1.3572777777777778</v>
      </c>
      <c r="Y63" s="5">
        <f t="shared" ca="1" si="26"/>
        <v>0.88510802469135808</v>
      </c>
      <c r="Z63" s="15">
        <f t="shared" si="27"/>
        <v>0.22377622377622375</v>
      </c>
      <c r="AA63" s="15">
        <f t="shared" si="28"/>
        <v>8.3333333333333259E-2</v>
      </c>
      <c r="AB63" s="15">
        <f t="shared" si="29"/>
        <v>0.1186440677966103</v>
      </c>
      <c r="AC63" s="15">
        <f t="shared" si="30"/>
        <v>0.20408163265306123</v>
      </c>
      <c r="AD63" s="15">
        <f t="shared" si="31"/>
        <v>0.53125</v>
      </c>
      <c r="AE63" s="15">
        <f t="shared" si="32"/>
        <v>0.18518518518518512</v>
      </c>
      <c r="AF63" s="15">
        <f t="shared" si="33"/>
        <v>0.28571428571428581</v>
      </c>
      <c r="AG63" s="15">
        <f t="shared" si="34"/>
        <v>4.9999999999999822E-2</v>
      </c>
      <c r="AH63" s="15">
        <f t="shared" si="35"/>
        <v>0</v>
      </c>
      <c r="AI63" s="15">
        <f t="shared" si="36"/>
        <v>0.17647058823529416</v>
      </c>
      <c r="AJ63" s="15">
        <f t="shared" si="37"/>
        <v>0.1724137931034484</v>
      </c>
      <c r="AK63" s="15">
        <f t="shared" si="38"/>
        <v>0.20833333333333326</v>
      </c>
      <c r="AL63" s="15">
        <f t="shared" si="39"/>
        <v>0.60000000000000009</v>
      </c>
      <c r="AM63" s="5">
        <f t="shared" si="40"/>
        <v>0</v>
      </c>
    </row>
    <row r="64" spans="1:39" x14ac:dyDescent="0.25">
      <c r="A64" s="52" t="s">
        <v>276</v>
      </c>
      <c r="B64" s="52" t="s">
        <v>281</v>
      </c>
      <c r="C64" s="90">
        <v>31</v>
      </c>
      <c r="D64" s="90">
        <v>12</v>
      </c>
      <c r="E64" s="90">
        <v>2015</v>
      </c>
      <c r="F64" s="65">
        <v>1.73</v>
      </c>
      <c r="G64" s="77">
        <v>1.52</v>
      </c>
      <c r="H64" s="77">
        <v>1.43</v>
      </c>
      <c r="I64" s="59">
        <v>1.41</v>
      </c>
      <c r="J64" s="59">
        <v>1.05</v>
      </c>
      <c r="K64" s="59">
        <v>0.8</v>
      </c>
      <c r="L64" s="59">
        <v>0.61</v>
      </c>
      <c r="M64" s="59">
        <v>0.40500000000000003</v>
      </c>
      <c r="N64" s="59">
        <v>0.03</v>
      </c>
      <c r="O64" s="59">
        <v>0.03</v>
      </c>
      <c r="P64" s="59">
        <v>0.03</v>
      </c>
      <c r="Q64" s="59">
        <v>0.03</v>
      </c>
      <c r="R64" s="59">
        <v>0.02</v>
      </c>
      <c r="S64" s="60">
        <v>0.02</v>
      </c>
      <c r="T64" s="13">
        <f t="shared" si="21"/>
        <v>0.65107142857142819</v>
      </c>
      <c r="U64" s="4">
        <f t="shared" ca="1" si="22"/>
        <v>0</v>
      </c>
      <c r="V64" s="4">
        <f t="shared" ca="1" si="23"/>
        <v>122</v>
      </c>
      <c r="W64" s="4">
        <f t="shared" ca="1" si="24"/>
        <v>238</v>
      </c>
      <c r="X64" s="13">
        <f t="shared" ca="1" si="25"/>
        <v>1.4605000000000001</v>
      </c>
      <c r="Y64" s="5">
        <f t="shared" ca="1" si="26"/>
        <v>1.243225452550742</v>
      </c>
      <c r="Z64" s="15">
        <f t="shared" si="27"/>
        <v>0.13815789473684204</v>
      </c>
      <c r="AA64" s="15">
        <f t="shared" si="28"/>
        <v>6.2937062937062915E-2</v>
      </c>
      <c r="AB64" s="15">
        <f t="shared" si="29"/>
        <v>1.4184397163120588E-2</v>
      </c>
      <c r="AC64" s="15">
        <f t="shared" si="30"/>
        <v>0.34285714285714275</v>
      </c>
      <c r="AD64" s="15">
        <f t="shared" si="31"/>
        <v>0.3125</v>
      </c>
      <c r="AE64" s="15">
        <f t="shared" si="32"/>
        <v>0.3114754098360657</v>
      </c>
      <c r="AF64" s="15">
        <f t="shared" si="33"/>
        <v>0.50617283950617264</v>
      </c>
      <c r="AG64" s="15">
        <f t="shared" si="34"/>
        <v>12.500000000000002</v>
      </c>
      <c r="AH64" s="15">
        <f t="shared" si="35"/>
        <v>0</v>
      </c>
      <c r="AI64" s="15">
        <f t="shared" si="36"/>
        <v>0</v>
      </c>
      <c r="AJ64" s="15">
        <f t="shared" si="37"/>
        <v>0</v>
      </c>
      <c r="AK64" s="15">
        <f t="shared" si="38"/>
        <v>0.5</v>
      </c>
      <c r="AL64" s="15">
        <f t="shared" si="39"/>
        <v>0</v>
      </c>
      <c r="AM64" s="5">
        <f t="shared" si="40"/>
        <v>0</v>
      </c>
    </row>
    <row r="65" spans="1:39" x14ac:dyDescent="0.25">
      <c r="A65" s="52" t="s">
        <v>265</v>
      </c>
      <c r="B65" s="52" t="s">
        <v>266</v>
      </c>
      <c r="C65" s="90">
        <v>30</v>
      </c>
      <c r="D65" s="90">
        <v>9</v>
      </c>
      <c r="E65" s="90">
        <v>2015</v>
      </c>
      <c r="F65" s="65">
        <v>0.69</v>
      </c>
      <c r="G65" s="77">
        <v>0.53</v>
      </c>
      <c r="H65" s="77">
        <v>0.48</v>
      </c>
      <c r="I65" s="59">
        <v>0.4</v>
      </c>
      <c r="J65" s="59">
        <v>0.35</v>
      </c>
      <c r="K65" s="59">
        <v>0.25</v>
      </c>
      <c r="L65" s="59">
        <v>0.15</v>
      </c>
      <c r="M65" s="59">
        <v>0.13</v>
      </c>
      <c r="N65" s="59">
        <v>0.11</v>
      </c>
      <c r="O65" s="59">
        <v>2.5999999999999999E-2</v>
      </c>
      <c r="P65" s="59"/>
      <c r="Q65" s="59"/>
      <c r="R65" s="59"/>
      <c r="S65" s="60"/>
      <c r="T65" s="13">
        <f t="shared" si="21"/>
        <v>0.31159999999999999</v>
      </c>
      <c r="U65" s="4">
        <f t="shared" ca="1" si="22"/>
        <v>0</v>
      </c>
      <c r="V65" s="4">
        <f t="shared" ca="1" si="23"/>
        <v>213</v>
      </c>
      <c r="W65" s="4">
        <f t="shared" ca="1" si="24"/>
        <v>147</v>
      </c>
      <c r="X65" s="13">
        <f t="shared" ca="1" si="25"/>
        <v>0.50958333333333328</v>
      </c>
      <c r="Y65" s="5">
        <f t="shared" ca="1" si="26"/>
        <v>0.63537655113393221</v>
      </c>
      <c r="Z65" s="15">
        <f t="shared" si="27"/>
        <v>0.30188679245283012</v>
      </c>
      <c r="AA65" s="15">
        <f t="shared" si="28"/>
        <v>0.10416666666666674</v>
      </c>
      <c r="AB65" s="15">
        <f t="shared" si="29"/>
        <v>0.19999999999999996</v>
      </c>
      <c r="AC65" s="15">
        <f t="shared" si="30"/>
        <v>0.14285714285714302</v>
      </c>
      <c r="AD65" s="15">
        <f t="shared" si="31"/>
        <v>0.39999999999999991</v>
      </c>
      <c r="AE65" s="15">
        <f t="shared" si="32"/>
        <v>0.66666666666666674</v>
      </c>
      <c r="AF65" s="15">
        <f t="shared" si="33"/>
        <v>0.15384615384615374</v>
      </c>
      <c r="AG65" s="15">
        <f t="shared" si="34"/>
        <v>0.18181818181818188</v>
      </c>
      <c r="AH65" s="15">
        <f t="shared" si="35"/>
        <v>3.2307692307692308</v>
      </c>
      <c r="AI65" s="15" t="str">
        <f t="shared" si="36"/>
        <v/>
      </c>
      <c r="AJ65" s="15" t="str">
        <f t="shared" si="37"/>
        <v/>
      </c>
      <c r="AK65" s="15" t="str">
        <f t="shared" si="38"/>
        <v/>
      </c>
      <c r="AL65" s="15" t="str">
        <f t="shared" si="39"/>
        <v/>
      </c>
      <c r="AM65" s="5">
        <f t="shared" si="40"/>
        <v>0.10416666666666674</v>
      </c>
    </row>
    <row r="66" spans="1:39" x14ac:dyDescent="0.25">
      <c r="A66" s="52"/>
      <c r="B66" s="52"/>
      <c r="C66" s="90"/>
      <c r="D66" s="90"/>
      <c r="E66" s="90"/>
      <c r="F66" s="93"/>
      <c r="G66" s="94"/>
      <c r="H66" s="94"/>
      <c r="I66" s="95"/>
      <c r="J66" s="95"/>
      <c r="K66" s="95"/>
      <c r="L66" s="95"/>
      <c r="M66" s="95"/>
      <c r="N66" s="95"/>
      <c r="O66" s="95"/>
      <c r="P66" s="95"/>
      <c r="Q66" s="95"/>
      <c r="R66" s="95"/>
      <c r="S66" s="96"/>
      <c r="T66" s="13" t="e">
        <f t="shared" si="21"/>
        <v>#DIV/0!</v>
      </c>
      <c r="U66" s="4">
        <f t="shared" ca="1" si="22"/>
        <v>41553</v>
      </c>
      <c r="V66" s="4">
        <f t="shared" ca="1" si="23"/>
        <v>-41193</v>
      </c>
      <c r="W66" s="4" t="e">
        <f t="shared" ca="1" si="24"/>
        <v>#NUM!</v>
      </c>
      <c r="X66" s="13" t="e">
        <f t="shared" ca="1" si="25"/>
        <v>#NUM!</v>
      </c>
      <c r="Y66" s="5" t="e">
        <f t="shared" ca="1" si="26"/>
        <v>#NUM!</v>
      </c>
      <c r="Z66" s="15" t="str">
        <f t="shared" si="27"/>
        <v/>
      </c>
      <c r="AA66" s="15" t="str">
        <f t="shared" si="28"/>
        <v/>
      </c>
      <c r="AB66" s="15" t="str">
        <f t="shared" si="29"/>
        <v/>
      </c>
      <c r="AC66" s="15" t="str">
        <f t="shared" si="30"/>
        <v/>
      </c>
      <c r="AD66" s="15" t="str">
        <f t="shared" si="31"/>
        <v/>
      </c>
      <c r="AE66" s="15" t="str">
        <f t="shared" si="32"/>
        <v/>
      </c>
      <c r="AF66" s="15" t="str">
        <f t="shared" si="33"/>
        <v/>
      </c>
      <c r="AG66" s="15" t="str">
        <f t="shared" si="34"/>
        <v/>
      </c>
      <c r="AH66" s="15" t="str">
        <f t="shared" si="35"/>
        <v/>
      </c>
      <c r="AI66" s="15" t="str">
        <f t="shared" si="36"/>
        <v/>
      </c>
      <c r="AJ66" s="15" t="str">
        <f t="shared" si="37"/>
        <v/>
      </c>
      <c r="AK66" s="15" t="str">
        <f t="shared" si="38"/>
        <v/>
      </c>
      <c r="AL66" s="15" t="str">
        <f t="shared" si="39"/>
        <v/>
      </c>
      <c r="AM66" s="5">
        <f t="shared" si="40"/>
        <v>0</v>
      </c>
    </row>
    <row r="67" spans="1:39" x14ac:dyDescent="0.25">
      <c r="A67" s="52"/>
      <c r="B67" s="52"/>
      <c r="C67" s="90"/>
      <c r="D67" s="90"/>
      <c r="E67" s="90"/>
      <c r="F67" s="93"/>
      <c r="G67" s="94"/>
      <c r="H67" s="94"/>
      <c r="I67" s="95"/>
      <c r="J67" s="95"/>
      <c r="K67" s="95"/>
      <c r="L67" s="95"/>
      <c r="M67" s="95"/>
      <c r="N67" s="95"/>
      <c r="O67" s="95"/>
      <c r="P67" s="95"/>
      <c r="Q67" s="95"/>
      <c r="R67" s="95"/>
      <c r="S67" s="96"/>
      <c r="T67" s="13" t="e">
        <f t="shared" ref="T67:T101" si="41">AVERAGE(F67:S67)</f>
        <v>#DIV/0!</v>
      </c>
      <c r="U67" s="4">
        <f t="shared" ref="U67:U101" ca="1" si="42">IF(DAYS360(TODAY(),DATE(E67+2,D67,C67))&gt;=720,0,360-V67)</f>
        <v>41553</v>
      </c>
      <c r="V67" s="4">
        <f t="shared" ref="V67:V101" ca="1" si="43">IF(DAYS360(TODAY(),DATE(E67+1,D67,C67))&lt;=360,DAYS360(TODAY(),DATE(E67+1,D67,C67)),360-W67)</f>
        <v>-41193</v>
      </c>
      <c r="W67" s="4" t="e">
        <f t="shared" ref="W67:W101" ca="1" si="44">IF(DATE(E67,D67,C67)&lt;=TODAY(),0,DAYS360(TODAY(),DATE(E67,D67,C67)))</f>
        <v>#NUM!</v>
      </c>
      <c r="X67" s="13" t="e">
        <f t="shared" ref="X67:X101" ca="1" si="45">(F67/360*U67)+(G67/360*V67)+(H67/360*W67)</f>
        <v>#NUM!</v>
      </c>
      <c r="Y67" s="5" t="e">
        <f t="shared" ref="Y67:Y101" ca="1" si="46">IF(X67&lt;0,IF(X67&lt;0,((X67/T67)-1)*-1,(X67/T67)-1),IF(T67&lt;0,ABS((X67/T67)-1),(X67/T67)-1))</f>
        <v>#NUM!</v>
      </c>
      <c r="Z67" s="15" t="str">
        <f t="shared" ref="Z67:Z101" si="47">IF(F67&lt;&gt;"",IF(G67&lt;&gt;"",IF(G67=0,1,(F67/G67)-1),""),"")</f>
        <v/>
      </c>
      <c r="AA67" s="15" t="str">
        <f t="shared" ref="AA67:AA101" si="48">IF(G67&lt;&gt;"",IF(H67&lt;&gt;"",IF(H67=0,1,(G67/H67)-1),""),"")</f>
        <v/>
      </c>
      <c r="AB67" s="15" t="str">
        <f t="shared" ref="AB67:AB101" si="49">IF(H67&lt;&gt;"",IF(I67&lt;&gt;"",IF(I67=0,1,(H67/I67)-1),""),"")</f>
        <v/>
      </c>
      <c r="AC67" s="15" t="str">
        <f t="shared" ref="AC67:AC101" si="50">IF(I67&lt;&gt;"",IF(J67&lt;&gt;"",IF(J67=0,1,(I67/J67)-1),""),"")</f>
        <v/>
      </c>
      <c r="AD67" s="15" t="str">
        <f t="shared" ref="AD67:AD101" si="51">IF(J67&lt;&gt;"",IF(K67&lt;&gt;"",IF(K67=0,1,(J67/K67)-1),""),"")</f>
        <v/>
      </c>
      <c r="AE67" s="15" t="str">
        <f t="shared" ref="AE67:AE101" si="52">IF(K67&lt;&gt;"",IF(L67&lt;&gt;"",IF(L67=0,1,(K67/L67)-1),""),"")</f>
        <v/>
      </c>
      <c r="AF67" s="15" t="str">
        <f t="shared" ref="AF67:AF101" si="53">IF(L67&lt;&gt;"",IF(M67&lt;&gt;"",IF(M67=0,1,(L67/M67)-1),""),"")</f>
        <v/>
      </c>
      <c r="AG67" s="15" t="str">
        <f t="shared" ref="AG67:AG101" si="54">IF(M67&lt;&gt;"",IF(N67&lt;&gt;"",IF(N67=0,1,(M67/N67)-1),""),"")</f>
        <v/>
      </c>
      <c r="AH67" s="15" t="str">
        <f t="shared" ref="AH67:AH101" si="55">IF(N67&lt;&gt;"",IF(O67&lt;&gt;"",IF(O67=0,1,(N67/O67)-1),""),"")</f>
        <v/>
      </c>
      <c r="AI67" s="15" t="str">
        <f t="shared" ref="AI67:AI101" si="56">IF(O67&lt;&gt;"",IF(P67&lt;&gt;"",IF(P67=0,1,(O67/P67)-1),""),"")</f>
        <v/>
      </c>
      <c r="AJ67" s="15" t="str">
        <f t="shared" ref="AJ67:AJ101" si="57">IF(P67&lt;&gt;"",IF(Q67&lt;&gt;"",IF(Q67=0,1,(P67/Q67)-1),""),"")</f>
        <v/>
      </c>
      <c r="AK67" s="15" t="str">
        <f t="shared" ref="AK67:AK101" si="58">IF(Q67&lt;&gt;"",IF(R67&lt;&gt;"",IF(R67=0,1,(Q67/R67)-1),""),"")</f>
        <v/>
      </c>
      <c r="AL67" s="15" t="str">
        <f t="shared" ref="AL67:AL101" si="59">IF(R67&lt;&gt;"",IF(S67&lt;&gt;"",IF(S67=0,1,(R67/S67)-1),""),"")</f>
        <v/>
      </c>
      <c r="AM67" s="5">
        <f t="shared" ref="AM67:AM101" si="60">MIN(Z67:AL67)</f>
        <v>0</v>
      </c>
    </row>
    <row r="68" spans="1:39" x14ac:dyDescent="0.25">
      <c r="A68" s="52"/>
      <c r="B68" s="52"/>
      <c r="C68" s="90"/>
      <c r="D68" s="90"/>
      <c r="E68" s="90"/>
      <c r="F68" s="93"/>
      <c r="G68" s="94"/>
      <c r="H68" s="94"/>
      <c r="I68" s="95"/>
      <c r="J68" s="95"/>
      <c r="K68" s="95"/>
      <c r="L68" s="95"/>
      <c r="M68" s="95"/>
      <c r="N68" s="95"/>
      <c r="O68" s="95"/>
      <c r="P68" s="95"/>
      <c r="Q68" s="95"/>
      <c r="R68" s="95"/>
      <c r="S68" s="96"/>
      <c r="T68" s="13" t="e">
        <f t="shared" si="41"/>
        <v>#DIV/0!</v>
      </c>
      <c r="U68" s="4">
        <f t="shared" ca="1" si="42"/>
        <v>41553</v>
      </c>
      <c r="V68" s="4">
        <f t="shared" ca="1" si="43"/>
        <v>-41193</v>
      </c>
      <c r="W68" s="4" t="e">
        <f t="shared" ca="1" si="44"/>
        <v>#NUM!</v>
      </c>
      <c r="X68" s="13" t="e">
        <f t="shared" ca="1" si="45"/>
        <v>#NUM!</v>
      </c>
      <c r="Y68" s="5" t="e">
        <f t="shared" ca="1" si="46"/>
        <v>#NUM!</v>
      </c>
      <c r="Z68" s="15" t="str">
        <f t="shared" si="47"/>
        <v/>
      </c>
      <c r="AA68" s="15" t="str">
        <f t="shared" si="48"/>
        <v/>
      </c>
      <c r="AB68" s="15" t="str">
        <f t="shared" si="49"/>
        <v/>
      </c>
      <c r="AC68" s="15" t="str">
        <f t="shared" si="50"/>
        <v/>
      </c>
      <c r="AD68" s="15" t="str">
        <f t="shared" si="51"/>
        <v/>
      </c>
      <c r="AE68" s="15" t="str">
        <f t="shared" si="52"/>
        <v/>
      </c>
      <c r="AF68" s="15" t="str">
        <f t="shared" si="53"/>
        <v/>
      </c>
      <c r="AG68" s="15" t="str">
        <f t="shared" si="54"/>
        <v/>
      </c>
      <c r="AH68" s="15" t="str">
        <f t="shared" si="55"/>
        <v/>
      </c>
      <c r="AI68" s="15" t="str">
        <f t="shared" si="56"/>
        <v/>
      </c>
      <c r="AJ68" s="15" t="str">
        <f t="shared" si="57"/>
        <v/>
      </c>
      <c r="AK68" s="15" t="str">
        <f t="shared" si="58"/>
        <v/>
      </c>
      <c r="AL68" s="15" t="str">
        <f t="shared" si="59"/>
        <v/>
      </c>
      <c r="AM68" s="5">
        <f t="shared" si="60"/>
        <v>0</v>
      </c>
    </row>
    <row r="69" spans="1:39" x14ac:dyDescent="0.25">
      <c r="A69" s="52"/>
      <c r="B69" s="52"/>
      <c r="C69" s="90"/>
      <c r="D69" s="90"/>
      <c r="E69" s="90"/>
      <c r="F69" s="93"/>
      <c r="G69" s="94"/>
      <c r="H69" s="94"/>
      <c r="I69" s="95"/>
      <c r="J69" s="95"/>
      <c r="K69" s="95"/>
      <c r="L69" s="95"/>
      <c r="M69" s="95"/>
      <c r="N69" s="95"/>
      <c r="O69" s="95"/>
      <c r="P69" s="95"/>
      <c r="Q69" s="95"/>
      <c r="R69" s="95"/>
      <c r="S69" s="96"/>
      <c r="T69" s="13" t="e">
        <f t="shared" si="41"/>
        <v>#DIV/0!</v>
      </c>
      <c r="U69" s="4">
        <f t="shared" ca="1" si="42"/>
        <v>41553</v>
      </c>
      <c r="V69" s="4">
        <f t="shared" ca="1" si="43"/>
        <v>-41193</v>
      </c>
      <c r="W69" s="4" t="e">
        <f t="shared" ca="1" si="44"/>
        <v>#NUM!</v>
      </c>
      <c r="X69" s="13" t="e">
        <f t="shared" ca="1" si="45"/>
        <v>#NUM!</v>
      </c>
      <c r="Y69" s="5" t="e">
        <f t="shared" ca="1" si="46"/>
        <v>#NUM!</v>
      </c>
      <c r="Z69" s="15" t="str">
        <f t="shared" si="47"/>
        <v/>
      </c>
      <c r="AA69" s="15" t="str">
        <f t="shared" si="48"/>
        <v/>
      </c>
      <c r="AB69" s="15" t="str">
        <f t="shared" si="49"/>
        <v/>
      </c>
      <c r="AC69" s="15" t="str">
        <f t="shared" si="50"/>
        <v/>
      </c>
      <c r="AD69" s="15" t="str">
        <f t="shared" si="51"/>
        <v/>
      </c>
      <c r="AE69" s="15" t="str">
        <f t="shared" si="52"/>
        <v/>
      </c>
      <c r="AF69" s="15" t="str">
        <f t="shared" si="53"/>
        <v/>
      </c>
      <c r="AG69" s="15" t="str">
        <f t="shared" si="54"/>
        <v/>
      </c>
      <c r="AH69" s="15" t="str">
        <f t="shared" si="55"/>
        <v/>
      </c>
      <c r="AI69" s="15" t="str">
        <f t="shared" si="56"/>
        <v/>
      </c>
      <c r="AJ69" s="15" t="str">
        <f t="shared" si="57"/>
        <v/>
      </c>
      <c r="AK69" s="15" t="str">
        <f t="shared" si="58"/>
        <v/>
      </c>
      <c r="AL69" s="15" t="str">
        <f t="shared" si="59"/>
        <v/>
      </c>
      <c r="AM69" s="5">
        <f t="shared" si="60"/>
        <v>0</v>
      </c>
    </row>
    <row r="70" spans="1:39" x14ac:dyDescent="0.25">
      <c r="A70" s="52"/>
      <c r="B70" s="52"/>
      <c r="C70" s="90"/>
      <c r="D70" s="90"/>
      <c r="E70" s="90"/>
      <c r="F70" s="93"/>
      <c r="G70" s="94"/>
      <c r="H70" s="94"/>
      <c r="I70" s="95"/>
      <c r="J70" s="95"/>
      <c r="K70" s="95"/>
      <c r="L70" s="95"/>
      <c r="M70" s="95"/>
      <c r="N70" s="95"/>
      <c r="O70" s="95"/>
      <c r="P70" s="95"/>
      <c r="Q70" s="95"/>
      <c r="R70" s="95"/>
      <c r="S70" s="96"/>
      <c r="T70" s="13" t="e">
        <f t="shared" si="41"/>
        <v>#DIV/0!</v>
      </c>
      <c r="U70" s="4">
        <f t="shared" ca="1" si="42"/>
        <v>41553</v>
      </c>
      <c r="V70" s="4">
        <f t="shared" ca="1" si="43"/>
        <v>-41193</v>
      </c>
      <c r="W70" s="4" t="e">
        <f t="shared" ca="1" si="44"/>
        <v>#NUM!</v>
      </c>
      <c r="X70" s="13" t="e">
        <f t="shared" ca="1" si="45"/>
        <v>#NUM!</v>
      </c>
      <c r="Y70" s="5" t="e">
        <f t="shared" ca="1" si="46"/>
        <v>#NUM!</v>
      </c>
      <c r="Z70" s="15" t="str">
        <f t="shared" si="47"/>
        <v/>
      </c>
      <c r="AA70" s="15" t="str">
        <f t="shared" si="48"/>
        <v/>
      </c>
      <c r="AB70" s="15" t="str">
        <f t="shared" si="49"/>
        <v/>
      </c>
      <c r="AC70" s="15" t="str">
        <f t="shared" si="50"/>
        <v/>
      </c>
      <c r="AD70" s="15" t="str">
        <f t="shared" si="51"/>
        <v/>
      </c>
      <c r="AE70" s="15" t="str">
        <f t="shared" si="52"/>
        <v/>
      </c>
      <c r="AF70" s="15" t="str">
        <f t="shared" si="53"/>
        <v/>
      </c>
      <c r="AG70" s="15" t="str">
        <f t="shared" si="54"/>
        <v/>
      </c>
      <c r="AH70" s="15" t="str">
        <f t="shared" si="55"/>
        <v/>
      </c>
      <c r="AI70" s="15" t="str">
        <f t="shared" si="56"/>
        <v/>
      </c>
      <c r="AJ70" s="15" t="str">
        <f t="shared" si="57"/>
        <v/>
      </c>
      <c r="AK70" s="15" t="str">
        <f t="shared" si="58"/>
        <v/>
      </c>
      <c r="AL70" s="15" t="str">
        <f t="shared" si="59"/>
        <v/>
      </c>
      <c r="AM70" s="5">
        <f t="shared" si="60"/>
        <v>0</v>
      </c>
    </row>
    <row r="71" spans="1:39" x14ac:dyDescent="0.25">
      <c r="A71" s="52"/>
      <c r="B71" s="52"/>
      <c r="C71" s="90"/>
      <c r="D71" s="90"/>
      <c r="E71" s="90"/>
      <c r="F71" s="93"/>
      <c r="G71" s="94"/>
      <c r="H71" s="94"/>
      <c r="I71" s="95"/>
      <c r="J71" s="95"/>
      <c r="K71" s="95"/>
      <c r="L71" s="95"/>
      <c r="M71" s="95"/>
      <c r="N71" s="95"/>
      <c r="O71" s="95"/>
      <c r="P71" s="95"/>
      <c r="Q71" s="95"/>
      <c r="R71" s="95"/>
      <c r="S71" s="96"/>
      <c r="T71" s="13" t="e">
        <f t="shared" si="41"/>
        <v>#DIV/0!</v>
      </c>
      <c r="U71" s="4">
        <f t="shared" ca="1" si="42"/>
        <v>41553</v>
      </c>
      <c r="V71" s="4">
        <f t="shared" ca="1" si="43"/>
        <v>-41193</v>
      </c>
      <c r="W71" s="4" t="e">
        <f t="shared" ca="1" si="44"/>
        <v>#NUM!</v>
      </c>
      <c r="X71" s="13" t="e">
        <f t="shared" ca="1" si="45"/>
        <v>#NUM!</v>
      </c>
      <c r="Y71" s="5" t="e">
        <f t="shared" ca="1" si="46"/>
        <v>#NUM!</v>
      </c>
      <c r="Z71" s="15" t="str">
        <f t="shared" si="47"/>
        <v/>
      </c>
      <c r="AA71" s="15" t="str">
        <f t="shared" si="48"/>
        <v/>
      </c>
      <c r="AB71" s="15" t="str">
        <f t="shared" si="49"/>
        <v/>
      </c>
      <c r="AC71" s="15" t="str">
        <f t="shared" si="50"/>
        <v/>
      </c>
      <c r="AD71" s="15" t="str">
        <f t="shared" si="51"/>
        <v/>
      </c>
      <c r="AE71" s="15" t="str">
        <f t="shared" si="52"/>
        <v/>
      </c>
      <c r="AF71" s="15" t="str">
        <f t="shared" si="53"/>
        <v/>
      </c>
      <c r="AG71" s="15" t="str">
        <f t="shared" si="54"/>
        <v/>
      </c>
      <c r="AH71" s="15" t="str">
        <f t="shared" si="55"/>
        <v/>
      </c>
      <c r="AI71" s="15" t="str">
        <f t="shared" si="56"/>
        <v/>
      </c>
      <c r="AJ71" s="15" t="str">
        <f t="shared" si="57"/>
        <v/>
      </c>
      <c r="AK71" s="15" t="str">
        <f t="shared" si="58"/>
        <v/>
      </c>
      <c r="AL71" s="15" t="str">
        <f t="shared" si="59"/>
        <v/>
      </c>
      <c r="AM71" s="5">
        <f t="shared" si="60"/>
        <v>0</v>
      </c>
    </row>
    <row r="72" spans="1:39" x14ac:dyDescent="0.25">
      <c r="A72" s="52"/>
      <c r="B72" s="52"/>
      <c r="C72" s="90"/>
      <c r="D72" s="90"/>
      <c r="E72" s="90"/>
      <c r="F72" s="93"/>
      <c r="G72" s="94"/>
      <c r="H72" s="94"/>
      <c r="I72" s="95"/>
      <c r="J72" s="95"/>
      <c r="K72" s="95"/>
      <c r="L72" s="95"/>
      <c r="M72" s="95"/>
      <c r="N72" s="95"/>
      <c r="O72" s="95"/>
      <c r="P72" s="95"/>
      <c r="Q72" s="95"/>
      <c r="R72" s="95"/>
      <c r="S72" s="96"/>
      <c r="T72" s="13" t="e">
        <f t="shared" si="41"/>
        <v>#DIV/0!</v>
      </c>
      <c r="U72" s="4">
        <f t="shared" ca="1" si="42"/>
        <v>41553</v>
      </c>
      <c r="V72" s="4">
        <f t="shared" ca="1" si="43"/>
        <v>-41193</v>
      </c>
      <c r="W72" s="4" t="e">
        <f t="shared" ca="1" si="44"/>
        <v>#NUM!</v>
      </c>
      <c r="X72" s="13" t="e">
        <f t="shared" ca="1" si="45"/>
        <v>#NUM!</v>
      </c>
      <c r="Y72" s="5" t="e">
        <f t="shared" ca="1" si="46"/>
        <v>#NUM!</v>
      </c>
      <c r="Z72" s="15" t="str">
        <f t="shared" si="47"/>
        <v/>
      </c>
      <c r="AA72" s="15" t="str">
        <f t="shared" si="48"/>
        <v/>
      </c>
      <c r="AB72" s="15" t="str">
        <f t="shared" si="49"/>
        <v/>
      </c>
      <c r="AC72" s="15" t="str">
        <f t="shared" si="50"/>
        <v/>
      </c>
      <c r="AD72" s="15" t="str">
        <f t="shared" si="51"/>
        <v/>
      </c>
      <c r="AE72" s="15" t="str">
        <f t="shared" si="52"/>
        <v/>
      </c>
      <c r="AF72" s="15" t="str">
        <f t="shared" si="53"/>
        <v/>
      </c>
      <c r="AG72" s="15" t="str">
        <f t="shared" si="54"/>
        <v/>
      </c>
      <c r="AH72" s="15" t="str">
        <f t="shared" si="55"/>
        <v/>
      </c>
      <c r="AI72" s="15" t="str">
        <f t="shared" si="56"/>
        <v/>
      </c>
      <c r="AJ72" s="15" t="str">
        <f t="shared" si="57"/>
        <v/>
      </c>
      <c r="AK72" s="15" t="str">
        <f t="shared" si="58"/>
        <v/>
      </c>
      <c r="AL72" s="15" t="str">
        <f t="shared" si="59"/>
        <v/>
      </c>
      <c r="AM72" s="5">
        <f t="shared" si="60"/>
        <v>0</v>
      </c>
    </row>
    <row r="73" spans="1:39" x14ac:dyDescent="0.25">
      <c r="A73" s="52"/>
      <c r="B73" s="52"/>
      <c r="C73" s="90"/>
      <c r="D73" s="90"/>
      <c r="E73" s="90"/>
      <c r="F73" s="93"/>
      <c r="G73" s="94"/>
      <c r="H73" s="94"/>
      <c r="I73" s="95"/>
      <c r="J73" s="95"/>
      <c r="K73" s="95"/>
      <c r="L73" s="95"/>
      <c r="M73" s="95"/>
      <c r="N73" s="95"/>
      <c r="O73" s="95"/>
      <c r="P73" s="95"/>
      <c r="Q73" s="95"/>
      <c r="R73" s="95"/>
      <c r="S73" s="96"/>
      <c r="T73" s="13" t="e">
        <f t="shared" si="41"/>
        <v>#DIV/0!</v>
      </c>
      <c r="U73" s="4">
        <f t="shared" ca="1" si="42"/>
        <v>41553</v>
      </c>
      <c r="V73" s="4">
        <f t="shared" ca="1" si="43"/>
        <v>-41193</v>
      </c>
      <c r="W73" s="4" t="e">
        <f t="shared" ca="1" si="44"/>
        <v>#NUM!</v>
      </c>
      <c r="X73" s="13" t="e">
        <f t="shared" ca="1" si="45"/>
        <v>#NUM!</v>
      </c>
      <c r="Y73" s="5" t="e">
        <f t="shared" ca="1" si="46"/>
        <v>#NUM!</v>
      </c>
      <c r="Z73" s="15" t="str">
        <f t="shared" si="47"/>
        <v/>
      </c>
      <c r="AA73" s="15" t="str">
        <f t="shared" si="48"/>
        <v/>
      </c>
      <c r="AB73" s="15" t="str">
        <f t="shared" si="49"/>
        <v/>
      </c>
      <c r="AC73" s="15" t="str">
        <f t="shared" si="50"/>
        <v/>
      </c>
      <c r="AD73" s="15" t="str">
        <f t="shared" si="51"/>
        <v/>
      </c>
      <c r="AE73" s="15" t="str">
        <f t="shared" si="52"/>
        <v/>
      </c>
      <c r="AF73" s="15" t="str">
        <f t="shared" si="53"/>
        <v/>
      </c>
      <c r="AG73" s="15" t="str">
        <f t="shared" si="54"/>
        <v/>
      </c>
      <c r="AH73" s="15" t="str">
        <f t="shared" si="55"/>
        <v/>
      </c>
      <c r="AI73" s="15" t="str">
        <f t="shared" si="56"/>
        <v/>
      </c>
      <c r="AJ73" s="15" t="str">
        <f t="shared" si="57"/>
        <v/>
      </c>
      <c r="AK73" s="15" t="str">
        <f t="shared" si="58"/>
        <v/>
      </c>
      <c r="AL73" s="15" t="str">
        <f t="shared" si="59"/>
        <v/>
      </c>
      <c r="AM73" s="5">
        <f t="shared" si="60"/>
        <v>0</v>
      </c>
    </row>
    <row r="74" spans="1:39" x14ac:dyDescent="0.25">
      <c r="A74" s="52"/>
      <c r="B74" s="52"/>
      <c r="C74" s="90"/>
      <c r="D74" s="90"/>
      <c r="E74" s="90"/>
      <c r="F74" s="93"/>
      <c r="G74" s="94"/>
      <c r="H74" s="94"/>
      <c r="I74" s="95"/>
      <c r="J74" s="95"/>
      <c r="K74" s="95"/>
      <c r="L74" s="95"/>
      <c r="M74" s="95"/>
      <c r="N74" s="95"/>
      <c r="O74" s="95"/>
      <c r="P74" s="95"/>
      <c r="Q74" s="95"/>
      <c r="R74" s="95"/>
      <c r="S74" s="96"/>
      <c r="T74" s="13" t="e">
        <f t="shared" si="41"/>
        <v>#DIV/0!</v>
      </c>
      <c r="U74" s="4">
        <f t="shared" ca="1" si="42"/>
        <v>41553</v>
      </c>
      <c r="V74" s="4">
        <f t="shared" ca="1" si="43"/>
        <v>-41193</v>
      </c>
      <c r="W74" s="4" t="e">
        <f t="shared" ca="1" si="44"/>
        <v>#NUM!</v>
      </c>
      <c r="X74" s="13" t="e">
        <f t="shared" ca="1" si="45"/>
        <v>#NUM!</v>
      </c>
      <c r="Y74" s="5" t="e">
        <f t="shared" ca="1" si="46"/>
        <v>#NUM!</v>
      </c>
      <c r="Z74" s="15" t="str">
        <f t="shared" si="47"/>
        <v/>
      </c>
      <c r="AA74" s="15" t="str">
        <f t="shared" si="48"/>
        <v/>
      </c>
      <c r="AB74" s="15" t="str">
        <f t="shared" si="49"/>
        <v/>
      </c>
      <c r="AC74" s="15" t="str">
        <f t="shared" si="50"/>
        <v/>
      </c>
      <c r="AD74" s="15" t="str">
        <f t="shared" si="51"/>
        <v/>
      </c>
      <c r="AE74" s="15" t="str">
        <f t="shared" si="52"/>
        <v/>
      </c>
      <c r="AF74" s="15" t="str">
        <f t="shared" si="53"/>
        <v/>
      </c>
      <c r="AG74" s="15" t="str">
        <f t="shared" si="54"/>
        <v/>
      </c>
      <c r="AH74" s="15" t="str">
        <f t="shared" si="55"/>
        <v/>
      </c>
      <c r="AI74" s="15" t="str">
        <f t="shared" si="56"/>
        <v/>
      </c>
      <c r="AJ74" s="15" t="str">
        <f t="shared" si="57"/>
        <v/>
      </c>
      <c r="AK74" s="15" t="str">
        <f t="shared" si="58"/>
        <v/>
      </c>
      <c r="AL74" s="15" t="str">
        <f t="shared" si="59"/>
        <v/>
      </c>
      <c r="AM74" s="5">
        <f t="shared" si="60"/>
        <v>0</v>
      </c>
    </row>
    <row r="75" spans="1:39" x14ac:dyDescent="0.25">
      <c r="A75" s="52"/>
      <c r="B75" s="52"/>
      <c r="C75" s="90"/>
      <c r="D75" s="90"/>
      <c r="E75" s="90"/>
      <c r="F75" s="93"/>
      <c r="G75" s="94"/>
      <c r="H75" s="94"/>
      <c r="I75" s="95"/>
      <c r="J75" s="95"/>
      <c r="K75" s="95"/>
      <c r="L75" s="95"/>
      <c r="M75" s="95"/>
      <c r="N75" s="95"/>
      <c r="O75" s="95"/>
      <c r="P75" s="95"/>
      <c r="Q75" s="95"/>
      <c r="R75" s="95"/>
      <c r="S75" s="96"/>
      <c r="T75" s="13" t="e">
        <f t="shared" si="41"/>
        <v>#DIV/0!</v>
      </c>
      <c r="U75" s="4">
        <f t="shared" ca="1" si="42"/>
        <v>41553</v>
      </c>
      <c r="V75" s="4">
        <f t="shared" ca="1" si="43"/>
        <v>-41193</v>
      </c>
      <c r="W75" s="4" t="e">
        <f t="shared" ca="1" si="44"/>
        <v>#NUM!</v>
      </c>
      <c r="X75" s="13" t="e">
        <f t="shared" ca="1" si="45"/>
        <v>#NUM!</v>
      </c>
      <c r="Y75" s="5" t="e">
        <f t="shared" ca="1" si="46"/>
        <v>#NUM!</v>
      </c>
      <c r="Z75" s="15" t="str">
        <f t="shared" si="47"/>
        <v/>
      </c>
      <c r="AA75" s="15" t="str">
        <f t="shared" si="48"/>
        <v/>
      </c>
      <c r="AB75" s="15" t="str">
        <f t="shared" si="49"/>
        <v/>
      </c>
      <c r="AC75" s="15" t="str">
        <f t="shared" si="50"/>
        <v/>
      </c>
      <c r="AD75" s="15" t="str">
        <f t="shared" si="51"/>
        <v/>
      </c>
      <c r="AE75" s="15" t="str">
        <f t="shared" si="52"/>
        <v/>
      </c>
      <c r="AF75" s="15" t="str">
        <f t="shared" si="53"/>
        <v/>
      </c>
      <c r="AG75" s="15" t="str">
        <f t="shared" si="54"/>
        <v/>
      </c>
      <c r="AH75" s="15" t="str">
        <f t="shared" si="55"/>
        <v/>
      </c>
      <c r="AI75" s="15" t="str">
        <f t="shared" si="56"/>
        <v/>
      </c>
      <c r="AJ75" s="15" t="str">
        <f t="shared" si="57"/>
        <v/>
      </c>
      <c r="AK75" s="15" t="str">
        <f t="shared" si="58"/>
        <v/>
      </c>
      <c r="AL75" s="15" t="str">
        <f t="shared" si="59"/>
        <v/>
      </c>
      <c r="AM75" s="5">
        <f t="shared" si="60"/>
        <v>0</v>
      </c>
    </row>
    <row r="76" spans="1:39" x14ac:dyDescent="0.25">
      <c r="A76" s="52"/>
      <c r="B76" s="52"/>
      <c r="C76" s="90"/>
      <c r="D76" s="90"/>
      <c r="E76" s="90"/>
      <c r="F76" s="93"/>
      <c r="G76" s="94"/>
      <c r="H76" s="94"/>
      <c r="I76" s="95"/>
      <c r="J76" s="95"/>
      <c r="K76" s="95"/>
      <c r="L76" s="95"/>
      <c r="M76" s="95"/>
      <c r="N76" s="95"/>
      <c r="O76" s="95"/>
      <c r="P76" s="95"/>
      <c r="Q76" s="95"/>
      <c r="R76" s="95"/>
      <c r="S76" s="96"/>
      <c r="T76" s="13" t="e">
        <f t="shared" si="41"/>
        <v>#DIV/0!</v>
      </c>
      <c r="U76" s="4">
        <f t="shared" ca="1" si="42"/>
        <v>41553</v>
      </c>
      <c r="V76" s="4">
        <f t="shared" ca="1" si="43"/>
        <v>-41193</v>
      </c>
      <c r="W76" s="4" t="e">
        <f t="shared" ca="1" si="44"/>
        <v>#NUM!</v>
      </c>
      <c r="X76" s="13" t="e">
        <f t="shared" ca="1" si="45"/>
        <v>#NUM!</v>
      </c>
      <c r="Y76" s="5" t="e">
        <f t="shared" ca="1" si="46"/>
        <v>#NUM!</v>
      </c>
      <c r="Z76" s="15" t="str">
        <f t="shared" si="47"/>
        <v/>
      </c>
      <c r="AA76" s="15" t="str">
        <f t="shared" si="48"/>
        <v/>
      </c>
      <c r="AB76" s="15" t="str">
        <f t="shared" si="49"/>
        <v/>
      </c>
      <c r="AC76" s="15" t="str">
        <f t="shared" si="50"/>
        <v/>
      </c>
      <c r="AD76" s="15" t="str">
        <f t="shared" si="51"/>
        <v/>
      </c>
      <c r="AE76" s="15" t="str">
        <f t="shared" si="52"/>
        <v/>
      </c>
      <c r="AF76" s="15" t="str">
        <f t="shared" si="53"/>
        <v/>
      </c>
      <c r="AG76" s="15" t="str">
        <f t="shared" si="54"/>
        <v/>
      </c>
      <c r="AH76" s="15" t="str">
        <f t="shared" si="55"/>
        <v/>
      </c>
      <c r="AI76" s="15" t="str">
        <f t="shared" si="56"/>
        <v/>
      </c>
      <c r="AJ76" s="15" t="str">
        <f t="shared" si="57"/>
        <v/>
      </c>
      <c r="AK76" s="15" t="str">
        <f t="shared" si="58"/>
        <v/>
      </c>
      <c r="AL76" s="15" t="str">
        <f t="shared" si="59"/>
        <v/>
      </c>
      <c r="AM76" s="5">
        <f t="shared" si="60"/>
        <v>0</v>
      </c>
    </row>
    <row r="77" spans="1:39" x14ac:dyDescent="0.25">
      <c r="A77" s="52"/>
      <c r="B77" s="52"/>
      <c r="C77" s="90"/>
      <c r="D77" s="90"/>
      <c r="E77" s="90"/>
      <c r="F77" s="93"/>
      <c r="G77" s="94"/>
      <c r="H77" s="94"/>
      <c r="I77" s="95"/>
      <c r="J77" s="95"/>
      <c r="K77" s="95"/>
      <c r="L77" s="95"/>
      <c r="M77" s="95"/>
      <c r="N77" s="95"/>
      <c r="O77" s="95"/>
      <c r="P77" s="95"/>
      <c r="Q77" s="95"/>
      <c r="R77" s="95"/>
      <c r="S77" s="96"/>
      <c r="T77" s="13" t="e">
        <f t="shared" si="41"/>
        <v>#DIV/0!</v>
      </c>
      <c r="U77" s="4">
        <f t="shared" ca="1" si="42"/>
        <v>41553</v>
      </c>
      <c r="V77" s="4">
        <f t="shared" ca="1" si="43"/>
        <v>-41193</v>
      </c>
      <c r="W77" s="4" t="e">
        <f t="shared" ca="1" si="44"/>
        <v>#NUM!</v>
      </c>
      <c r="X77" s="13" t="e">
        <f t="shared" ca="1" si="45"/>
        <v>#NUM!</v>
      </c>
      <c r="Y77" s="5" t="e">
        <f t="shared" ca="1" si="46"/>
        <v>#NUM!</v>
      </c>
      <c r="Z77" s="15" t="str">
        <f t="shared" si="47"/>
        <v/>
      </c>
      <c r="AA77" s="15" t="str">
        <f t="shared" si="48"/>
        <v/>
      </c>
      <c r="AB77" s="15" t="str">
        <f t="shared" si="49"/>
        <v/>
      </c>
      <c r="AC77" s="15" t="str">
        <f t="shared" si="50"/>
        <v/>
      </c>
      <c r="AD77" s="15" t="str">
        <f t="shared" si="51"/>
        <v/>
      </c>
      <c r="AE77" s="15" t="str">
        <f t="shared" si="52"/>
        <v/>
      </c>
      <c r="AF77" s="15" t="str">
        <f t="shared" si="53"/>
        <v/>
      </c>
      <c r="AG77" s="15" t="str">
        <f t="shared" si="54"/>
        <v/>
      </c>
      <c r="AH77" s="15" t="str">
        <f t="shared" si="55"/>
        <v/>
      </c>
      <c r="AI77" s="15" t="str">
        <f t="shared" si="56"/>
        <v/>
      </c>
      <c r="AJ77" s="15" t="str">
        <f t="shared" si="57"/>
        <v/>
      </c>
      <c r="AK77" s="15" t="str">
        <f t="shared" si="58"/>
        <v/>
      </c>
      <c r="AL77" s="15" t="str">
        <f t="shared" si="59"/>
        <v/>
      </c>
      <c r="AM77" s="5">
        <f t="shared" si="60"/>
        <v>0</v>
      </c>
    </row>
    <row r="78" spans="1:39" x14ac:dyDescent="0.25">
      <c r="A78" s="52"/>
      <c r="B78" s="52"/>
      <c r="C78" s="90"/>
      <c r="D78" s="90"/>
      <c r="E78" s="90"/>
      <c r="F78" s="93"/>
      <c r="G78" s="94"/>
      <c r="H78" s="94"/>
      <c r="I78" s="95"/>
      <c r="J78" s="95"/>
      <c r="K78" s="95"/>
      <c r="L78" s="95"/>
      <c r="M78" s="95"/>
      <c r="N78" s="95"/>
      <c r="O78" s="95"/>
      <c r="P78" s="95"/>
      <c r="Q78" s="95"/>
      <c r="R78" s="95"/>
      <c r="S78" s="96"/>
      <c r="T78" s="13" t="e">
        <f t="shared" si="41"/>
        <v>#DIV/0!</v>
      </c>
      <c r="U78" s="4">
        <f t="shared" ca="1" si="42"/>
        <v>41553</v>
      </c>
      <c r="V78" s="4">
        <f t="shared" ca="1" si="43"/>
        <v>-41193</v>
      </c>
      <c r="W78" s="4" t="e">
        <f t="shared" ca="1" si="44"/>
        <v>#NUM!</v>
      </c>
      <c r="X78" s="13" t="e">
        <f t="shared" ca="1" si="45"/>
        <v>#NUM!</v>
      </c>
      <c r="Y78" s="5" t="e">
        <f t="shared" ca="1" si="46"/>
        <v>#NUM!</v>
      </c>
      <c r="Z78" s="15" t="str">
        <f t="shared" si="47"/>
        <v/>
      </c>
      <c r="AA78" s="15" t="str">
        <f t="shared" si="48"/>
        <v/>
      </c>
      <c r="AB78" s="15" t="str">
        <f t="shared" si="49"/>
        <v/>
      </c>
      <c r="AC78" s="15" t="str">
        <f t="shared" si="50"/>
        <v/>
      </c>
      <c r="AD78" s="15" t="str">
        <f t="shared" si="51"/>
        <v/>
      </c>
      <c r="AE78" s="15" t="str">
        <f t="shared" si="52"/>
        <v/>
      </c>
      <c r="AF78" s="15" t="str">
        <f t="shared" si="53"/>
        <v/>
      </c>
      <c r="AG78" s="15" t="str">
        <f t="shared" si="54"/>
        <v/>
      </c>
      <c r="AH78" s="15" t="str">
        <f t="shared" si="55"/>
        <v/>
      </c>
      <c r="AI78" s="15" t="str">
        <f t="shared" si="56"/>
        <v/>
      </c>
      <c r="AJ78" s="15" t="str">
        <f t="shared" si="57"/>
        <v/>
      </c>
      <c r="AK78" s="15" t="str">
        <f t="shared" si="58"/>
        <v/>
      </c>
      <c r="AL78" s="15" t="str">
        <f t="shared" si="59"/>
        <v/>
      </c>
      <c r="AM78" s="5">
        <f t="shared" si="60"/>
        <v>0</v>
      </c>
    </row>
    <row r="79" spans="1:39" x14ac:dyDescent="0.25">
      <c r="A79" s="52"/>
      <c r="B79" s="52"/>
      <c r="C79" s="90"/>
      <c r="D79" s="90"/>
      <c r="E79" s="90"/>
      <c r="F79" s="93"/>
      <c r="G79" s="94"/>
      <c r="H79" s="94"/>
      <c r="I79" s="95"/>
      <c r="J79" s="95"/>
      <c r="K79" s="95"/>
      <c r="L79" s="95"/>
      <c r="M79" s="95"/>
      <c r="N79" s="95"/>
      <c r="O79" s="95"/>
      <c r="P79" s="95"/>
      <c r="Q79" s="95"/>
      <c r="R79" s="95"/>
      <c r="S79" s="96"/>
      <c r="T79" s="13" t="e">
        <f t="shared" si="41"/>
        <v>#DIV/0!</v>
      </c>
      <c r="U79" s="4">
        <f t="shared" ca="1" si="42"/>
        <v>41553</v>
      </c>
      <c r="V79" s="4">
        <f t="shared" ca="1" si="43"/>
        <v>-41193</v>
      </c>
      <c r="W79" s="4" t="e">
        <f t="shared" ca="1" si="44"/>
        <v>#NUM!</v>
      </c>
      <c r="X79" s="13" t="e">
        <f t="shared" ca="1" si="45"/>
        <v>#NUM!</v>
      </c>
      <c r="Y79" s="5" t="e">
        <f t="shared" ca="1" si="46"/>
        <v>#NUM!</v>
      </c>
      <c r="Z79" s="15" t="str">
        <f t="shared" si="47"/>
        <v/>
      </c>
      <c r="AA79" s="15" t="str">
        <f t="shared" si="48"/>
        <v/>
      </c>
      <c r="AB79" s="15" t="str">
        <f t="shared" si="49"/>
        <v/>
      </c>
      <c r="AC79" s="15" t="str">
        <f t="shared" si="50"/>
        <v/>
      </c>
      <c r="AD79" s="15" t="str">
        <f t="shared" si="51"/>
        <v/>
      </c>
      <c r="AE79" s="15" t="str">
        <f t="shared" si="52"/>
        <v/>
      </c>
      <c r="AF79" s="15" t="str">
        <f t="shared" si="53"/>
        <v/>
      </c>
      <c r="AG79" s="15" t="str">
        <f t="shared" si="54"/>
        <v/>
      </c>
      <c r="AH79" s="15" t="str">
        <f t="shared" si="55"/>
        <v/>
      </c>
      <c r="AI79" s="15" t="str">
        <f t="shared" si="56"/>
        <v/>
      </c>
      <c r="AJ79" s="15" t="str">
        <f t="shared" si="57"/>
        <v/>
      </c>
      <c r="AK79" s="15" t="str">
        <f t="shared" si="58"/>
        <v/>
      </c>
      <c r="AL79" s="15" t="str">
        <f t="shared" si="59"/>
        <v/>
      </c>
      <c r="AM79" s="5">
        <f t="shared" si="60"/>
        <v>0</v>
      </c>
    </row>
    <row r="80" spans="1:39" x14ac:dyDescent="0.25">
      <c r="A80" s="52"/>
      <c r="B80" s="52"/>
      <c r="C80" s="90"/>
      <c r="D80" s="90"/>
      <c r="E80" s="90"/>
      <c r="F80" s="93"/>
      <c r="G80" s="94"/>
      <c r="H80" s="94"/>
      <c r="I80" s="95"/>
      <c r="J80" s="95"/>
      <c r="K80" s="95"/>
      <c r="L80" s="95"/>
      <c r="M80" s="95"/>
      <c r="N80" s="95"/>
      <c r="O80" s="95"/>
      <c r="P80" s="95"/>
      <c r="Q80" s="95"/>
      <c r="R80" s="95"/>
      <c r="S80" s="96"/>
      <c r="T80" s="13" t="e">
        <f t="shared" si="41"/>
        <v>#DIV/0!</v>
      </c>
      <c r="U80" s="4">
        <f t="shared" ca="1" si="42"/>
        <v>41553</v>
      </c>
      <c r="V80" s="4">
        <f t="shared" ca="1" si="43"/>
        <v>-41193</v>
      </c>
      <c r="W80" s="4" t="e">
        <f t="shared" ca="1" si="44"/>
        <v>#NUM!</v>
      </c>
      <c r="X80" s="13" t="e">
        <f t="shared" ca="1" si="45"/>
        <v>#NUM!</v>
      </c>
      <c r="Y80" s="5" t="e">
        <f t="shared" ca="1" si="46"/>
        <v>#NUM!</v>
      </c>
      <c r="Z80" s="15" t="str">
        <f t="shared" si="47"/>
        <v/>
      </c>
      <c r="AA80" s="15" t="str">
        <f t="shared" si="48"/>
        <v/>
      </c>
      <c r="AB80" s="15" t="str">
        <f t="shared" si="49"/>
        <v/>
      </c>
      <c r="AC80" s="15" t="str">
        <f t="shared" si="50"/>
        <v/>
      </c>
      <c r="AD80" s="15" t="str">
        <f t="shared" si="51"/>
        <v/>
      </c>
      <c r="AE80" s="15" t="str">
        <f t="shared" si="52"/>
        <v/>
      </c>
      <c r="AF80" s="15" t="str">
        <f t="shared" si="53"/>
        <v/>
      </c>
      <c r="AG80" s="15" t="str">
        <f t="shared" si="54"/>
        <v/>
      </c>
      <c r="AH80" s="15" t="str">
        <f t="shared" si="55"/>
        <v/>
      </c>
      <c r="AI80" s="15" t="str">
        <f t="shared" si="56"/>
        <v/>
      </c>
      <c r="AJ80" s="15" t="str">
        <f t="shared" si="57"/>
        <v/>
      </c>
      <c r="AK80" s="15" t="str">
        <f t="shared" si="58"/>
        <v/>
      </c>
      <c r="AL80" s="15" t="str">
        <f t="shared" si="59"/>
        <v/>
      </c>
      <c r="AM80" s="5">
        <f t="shared" si="60"/>
        <v>0</v>
      </c>
    </row>
    <row r="81" spans="1:39" x14ac:dyDescent="0.25">
      <c r="A81" s="52"/>
      <c r="B81" s="52"/>
      <c r="C81" s="90"/>
      <c r="D81" s="90"/>
      <c r="E81" s="90"/>
      <c r="F81" s="93"/>
      <c r="G81" s="94"/>
      <c r="H81" s="94"/>
      <c r="I81" s="95"/>
      <c r="J81" s="95"/>
      <c r="K81" s="95"/>
      <c r="L81" s="95"/>
      <c r="M81" s="95"/>
      <c r="N81" s="95"/>
      <c r="O81" s="95"/>
      <c r="P81" s="95"/>
      <c r="Q81" s="95"/>
      <c r="R81" s="95"/>
      <c r="S81" s="96"/>
      <c r="T81" s="13" t="e">
        <f t="shared" si="41"/>
        <v>#DIV/0!</v>
      </c>
      <c r="U81" s="4">
        <f t="shared" ca="1" si="42"/>
        <v>41553</v>
      </c>
      <c r="V81" s="4">
        <f t="shared" ca="1" si="43"/>
        <v>-41193</v>
      </c>
      <c r="W81" s="4" t="e">
        <f t="shared" ca="1" si="44"/>
        <v>#NUM!</v>
      </c>
      <c r="X81" s="13" t="e">
        <f t="shared" ca="1" si="45"/>
        <v>#NUM!</v>
      </c>
      <c r="Y81" s="5" t="e">
        <f t="shared" ca="1" si="46"/>
        <v>#NUM!</v>
      </c>
      <c r="Z81" s="15" t="str">
        <f t="shared" si="47"/>
        <v/>
      </c>
      <c r="AA81" s="15" t="str">
        <f t="shared" si="48"/>
        <v/>
      </c>
      <c r="AB81" s="15" t="str">
        <f t="shared" si="49"/>
        <v/>
      </c>
      <c r="AC81" s="15" t="str">
        <f t="shared" si="50"/>
        <v/>
      </c>
      <c r="AD81" s="15" t="str">
        <f t="shared" si="51"/>
        <v/>
      </c>
      <c r="AE81" s="15" t="str">
        <f t="shared" si="52"/>
        <v/>
      </c>
      <c r="AF81" s="15" t="str">
        <f t="shared" si="53"/>
        <v/>
      </c>
      <c r="AG81" s="15" t="str">
        <f t="shared" si="54"/>
        <v/>
      </c>
      <c r="AH81" s="15" t="str">
        <f t="shared" si="55"/>
        <v/>
      </c>
      <c r="AI81" s="15" t="str">
        <f t="shared" si="56"/>
        <v/>
      </c>
      <c r="AJ81" s="15" t="str">
        <f t="shared" si="57"/>
        <v/>
      </c>
      <c r="AK81" s="15" t="str">
        <f t="shared" si="58"/>
        <v/>
      </c>
      <c r="AL81" s="15" t="str">
        <f t="shared" si="59"/>
        <v/>
      </c>
      <c r="AM81" s="5">
        <f t="shared" si="60"/>
        <v>0</v>
      </c>
    </row>
    <row r="82" spans="1:39" x14ac:dyDescent="0.25">
      <c r="A82" s="52"/>
      <c r="B82" s="52"/>
      <c r="C82" s="90"/>
      <c r="D82" s="90"/>
      <c r="E82" s="90"/>
      <c r="F82" s="93"/>
      <c r="G82" s="94"/>
      <c r="H82" s="94"/>
      <c r="I82" s="95"/>
      <c r="J82" s="95"/>
      <c r="K82" s="95"/>
      <c r="L82" s="95"/>
      <c r="M82" s="95"/>
      <c r="N82" s="95"/>
      <c r="O82" s="95"/>
      <c r="P82" s="95"/>
      <c r="Q82" s="95"/>
      <c r="R82" s="95"/>
      <c r="S82" s="96"/>
      <c r="T82" s="13" t="e">
        <f t="shared" si="41"/>
        <v>#DIV/0!</v>
      </c>
      <c r="U82" s="4">
        <f t="shared" ca="1" si="42"/>
        <v>41553</v>
      </c>
      <c r="V82" s="4">
        <f t="shared" ca="1" si="43"/>
        <v>-41193</v>
      </c>
      <c r="W82" s="4" t="e">
        <f t="shared" ca="1" si="44"/>
        <v>#NUM!</v>
      </c>
      <c r="X82" s="13" t="e">
        <f t="shared" ca="1" si="45"/>
        <v>#NUM!</v>
      </c>
      <c r="Y82" s="5" t="e">
        <f t="shared" ca="1" si="46"/>
        <v>#NUM!</v>
      </c>
      <c r="Z82" s="15" t="str">
        <f t="shared" si="47"/>
        <v/>
      </c>
      <c r="AA82" s="15" t="str">
        <f t="shared" si="48"/>
        <v/>
      </c>
      <c r="AB82" s="15" t="str">
        <f t="shared" si="49"/>
        <v/>
      </c>
      <c r="AC82" s="15" t="str">
        <f t="shared" si="50"/>
        <v/>
      </c>
      <c r="AD82" s="15" t="str">
        <f t="shared" si="51"/>
        <v/>
      </c>
      <c r="AE82" s="15" t="str">
        <f t="shared" si="52"/>
        <v/>
      </c>
      <c r="AF82" s="15" t="str">
        <f t="shared" si="53"/>
        <v/>
      </c>
      <c r="AG82" s="15" t="str">
        <f t="shared" si="54"/>
        <v/>
      </c>
      <c r="AH82" s="15" t="str">
        <f t="shared" si="55"/>
        <v/>
      </c>
      <c r="AI82" s="15" t="str">
        <f t="shared" si="56"/>
        <v/>
      </c>
      <c r="AJ82" s="15" t="str">
        <f t="shared" si="57"/>
        <v/>
      </c>
      <c r="AK82" s="15" t="str">
        <f t="shared" si="58"/>
        <v/>
      </c>
      <c r="AL82" s="15" t="str">
        <f t="shared" si="59"/>
        <v/>
      </c>
      <c r="AM82" s="5">
        <f t="shared" si="60"/>
        <v>0</v>
      </c>
    </row>
    <row r="83" spans="1:39" x14ac:dyDescent="0.25">
      <c r="A83" s="52"/>
      <c r="B83" s="52"/>
      <c r="C83" s="90"/>
      <c r="D83" s="90"/>
      <c r="E83" s="90"/>
      <c r="F83" s="93"/>
      <c r="G83" s="94"/>
      <c r="H83" s="94"/>
      <c r="I83" s="95"/>
      <c r="J83" s="95"/>
      <c r="K83" s="95"/>
      <c r="L83" s="95"/>
      <c r="M83" s="95"/>
      <c r="N83" s="95"/>
      <c r="O83" s="95"/>
      <c r="P83" s="95"/>
      <c r="Q83" s="95"/>
      <c r="R83" s="95"/>
      <c r="S83" s="96"/>
      <c r="T83" s="13" t="e">
        <f t="shared" si="41"/>
        <v>#DIV/0!</v>
      </c>
      <c r="U83" s="4">
        <f t="shared" ca="1" si="42"/>
        <v>41553</v>
      </c>
      <c r="V83" s="4">
        <f t="shared" ca="1" si="43"/>
        <v>-41193</v>
      </c>
      <c r="W83" s="4" t="e">
        <f t="shared" ca="1" si="44"/>
        <v>#NUM!</v>
      </c>
      <c r="X83" s="13" t="e">
        <f t="shared" ca="1" si="45"/>
        <v>#NUM!</v>
      </c>
      <c r="Y83" s="5" t="e">
        <f t="shared" ca="1" si="46"/>
        <v>#NUM!</v>
      </c>
      <c r="Z83" s="15" t="str">
        <f t="shared" si="47"/>
        <v/>
      </c>
      <c r="AA83" s="15" t="str">
        <f t="shared" si="48"/>
        <v/>
      </c>
      <c r="AB83" s="15" t="str">
        <f t="shared" si="49"/>
        <v/>
      </c>
      <c r="AC83" s="15" t="str">
        <f t="shared" si="50"/>
        <v/>
      </c>
      <c r="AD83" s="15" t="str">
        <f t="shared" si="51"/>
        <v/>
      </c>
      <c r="AE83" s="15" t="str">
        <f t="shared" si="52"/>
        <v/>
      </c>
      <c r="AF83" s="15" t="str">
        <f t="shared" si="53"/>
        <v/>
      </c>
      <c r="AG83" s="15" t="str">
        <f t="shared" si="54"/>
        <v/>
      </c>
      <c r="AH83" s="15" t="str">
        <f t="shared" si="55"/>
        <v/>
      </c>
      <c r="AI83" s="15" t="str">
        <f t="shared" si="56"/>
        <v/>
      </c>
      <c r="AJ83" s="15" t="str">
        <f t="shared" si="57"/>
        <v/>
      </c>
      <c r="AK83" s="15" t="str">
        <f t="shared" si="58"/>
        <v/>
      </c>
      <c r="AL83" s="15" t="str">
        <f t="shared" si="59"/>
        <v/>
      </c>
      <c r="AM83" s="5">
        <f t="shared" si="60"/>
        <v>0</v>
      </c>
    </row>
    <row r="84" spans="1:39" x14ac:dyDescent="0.25">
      <c r="A84" s="52"/>
      <c r="B84" s="52"/>
      <c r="C84" s="90"/>
      <c r="D84" s="90"/>
      <c r="E84" s="90"/>
      <c r="F84" s="93"/>
      <c r="G84" s="94"/>
      <c r="H84" s="94"/>
      <c r="I84" s="95"/>
      <c r="J84" s="95"/>
      <c r="K84" s="95"/>
      <c r="L84" s="95"/>
      <c r="M84" s="95"/>
      <c r="N84" s="95"/>
      <c r="O84" s="95"/>
      <c r="P84" s="95"/>
      <c r="Q84" s="95"/>
      <c r="R84" s="95"/>
      <c r="S84" s="96"/>
      <c r="T84" s="13" t="e">
        <f t="shared" si="41"/>
        <v>#DIV/0!</v>
      </c>
      <c r="U84" s="4">
        <f t="shared" ca="1" si="42"/>
        <v>41553</v>
      </c>
      <c r="V84" s="4">
        <f t="shared" ca="1" si="43"/>
        <v>-41193</v>
      </c>
      <c r="W84" s="4" t="e">
        <f t="shared" ca="1" si="44"/>
        <v>#NUM!</v>
      </c>
      <c r="X84" s="13" t="e">
        <f t="shared" ca="1" si="45"/>
        <v>#NUM!</v>
      </c>
      <c r="Y84" s="5" t="e">
        <f t="shared" ca="1" si="46"/>
        <v>#NUM!</v>
      </c>
      <c r="Z84" s="15" t="str">
        <f t="shared" si="47"/>
        <v/>
      </c>
      <c r="AA84" s="15" t="str">
        <f t="shared" si="48"/>
        <v/>
      </c>
      <c r="AB84" s="15" t="str">
        <f t="shared" si="49"/>
        <v/>
      </c>
      <c r="AC84" s="15" t="str">
        <f t="shared" si="50"/>
        <v/>
      </c>
      <c r="AD84" s="15" t="str">
        <f t="shared" si="51"/>
        <v/>
      </c>
      <c r="AE84" s="15" t="str">
        <f t="shared" si="52"/>
        <v/>
      </c>
      <c r="AF84" s="15" t="str">
        <f t="shared" si="53"/>
        <v/>
      </c>
      <c r="AG84" s="15" t="str">
        <f t="shared" si="54"/>
        <v/>
      </c>
      <c r="AH84" s="15" t="str">
        <f t="shared" si="55"/>
        <v/>
      </c>
      <c r="AI84" s="15" t="str">
        <f t="shared" si="56"/>
        <v/>
      </c>
      <c r="AJ84" s="15" t="str">
        <f t="shared" si="57"/>
        <v/>
      </c>
      <c r="AK84" s="15" t="str">
        <f t="shared" si="58"/>
        <v/>
      </c>
      <c r="AL84" s="15" t="str">
        <f t="shared" si="59"/>
        <v/>
      </c>
      <c r="AM84" s="5">
        <f t="shared" si="60"/>
        <v>0</v>
      </c>
    </row>
    <row r="85" spans="1:39" x14ac:dyDescent="0.25">
      <c r="A85" s="52"/>
      <c r="B85" s="52"/>
      <c r="C85" s="90"/>
      <c r="D85" s="90"/>
      <c r="E85" s="90"/>
      <c r="F85" s="93"/>
      <c r="G85" s="94"/>
      <c r="H85" s="94"/>
      <c r="I85" s="95"/>
      <c r="J85" s="95"/>
      <c r="K85" s="95"/>
      <c r="L85" s="95"/>
      <c r="M85" s="95"/>
      <c r="N85" s="95"/>
      <c r="O85" s="95"/>
      <c r="P85" s="95"/>
      <c r="Q85" s="95"/>
      <c r="R85" s="95"/>
      <c r="S85" s="96"/>
      <c r="T85" s="13" t="e">
        <f t="shared" si="41"/>
        <v>#DIV/0!</v>
      </c>
      <c r="U85" s="4">
        <f t="shared" ca="1" si="42"/>
        <v>41553</v>
      </c>
      <c r="V85" s="4">
        <f t="shared" ca="1" si="43"/>
        <v>-41193</v>
      </c>
      <c r="W85" s="4" t="e">
        <f t="shared" ca="1" si="44"/>
        <v>#NUM!</v>
      </c>
      <c r="X85" s="13" t="e">
        <f t="shared" ca="1" si="45"/>
        <v>#NUM!</v>
      </c>
      <c r="Y85" s="5" t="e">
        <f t="shared" ca="1" si="46"/>
        <v>#NUM!</v>
      </c>
      <c r="Z85" s="15" t="str">
        <f t="shared" si="47"/>
        <v/>
      </c>
      <c r="AA85" s="15" t="str">
        <f t="shared" si="48"/>
        <v/>
      </c>
      <c r="AB85" s="15" t="str">
        <f t="shared" si="49"/>
        <v/>
      </c>
      <c r="AC85" s="15" t="str">
        <f t="shared" si="50"/>
        <v/>
      </c>
      <c r="AD85" s="15" t="str">
        <f t="shared" si="51"/>
        <v/>
      </c>
      <c r="AE85" s="15" t="str">
        <f t="shared" si="52"/>
        <v/>
      </c>
      <c r="AF85" s="15" t="str">
        <f t="shared" si="53"/>
        <v/>
      </c>
      <c r="AG85" s="15" t="str">
        <f t="shared" si="54"/>
        <v/>
      </c>
      <c r="AH85" s="15" t="str">
        <f t="shared" si="55"/>
        <v/>
      </c>
      <c r="AI85" s="15" t="str">
        <f t="shared" si="56"/>
        <v/>
      </c>
      <c r="AJ85" s="15" t="str">
        <f t="shared" si="57"/>
        <v/>
      </c>
      <c r="AK85" s="15" t="str">
        <f t="shared" si="58"/>
        <v/>
      </c>
      <c r="AL85" s="15" t="str">
        <f t="shared" si="59"/>
        <v/>
      </c>
      <c r="AM85" s="5">
        <f t="shared" si="60"/>
        <v>0</v>
      </c>
    </row>
    <row r="86" spans="1:39" x14ac:dyDescent="0.25">
      <c r="A86" s="52"/>
      <c r="B86" s="52"/>
      <c r="C86" s="90"/>
      <c r="D86" s="90"/>
      <c r="E86" s="90"/>
      <c r="F86" s="93"/>
      <c r="G86" s="94"/>
      <c r="H86" s="94"/>
      <c r="I86" s="95"/>
      <c r="J86" s="95"/>
      <c r="K86" s="95"/>
      <c r="L86" s="95"/>
      <c r="M86" s="95"/>
      <c r="N86" s="95"/>
      <c r="O86" s="95"/>
      <c r="P86" s="95"/>
      <c r="Q86" s="95"/>
      <c r="R86" s="95"/>
      <c r="S86" s="96"/>
      <c r="T86" s="13" t="e">
        <f t="shared" si="41"/>
        <v>#DIV/0!</v>
      </c>
      <c r="U86" s="4">
        <f t="shared" ca="1" si="42"/>
        <v>41553</v>
      </c>
      <c r="V86" s="4">
        <f t="shared" ca="1" si="43"/>
        <v>-41193</v>
      </c>
      <c r="W86" s="4" t="e">
        <f t="shared" ca="1" si="44"/>
        <v>#NUM!</v>
      </c>
      <c r="X86" s="13" t="e">
        <f t="shared" ca="1" si="45"/>
        <v>#NUM!</v>
      </c>
      <c r="Y86" s="5" t="e">
        <f t="shared" ca="1" si="46"/>
        <v>#NUM!</v>
      </c>
      <c r="Z86" s="15" t="str">
        <f t="shared" si="47"/>
        <v/>
      </c>
      <c r="AA86" s="15" t="str">
        <f t="shared" si="48"/>
        <v/>
      </c>
      <c r="AB86" s="15" t="str">
        <f t="shared" si="49"/>
        <v/>
      </c>
      <c r="AC86" s="15" t="str">
        <f t="shared" si="50"/>
        <v/>
      </c>
      <c r="AD86" s="15" t="str">
        <f t="shared" si="51"/>
        <v/>
      </c>
      <c r="AE86" s="15" t="str">
        <f t="shared" si="52"/>
        <v/>
      </c>
      <c r="AF86" s="15" t="str">
        <f t="shared" si="53"/>
        <v/>
      </c>
      <c r="AG86" s="15" t="str">
        <f t="shared" si="54"/>
        <v/>
      </c>
      <c r="AH86" s="15" t="str">
        <f t="shared" si="55"/>
        <v/>
      </c>
      <c r="AI86" s="15" t="str">
        <f t="shared" si="56"/>
        <v/>
      </c>
      <c r="AJ86" s="15" t="str">
        <f t="shared" si="57"/>
        <v/>
      </c>
      <c r="AK86" s="15" t="str">
        <f t="shared" si="58"/>
        <v/>
      </c>
      <c r="AL86" s="15" t="str">
        <f t="shared" si="59"/>
        <v/>
      </c>
      <c r="AM86" s="5">
        <f t="shared" si="60"/>
        <v>0</v>
      </c>
    </row>
    <row r="87" spans="1:39" x14ac:dyDescent="0.25">
      <c r="A87" s="52"/>
      <c r="B87" s="52"/>
      <c r="C87" s="90"/>
      <c r="D87" s="90"/>
      <c r="E87" s="90"/>
      <c r="F87" s="93"/>
      <c r="G87" s="94"/>
      <c r="H87" s="94"/>
      <c r="I87" s="95"/>
      <c r="J87" s="95"/>
      <c r="K87" s="95"/>
      <c r="L87" s="95"/>
      <c r="M87" s="95"/>
      <c r="N87" s="95"/>
      <c r="O87" s="95"/>
      <c r="P87" s="95"/>
      <c r="Q87" s="95"/>
      <c r="R87" s="95"/>
      <c r="S87" s="96"/>
      <c r="T87" s="13" t="e">
        <f t="shared" si="41"/>
        <v>#DIV/0!</v>
      </c>
      <c r="U87" s="4">
        <f t="shared" ca="1" si="42"/>
        <v>41553</v>
      </c>
      <c r="V87" s="4">
        <f t="shared" ca="1" si="43"/>
        <v>-41193</v>
      </c>
      <c r="W87" s="4" t="e">
        <f t="shared" ca="1" si="44"/>
        <v>#NUM!</v>
      </c>
      <c r="X87" s="13" t="e">
        <f t="shared" ca="1" si="45"/>
        <v>#NUM!</v>
      </c>
      <c r="Y87" s="5" t="e">
        <f t="shared" ca="1" si="46"/>
        <v>#NUM!</v>
      </c>
      <c r="Z87" s="15" t="str">
        <f t="shared" si="47"/>
        <v/>
      </c>
      <c r="AA87" s="15" t="str">
        <f t="shared" si="48"/>
        <v/>
      </c>
      <c r="AB87" s="15" t="str">
        <f t="shared" si="49"/>
        <v/>
      </c>
      <c r="AC87" s="15" t="str">
        <f t="shared" si="50"/>
        <v/>
      </c>
      <c r="AD87" s="15" t="str">
        <f t="shared" si="51"/>
        <v/>
      </c>
      <c r="AE87" s="15" t="str">
        <f t="shared" si="52"/>
        <v/>
      </c>
      <c r="AF87" s="15" t="str">
        <f t="shared" si="53"/>
        <v/>
      </c>
      <c r="AG87" s="15" t="str">
        <f t="shared" si="54"/>
        <v/>
      </c>
      <c r="AH87" s="15" t="str">
        <f t="shared" si="55"/>
        <v/>
      </c>
      <c r="AI87" s="15" t="str">
        <f t="shared" si="56"/>
        <v/>
      </c>
      <c r="AJ87" s="15" t="str">
        <f t="shared" si="57"/>
        <v/>
      </c>
      <c r="AK87" s="15" t="str">
        <f t="shared" si="58"/>
        <v/>
      </c>
      <c r="AL87" s="15" t="str">
        <f t="shared" si="59"/>
        <v/>
      </c>
      <c r="AM87" s="5">
        <f t="shared" si="60"/>
        <v>0</v>
      </c>
    </row>
    <row r="88" spans="1:39" x14ac:dyDescent="0.25">
      <c r="A88" s="52"/>
      <c r="B88" s="52"/>
      <c r="C88" s="90"/>
      <c r="D88" s="90"/>
      <c r="E88" s="90"/>
      <c r="F88" s="93"/>
      <c r="G88" s="94"/>
      <c r="H88" s="94"/>
      <c r="I88" s="95"/>
      <c r="J88" s="95"/>
      <c r="K88" s="95"/>
      <c r="L88" s="95"/>
      <c r="M88" s="95"/>
      <c r="N88" s="95"/>
      <c r="O88" s="95"/>
      <c r="P88" s="95"/>
      <c r="Q88" s="95"/>
      <c r="R88" s="95"/>
      <c r="S88" s="96"/>
      <c r="T88" s="13" t="e">
        <f t="shared" si="41"/>
        <v>#DIV/0!</v>
      </c>
      <c r="U88" s="4">
        <f t="shared" ca="1" si="42"/>
        <v>41553</v>
      </c>
      <c r="V88" s="4">
        <f t="shared" ca="1" si="43"/>
        <v>-41193</v>
      </c>
      <c r="W88" s="4" t="e">
        <f t="shared" ca="1" si="44"/>
        <v>#NUM!</v>
      </c>
      <c r="X88" s="13" t="e">
        <f t="shared" ca="1" si="45"/>
        <v>#NUM!</v>
      </c>
      <c r="Y88" s="5" t="e">
        <f t="shared" ca="1" si="46"/>
        <v>#NUM!</v>
      </c>
      <c r="Z88" s="15" t="str">
        <f t="shared" si="47"/>
        <v/>
      </c>
      <c r="AA88" s="15" t="str">
        <f t="shared" si="48"/>
        <v/>
      </c>
      <c r="AB88" s="15" t="str">
        <f t="shared" si="49"/>
        <v/>
      </c>
      <c r="AC88" s="15" t="str">
        <f t="shared" si="50"/>
        <v/>
      </c>
      <c r="AD88" s="15" t="str">
        <f t="shared" si="51"/>
        <v/>
      </c>
      <c r="AE88" s="15" t="str">
        <f t="shared" si="52"/>
        <v/>
      </c>
      <c r="AF88" s="15" t="str">
        <f t="shared" si="53"/>
        <v/>
      </c>
      <c r="AG88" s="15" t="str">
        <f t="shared" si="54"/>
        <v/>
      </c>
      <c r="AH88" s="15" t="str">
        <f t="shared" si="55"/>
        <v/>
      </c>
      <c r="AI88" s="15" t="str">
        <f t="shared" si="56"/>
        <v/>
      </c>
      <c r="AJ88" s="15" t="str">
        <f t="shared" si="57"/>
        <v/>
      </c>
      <c r="AK88" s="15" t="str">
        <f t="shared" si="58"/>
        <v/>
      </c>
      <c r="AL88" s="15" t="str">
        <f t="shared" si="59"/>
        <v/>
      </c>
      <c r="AM88" s="5">
        <f t="shared" si="60"/>
        <v>0</v>
      </c>
    </row>
    <row r="89" spans="1:39" x14ac:dyDescent="0.25">
      <c r="A89" s="52"/>
      <c r="B89" s="52"/>
      <c r="C89" s="90"/>
      <c r="D89" s="90"/>
      <c r="E89" s="90"/>
      <c r="F89" s="93"/>
      <c r="G89" s="94"/>
      <c r="H89" s="94"/>
      <c r="I89" s="95"/>
      <c r="J89" s="95"/>
      <c r="K89" s="95"/>
      <c r="L89" s="95"/>
      <c r="M89" s="95"/>
      <c r="N89" s="95"/>
      <c r="O89" s="95"/>
      <c r="P89" s="95"/>
      <c r="Q89" s="95"/>
      <c r="R89" s="95"/>
      <c r="S89" s="96"/>
      <c r="T89" s="13" t="e">
        <f t="shared" si="41"/>
        <v>#DIV/0!</v>
      </c>
      <c r="U89" s="4">
        <f t="shared" ca="1" si="42"/>
        <v>41553</v>
      </c>
      <c r="V89" s="4">
        <f t="shared" ca="1" si="43"/>
        <v>-41193</v>
      </c>
      <c r="W89" s="4" t="e">
        <f t="shared" ca="1" si="44"/>
        <v>#NUM!</v>
      </c>
      <c r="X89" s="13" t="e">
        <f t="shared" ca="1" si="45"/>
        <v>#NUM!</v>
      </c>
      <c r="Y89" s="5" t="e">
        <f t="shared" ca="1" si="46"/>
        <v>#NUM!</v>
      </c>
      <c r="Z89" s="15" t="str">
        <f t="shared" si="47"/>
        <v/>
      </c>
      <c r="AA89" s="15" t="str">
        <f t="shared" si="48"/>
        <v/>
      </c>
      <c r="AB89" s="15" t="str">
        <f t="shared" si="49"/>
        <v/>
      </c>
      <c r="AC89" s="15" t="str">
        <f t="shared" si="50"/>
        <v/>
      </c>
      <c r="AD89" s="15" t="str">
        <f t="shared" si="51"/>
        <v/>
      </c>
      <c r="AE89" s="15" t="str">
        <f t="shared" si="52"/>
        <v/>
      </c>
      <c r="AF89" s="15" t="str">
        <f t="shared" si="53"/>
        <v/>
      </c>
      <c r="AG89" s="15" t="str">
        <f t="shared" si="54"/>
        <v/>
      </c>
      <c r="AH89" s="15" t="str">
        <f t="shared" si="55"/>
        <v/>
      </c>
      <c r="AI89" s="15" t="str">
        <f t="shared" si="56"/>
        <v/>
      </c>
      <c r="AJ89" s="15" t="str">
        <f t="shared" si="57"/>
        <v/>
      </c>
      <c r="AK89" s="15" t="str">
        <f t="shared" si="58"/>
        <v/>
      </c>
      <c r="AL89" s="15" t="str">
        <f t="shared" si="59"/>
        <v/>
      </c>
      <c r="AM89" s="5">
        <f t="shared" si="60"/>
        <v>0</v>
      </c>
    </row>
    <row r="90" spans="1:39" x14ac:dyDescent="0.25">
      <c r="A90" s="52"/>
      <c r="B90" s="52"/>
      <c r="C90" s="90"/>
      <c r="D90" s="90"/>
      <c r="E90" s="90"/>
      <c r="F90" s="93"/>
      <c r="G90" s="94"/>
      <c r="H90" s="94"/>
      <c r="I90" s="95"/>
      <c r="J90" s="95"/>
      <c r="K90" s="95"/>
      <c r="L90" s="95"/>
      <c r="M90" s="95"/>
      <c r="N90" s="95"/>
      <c r="O90" s="95"/>
      <c r="P90" s="95"/>
      <c r="Q90" s="95"/>
      <c r="R90" s="95"/>
      <c r="S90" s="96"/>
      <c r="T90" s="13" t="e">
        <f t="shared" si="41"/>
        <v>#DIV/0!</v>
      </c>
      <c r="U90" s="4">
        <f t="shared" ca="1" si="42"/>
        <v>41553</v>
      </c>
      <c r="V90" s="4">
        <f t="shared" ca="1" si="43"/>
        <v>-41193</v>
      </c>
      <c r="W90" s="4" t="e">
        <f t="shared" ca="1" si="44"/>
        <v>#NUM!</v>
      </c>
      <c r="X90" s="13" t="e">
        <f t="shared" ca="1" si="45"/>
        <v>#NUM!</v>
      </c>
      <c r="Y90" s="5" t="e">
        <f t="shared" ca="1" si="46"/>
        <v>#NUM!</v>
      </c>
      <c r="Z90" s="15" t="str">
        <f t="shared" si="47"/>
        <v/>
      </c>
      <c r="AA90" s="15" t="str">
        <f t="shared" si="48"/>
        <v/>
      </c>
      <c r="AB90" s="15" t="str">
        <f t="shared" si="49"/>
        <v/>
      </c>
      <c r="AC90" s="15" t="str">
        <f t="shared" si="50"/>
        <v/>
      </c>
      <c r="AD90" s="15" t="str">
        <f t="shared" si="51"/>
        <v/>
      </c>
      <c r="AE90" s="15" t="str">
        <f t="shared" si="52"/>
        <v/>
      </c>
      <c r="AF90" s="15" t="str">
        <f t="shared" si="53"/>
        <v/>
      </c>
      <c r="AG90" s="15" t="str">
        <f t="shared" si="54"/>
        <v/>
      </c>
      <c r="AH90" s="15" t="str">
        <f t="shared" si="55"/>
        <v/>
      </c>
      <c r="AI90" s="15" t="str">
        <f t="shared" si="56"/>
        <v/>
      </c>
      <c r="AJ90" s="15" t="str">
        <f t="shared" si="57"/>
        <v/>
      </c>
      <c r="AK90" s="15" t="str">
        <f t="shared" si="58"/>
        <v/>
      </c>
      <c r="AL90" s="15" t="str">
        <f t="shared" si="59"/>
        <v/>
      </c>
      <c r="AM90" s="5">
        <f t="shared" si="60"/>
        <v>0</v>
      </c>
    </row>
    <row r="91" spans="1:39" x14ac:dyDescent="0.25">
      <c r="A91" s="52"/>
      <c r="B91" s="52"/>
      <c r="C91" s="90"/>
      <c r="D91" s="90"/>
      <c r="E91" s="90"/>
      <c r="F91" s="93"/>
      <c r="G91" s="94"/>
      <c r="H91" s="94"/>
      <c r="I91" s="95"/>
      <c r="J91" s="95"/>
      <c r="K91" s="95"/>
      <c r="L91" s="95"/>
      <c r="M91" s="95"/>
      <c r="N91" s="95"/>
      <c r="O91" s="95"/>
      <c r="P91" s="95"/>
      <c r="Q91" s="95"/>
      <c r="R91" s="95"/>
      <c r="S91" s="96"/>
      <c r="T91" s="13" t="e">
        <f t="shared" si="41"/>
        <v>#DIV/0!</v>
      </c>
      <c r="U91" s="4">
        <f t="shared" ca="1" si="42"/>
        <v>41553</v>
      </c>
      <c r="V91" s="4">
        <f t="shared" ca="1" si="43"/>
        <v>-41193</v>
      </c>
      <c r="W91" s="4" t="e">
        <f t="shared" ca="1" si="44"/>
        <v>#NUM!</v>
      </c>
      <c r="X91" s="13" t="e">
        <f t="shared" ca="1" si="45"/>
        <v>#NUM!</v>
      </c>
      <c r="Y91" s="5" t="e">
        <f t="shared" ca="1" si="46"/>
        <v>#NUM!</v>
      </c>
      <c r="Z91" s="15" t="str">
        <f t="shared" si="47"/>
        <v/>
      </c>
      <c r="AA91" s="15" t="str">
        <f t="shared" si="48"/>
        <v/>
      </c>
      <c r="AB91" s="15" t="str">
        <f t="shared" si="49"/>
        <v/>
      </c>
      <c r="AC91" s="15" t="str">
        <f t="shared" si="50"/>
        <v/>
      </c>
      <c r="AD91" s="15" t="str">
        <f t="shared" si="51"/>
        <v/>
      </c>
      <c r="AE91" s="15" t="str">
        <f t="shared" si="52"/>
        <v/>
      </c>
      <c r="AF91" s="15" t="str">
        <f t="shared" si="53"/>
        <v/>
      </c>
      <c r="AG91" s="15" t="str">
        <f t="shared" si="54"/>
        <v/>
      </c>
      <c r="AH91" s="15" t="str">
        <f t="shared" si="55"/>
        <v/>
      </c>
      <c r="AI91" s="15" t="str">
        <f t="shared" si="56"/>
        <v/>
      </c>
      <c r="AJ91" s="15" t="str">
        <f t="shared" si="57"/>
        <v/>
      </c>
      <c r="AK91" s="15" t="str">
        <f t="shared" si="58"/>
        <v/>
      </c>
      <c r="AL91" s="15" t="str">
        <f t="shared" si="59"/>
        <v/>
      </c>
      <c r="AM91" s="5">
        <f t="shared" si="60"/>
        <v>0</v>
      </c>
    </row>
    <row r="92" spans="1:39" x14ac:dyDescent="0.25">
      <c r="A92" s="52"/>
      <c r="B92" s="52"/>
      <c r="C92" s="90"/>
      <c r="D92" s="90"/>
      <c r="E92" s="90"/>
      <c r="F92" s="93"/>
      <c r="G92" s="94"/>
      <c r="H92" s="94"/>
      <c r="I92" s="95"/>
      <c r="J92" s="95"/>
      <c r="K92" s="95"/>
      <c r="L92" s="95"/>
      <c r="M92" s="95"/>
      <c r="N92" s="95"/>
      <c r="O92" s="95"/>
      <c r="P92" s="95"/>
      <c r="Q92" s="95"/>
      <c r="R92" s="95"/>
      <c r="S92" s="96"/>
      <c r="T92" s="13" t="e">
        <f t="shared" si="41"/>
        <v>#DIV/0!</v>
      </c>
      <c r="U92" s="4">
        <f t="shared" ca="1" si="42"/>
        <v>41553</v>
      </c>
      <c r="V92" s="4">
        <f t="shared" ca="1" si="43"/>
        <v>-41193</v>
      </c>
      <c r="W92" s="4" t="e">
        <f t="shared" ca="1" si="44"/>
        <v>#NUM!</v>
      </c>
      <c r="X92" s="13" t="e">
        <f t="shared" ca="1" si="45"/>
        <v>#NUM!</v>
      </c>
      <c r="Y92" s="5" t="e">
        <f t="shared" ca="1" si="46"/>
        <v>#NUM!</v>
      </c>
      <c r="Z92" s="15" t="str">
        <f t="shared" si="47"/>
        <v/>
      </c>
      <c r="AA92" s="15" t="str">
        <f t="shared" si="48"/>
        <v/>
      </c>
      <c r="AB92" s="15" t="str">
        <f t="shared" si="49"/>
        <v/>
      </c>
      <c r="AC92" s="15" t="str">
        <f t="shared" si="50"/>
        <v/>
      </c>
      <c r="AD92" s="15" t="str">
        <f t="shared" si="51"/>
        <v/>
      </c>
      <c r="AE92" s="15" t="str">
        <f t="shared" si="52"/>
        <v/>
      </c>
      <c r="AF92" s="15" t="str">
        <f t="shared" si="53"/>
        <v/>
      </c>
      <c r="AG92" s="15" t="str">
        <f t="shared" si="54"/>
        <v/>
      </c>
      <c r="AH92" s="15" t="str">
        <f t="shared" si="55"/>
        <v/>
      </c>
      <c r="AI92" s="15" t="str">
        <f t="shared" si="56"/>
        <v/>
      </c>
      <c r="AJ92" s="15" t="str">
        <f t="shared" si="57"/>
        <v/>
      </c>
      <c r="AK92" s="15" t="str">
        <f t="shared" si="58"/>
        <v/>
      </c>
      <c r="AL92" s="15" t="str">
        <f t="shared" si="59"/>
        <v/>
      </c>
      <c r="AM92" s="5">
        <f t="shared" si="60"/>
        <v>0</v>
      </c>
    </row>
    <row r="93" spans="1:39" x14ac:dyDescent="0.25">
      <c r="A93" s="52"/>
      <c r="B93" s="52"/>
      <c r="C93" s="90"/>
      <c r="D93" s="90"/>
      <c r="E93" s="90"/>
      <c r="F93" s="93"/>
      <c r="G93" s="94"/>
      <c r="H93" s="94"/>
      <c r="I93" s="95"/>
      <c r="J93" s="95"/>
      <c r="K93" s="95"/>
      <c r="L93" s="95"/>
      <c r="M93" s="95"/>
      <c r="N93" s="95"/>
      <c r="O93" s="95"/>
      <c r="P93" s="95"/>
      <c r="Q93" s="95"/>
      <c r="R93" s="95"/>
      <c r="S93" s="96"/>
      <c r="T93" s="13" t="e">
        <f t="shared" si="41"/>
        <v>#DIV/0!</v>
      </c>
      <c r="U93" s="4">
        <f t="shared" ca="1" si="42"/>
        <v>41553</v>
      </c>
      <c r="V93" s="4">
        <f t="shared" ca="1" si="43"/>
        <v>-41193</v>
      </c>
      <c r="W93" s="4" t="e">
        <f t="shared" ca="1" si="44"/>
        <v>#NUM!</v>
      </c>
      <c r="X93" s="13" t="e">
        <f t="shared" ca="1" si="45"/>
        <v>#NUM!</v>
      </c>
      <c r="Y93" s="5" t="e">
        <f t="shared" ca="1" si="46"/>
        <v>#NUM!</v>
      </c>
      <c r="Z93" s="15" t="str">
        <f t="shared" si="47"/>
        <v/>
      </c>
      <c r="AA93" s="15" t="str">
        <f t="shared" si="48"/>
        <v/>
      </c>
      <c r="AB93" s="15" t="str">
        <f t="shared" si="49"/>
        <v/>
      </c>
      <c r="AC93" s="15" t="str">
        <f t="shared" si="50"/>
        <v/>
      </c>
      <c r="AD93" s="15" t="str">
        <f t="shared" si="51"/>
        <v/>
      </c>
      <c r="AE93" s="15" t="str">
        <f t="shared" si="52"/>
        <v/>
      </c>
      <c r="AF93" s="15" t="str">
        <f t="shared" si="53"/>
        <v/>
      </c>
      <c r="AG93" s="15" t="str">
        <f t="shared" si="54"/>
        <v/>
      </c>
      <c r="AH93" s="15" t="str">
        <f t="shared" si="55"/>
        <v/>
      </c>
      <c r="AI93" s="15" t="str">
        <f t="shared" si="56"/>
        <v/>
      </c>
      <c r="AJ93" s="15" t="str">
        <f t="shared" si="57"/>
        <v/>
      </c>
      <c r="AK93" s="15" t="str">
        <f t="shared" si="58"/>
        <v/>
      </c>
      <c r="AL93" s="15" t="str">
        <f t="shared" si="59"/>
        <v/>
      </c>
      <c r="AM93" s="5">
        <f t="shared" si="60"/>
        <v>0</v>
      </c>
    </row>
    <row r="94" spans="1:39" x14ac:dyDescent="0.25">
      <c r="A94" s="52"/>
      <c r="B94" s="52"/>
      <c r="C94" s="90"/>
      <c r="D94" s="90"/>
      <c r="E94" s="90"/>
      <c r="F94" s="93"/>
      <c r="G94" s="94"/>
      <c r="H94" s="94"/>
      <c r="I94" s="95"/>
      <c r="J94" s="95"/>
      <c r="K94" s="95"/>
      <c r="L94" s="95"/>
      <c r="M94" s="95"/>
      <c r="N94" s="95"/>
      <c r="O94" s="95"/>
      <c r="P94" s="95"/>
      <c r="Q94" s="95"/>
      <c r="R94" s="95"/>
      <c r="S94" s="96"/>
      <c r="T94" s="13" t="e">
        <f t="shared" si="41"/>
        <v>#DIV/0!</v>
      </c>
      <c r="U94" s="4">
        <f t="shared" ca="1" si="42"/>
        <v>41553</v>
      </c>
      <c r="V94" s="4">
        <f t="shared" ca="1" si="43"/>
        <v>-41193</v>
      </c>
      <c r="W94" s="4" t="e">
        <f t="shared" ca="1" si="44"/>
        <v>#NUM!</v>
      </c>
      <c r="X94" s="13" t="e">
        <f t="shared" ca="1" si="45"/>
        <v>#NUM!</v>
      </c>
      <c r="Y94" s="5" t="e">
        <f t="shared" ca="1" si="46"/>
        <v>#NUM!</v>
      </c>
      <c r="Z94" s="15" t="str">
        <f t="shared" si="47"/>
        <v/>
      </c>
      <c r="AA94" s="15" t="str">
        <f t="shared" si="48"/>
        <v/>
      </c>
      <c r="AB94" s="15" t="str">
        <f t="shared" si="49"/>
        <v/>
      </c>
      <c r="AC94" s="15" t="str">
        <f t="shared" si="50"/>
        <v/>
      </c>
      <c r="AD94" s="15" t="str">
        <f t="shared" si="51"/>
        <v/>
      </c>
      <c r="AE94" s="15" t="str">
        <f t="shared" si="52"/>
        <v/>
      </c>
      <c r="AF94" s="15" t="str">
        <f t="shared" si="53"/>
        <v/>
      </c>
      <c r="AG94" s="15" t="str">
        <f t="shared" si="54"/>
        <v/>
      </c>
      <c r="AH94" s="15" t="str">
        <f t="shared" si="55"/>
        <v/>
      </c>
      <c r="AI94" s="15" t="str">
        <f t="shared" si="56"/>
        <v/>
      </c>
      <c r="AJ94" s="15" t="str">
        <f t="shared" si="57"/>
        <v/>
      </c>
      <c r="AK94" s="15" t="str">
        <f t="shared" si="58"/>
        <v/>
      </c>
      <c r="AL94" s="15" t="str">
        <f t="shared" si="59"/>
        <v/>
      </c>
      <c r="AM94" s="5">
        <f t="shared" si="60"/>
        <v>0</v>
      </c>
    </row>
    <row r="95" spans="1:39" x14ac:dyDescent="0.25">
      <c r="A95" s="52"/>
      <c r="B95" s="52"/>
      <c r="C95" s="90"/>
      <c r="D95" s="90"/>
      <c r="E95" s="90"/>
      <c r="F95" s="93"/>
      <c r="G95" s="94"/>
      <c r="H95" s="94"/>
      <c r="I95" s="95"/>
      <c r="J95" s="95"/>
      <c r="K95" s="95"/>
      <c r="L95" s="95"/>
      <c r="M95" s="95"/>
      <c r="N95" s="95"/>
      <c r="O95" s="95"/>
      <c r="P95" s="95"/>
      <c r="Q95" s="95"/>
      <c r="R95" s="95"/>
      <c r="S95" s="96"/>
      <c r="T95" s="13" t="e">
        <f t="shared" si="41"/>
        <v>#DIV/0!</v>
      </c>
      <c r="U95" s="4">
        <f t="shared" ca="1" si="42"/>
        <v>41553</v>
      </c>
      <c r="V95" s="4">
        <f t="shared" ca="1" si="43"/>
        <v>-41193</v>
      </c>
      <c r="W95" s="4" t="e">
        <f t="shared" ca="1" si="44"/>
        <v>#NUM!</v>
      </c>
      <c r="X95" s="13" t="e">
        <f t="shared" ca="1" si="45"/>
        <v>#NUM!</v>
      </c>
      <c r="Y95" s="5" t="e">
        <f t="shared" ca="1" si="46"/>
        <v>#NUM!</v>
      </c>
      <c r="Z95" s="15" t="str">
        <f t="shared" si="47"/>
        <v/>
      </c>
      <c r="AA95" s="15" t="str">
        <f t="shared" si="48"/>
        <v/>
      </c>
      <c r="AB95" s="15" t="str">
        <f t="shared" si="49"/>
        <v/>
      </c>
      <c r="AC95" s="15" t="str">
        <f t="shared" si="50"/>
        <v/>
      </c>
      <c r="AD95" s="15" t="str">
        <f t="shared" si="51"/>
        <v/>
      </c>
      <c r="AE95" s="15" t="str">
        <f t="shared" si="52"/>
        <v/>
      </c>
      <c r="AF95" s="15" t="str">
        <f t="shared" si="53"/>
        <v/>
      </c>
      <c r="AG95" s="15" t="str">
        <f t="shared" si="54"/>
        <v/>
      </c>
      <c r="AH95" s="15" t="str">
        <f t="shared" si="55"/>
        <v/>
      </c>
      <c r="AI95" s="15" t="str">
        <f t="shared" si="56"/>
        <v/>
      </c>
      <c r="AJ95" s="15" t="str">
        <f t="shared" si="57"/>
        <v/>
      </c>
      <c r="AK95" s="15" t="str">
        <f t="shared" si="58"/>
        <v/>
      </c>
      <c r="AL95" s="15" t="str">
        <f t="shared" si="59"/>
        <v/>
      </c>
      <c r="AM95" s="5">
        <f t="shared" si="60"/>
        <v>0</v>
      </c>
    </row>
    <row r="96" spans="1:39" x14ac:dyDescent="0.25">
      <c r="A96" s="52"/>
      <c r="B96" s="52"/>
      <c r="C96" s="90"/>
      <c r="D96" s="90"/>
      <c r="E96" s="90"/>
      <c r="F96" s="93"/>
      <c r="G96" s="94"/>
      <c r="H96" s="94"/>
      <c r="I96" s="95"/>
      <c r="J96" s="95"/>
      <c r="K96" s="95"/>
      <c r="L96" s="95"/>
      <c r="M96" s="95"/>
      <c r="N96" s="95"/>
      <c r="O96" s="95"/>
      <c r="P96" s="95"/>
      <c r="Q96" s="95"/>
      <c r="R96" s="95"/>
      <c r="S96" s="96"/>
      <c r="T96" s="13" t="e">
        <f t="shared" si="41"/>
        <v>#DIV/0!</v>
      </c>
      <c r="U96" s="4">
        <f t="shared" ca="1" si="42"/>
        <v>41553</v>
      </c>
      <c r="V96" s="4">
        <f t="shared" ca="1" si="43"/>
        <v>-41193</v>
      </c>
      <c r="W96" s="4" t="e">
        <f t="shared" ca="1" si="44"/>
        <v>#NUM!</v>
      </c>
      <c r="X96" s="13" t="e">
        <f t="shared" ca="1" si="45"/>
        <v>#NUM!</v>
      </c>
      <c r="Y96" s="5" t="e">
        <f t="shared" ca="1" si="46"/>
        <v>#NUM!</v>
      </c>
      <c r="Z96" s="15" t="str">
        <f t="shared" si="47"/>
        <v/>
      </c>
      <c r="AA96" s="15" t="str">
        <f t="shared" si="48"/>
        <v/>
      </c>
      <c r="AB96" s="15" t="str">
        <f t="shared" si="49"/>
        <v/>
      </c>
      <c r="AC96" s="15" t="str">
        <f t="shared" si="50"/>
        <v/>
      </c>
      <c r="AD96" s="15" t="str">
        <f t="shared" si="51"/>
        <v/>
      </c>
      <c r="AE96" s="15" t="str">
        <f t="shared" si="52"/>
        <v/>
      </c>
      <c r="AF96" s="15" t="str">
        <f t="shared" si="53"/>
        <v/>
      </c>
      <c r="AG96" s="15" t="str">
        <f t="shared" si="54"/>
        <v/>
      </c>
      <c r="AH96" s="15" t="str">
        <f t="shared" si="55"/>
        <v/>
      </c>
      <c r="AI96" s="15" t="str">
        <f t="shared" si="56"/>
        <v/>
      </c>
      <c r="AJ96" s="15" t="str">
        <f t="shared" si="57"/>
        <v/>
      </c>
      <c r="AK96" s="15" t="str">
        <f t="shared" si="58"/>
        <v/>
      </c>
      <c r="AL96" s="15" t="str">
        <f t="shared" si="59"/>
        <v/>
      </c>
      <c r="AM96" s="5">
        <f t="shared" si="60"/>
        <v>0</v>
      </c>
    </row>
    <row r="97" spans="1:39" x14ac:dyDescent="0.25">
      <c r="A97" s="52"/>
      <c r="B97" s="52"/>
      <c r="C97" s="90"/>
      <c r="D97" s="90"/>
      <c r="E97" s="90"/>
      <c r="F97" s="93"/>
      <c r="G97" s="94"/>
      <c r="H97" s="94"/>
      <c r="I97" s="95"/>
      <c r="J97" s="95"/>
      <c r="K97" s="95"/>
      <c r="L97" s="95"/>
      <c r="M97" s="95"/>
      <c r="N97" s="95"/>
      <c r="O97" s="95"/>
      <c r="P97" s="95"/>
      <c r="Q97" s="95"/>
      <c r="R97" s="95"/>
      <c r="S97" s="96"/>
      <c r="T97" s="13" t="e">
        <f t="shared" si="41"/>
        <v>#DIV/0!</v>
      </c>
      <c r="U97" s="4">
        <f t="shared" ca="1" si="42"/>
        <v>41553</v>
      </c>
      <c r="V97" s="4">
        <f t="shared" ca="1" si="43"/>
        <v>-41193</v>
      </c>
      <c r="W97" s="4" t="e">
        <f t="shared" ca="1" si="44"/>
        <v>#NUM!</v>
      </c>
      <c r="X97" s="13" t="e">
        <f t="shared" ca="1" si="45"/>
        <v>#NUM!</v>
      </c>
      <c r="Y97" s="5" t="e">
        <f t="shared" ca="1" si="46"/>
        <v>#NUM!</v>
      </c>
      <c r="Z97" s="15" t="str">
        <f t="shared" si="47"/>
        <v/>
      </c>
      <c r="AA97" s="15" t="str">
        <f t="shared" si="48"/>
        <v/>
      </c>
      <c r="AB97" s="15" t="str">
        <f t="shared" si="49"/>
        <v/>
      </c>
      <c r="AC97" s="15" t="str">
        <f t="shared" si="50"/>
        <v/>
      </c>
      <c r="AD97" s="15" t="str">
        <f t="shared" si="51"/>
        <v/>
      </c>
      <c r="AE97" s="15" t="str">
        <f t="shared" si="52"/>
        <v/>
      </c>
      <c r="AF97" s="15" t="str">
        <f t="shared" si="53"/>
        <v/>
      </c>
      <c r="AG97" s="15" t="str">
        <f t="shared" si="54"/>
        <v/>
      </c>
      <c r="AH97" s="15" t="str">
        <f t="shared" si="55"/>
        <v/>
      </c>
      <c r="AI97" s="15" t="str">
        <f t="shared" si="56"/>
        <v/>
      </c>
      <c r="AJ97" s="15" t="str">
        <f t="shared" si="57"/>
        <v/>
      </c>
      <c r="AK97" s="15" t="str">
        <f t="shared" si="58"/>
        <v/>
      </c>
      <c r="AL97" s="15" t="str">
        <f t="shared" si="59"/>
        <v/>
      </c>
      <c r="AM97" s="5">
        <f t="shared" si="60"/>
        <v>0</v>
      </c>
    </row>
    <row r="98" spans="1:39" x14ac:dyDescent="0.25">
      <c r="A98" s="52"/>
      <c r="B98" s="52"/>
      <c r="C98" s="90"/>
      <c r="D98" s="90"/>
      <c r="E98" s="90"/>
      <c r="F98" s="93"/>
      <c r="G98" s="94"/>
      <c r="H98" s="94"/>
      <c r="I98" s="95"/>
      <c r="J98" s="95"/>
      <c r="K98" s="95"/>
      <c r="L98" s="95"/>
      <c r="M98" s="95"/>
      <c r="N98" s="95"/>
      <c r="O98" s="95"/>
      <c r="P98" s="95"/>
      <c r="Q98" s="95"/>
      <c r="R98" s="95"/>
      <c r="S98" s="96"/>
      <c r="T98" s="13" t="e">
        <f t="shared" si="41"/>
        <v>#DIV/0!</v>
      </c>
      <c r="U98" s="4">
        <f t="shared" ca="1" si="42"/>
        <v>41553</v>
      </c>
      <c r="V98" s="4">
        <f t="shared" ca="1" si="43"/>
        <v>-41193</v>
      </c>
      <c r="W98" s="4" t="e">
        <f t="shared" ca="1" si="44"/>
        <v>#NUM!</v>
      </c>
      <c r="X98" s="13" t="e">
        <f t="shared" ca="1" si="45"/>
        <v>#NUM!</v>
      </c>
      <c r="Y98" s="5" t="e">
        <f t="shared" ca="1" si="46"/>
        <v>#NUM!</v>
      </c>
      <c r="Z98" s="15" t="str">
        <f t="shared" si="47"/>
        <v/>
      </c>
      <c r="AA98" s="15" t="str">
        <f t="shared" si="48"/>
        <v/>
      </c>
      <c r="AB98" s="15" t="str">
        <f t="shared" si="49"/>
        <v/>
      </c>
      <c r="AC98" s="15" t="str">
        <f t="shared" si="50"/>
        <v/>
      </c>
      <c r="AD98" s="15" t="str">
        <f t="shared" si="51"/>
        <v/>
      </c>
      <c r="AE98" s="15" t="str">
        <f t="shared" si="52"/>
        <v/>
      </c>
      <c r="AF98" s="15" t="str">
        <f t="shared" si="53"/>
        <v/>
      </c>
      <c r="AG98" s="15" t="str">
        <f t="shared" si="54"/>
        <v/>
      </c>
      <c r="AH98" s="15" t="str">
        <f t="shared" si="55"/>
        <v/>
      </c>
      <c r="AI98" s="15" t="str">
        <f t="shared" si="56"/>
        <v/>
      </c>
      <c r="AJ98" s="15" t="str">
        <f t="shared" si="57"/>
        <v/>
      </c>
      <c r="AK98" s="15" t="str">
        <f t="shared" si="58"/>
        <v/>
      </c>
      <c r="AL98" s="15" t="str">
        <f t="shared" si="59"/>
        <v/>
      </c>
      <c r="AM98" s="5">
        <f t="shared" si="60"/>
        <v>0</v>
      </c>
    </row>
    <row r="99" spans="1:39" x14ac:dyDescent="0.25">
      <c r="A99" s="52"/>
      <c r="B99" s="52"/>
      <c r="C99" s="90"/>
      <c r="D99" s="90"/>
      <c r="E99" s="90"/>
      <c r="F99" s="93"/>
      <c r="G99" s="94"/>
      <c r="H99" s="94"/>
      <c r="I99" s="95"/>
      <c r="J99" s="95"/>
      <c r="K99" s="95"/>
      <c r="L99" s="95"/>
      <c r="M99" s="95"/>
      <c r="N99" s="95"/>
      <c r="O99" s="95"/>
      <c r="P99" s="95"/>
      <c r="Q99" s="95"/>
      <c r="R99" s="95"/>
      <c r="S99" s="96"/>
      <c r="T99" s="13" t="e">
        <f t="shared" si="41"/>
        <v>#DIV/0!</v>
      </c>
      <c r="U99" s="4">
        <f t="shared" ca="1" si="42"/>
        <v>41553</v>
      </c>
      <c r="V99" s="4">
        <f t="shared" ca="1" si="43"/>
        <v>-41193</v>
      </c>
      <c r="W99" s="4" t="e">
        <f t="shared" ca="1" si="44"/>
        <v>#NUM!</v>
      </c>
      <c r="X99" s="13" t="e">
        <f t="shared" ca="1" si="45"/>
        <v>#NUM!</v>
      </c>
      <c r="Y99" s="5" t="e">
        <f t="shared" ca="1" si="46"/>
        <v>#NUM!</v>
      </c>
      <c r="Z99" s="15" t="str">
        <f t="shared" si="47"/>
        <v/>
      </c>
      <c r="AA99" s="15" t="str">
        <f t="shared" si="48"/>
        <v/>
      </c>
      <c r="AB99" s="15" t="str">
        <f t="shared" si="49"/>
        <v/>
      </c>
      <c r="AC99" s="15" t="str">
        <f t="shared" si="50"/>
        <v/>
      </c>
      <c r="AD99" s="15" t="str">
        <f t="shared" si="51"/>
        <v/>
      </c>
      <c r="AE99" s="15" t="str">
        <f t="shared" si="52"/>
        <v/>
      </c>
      <c r="AF99" s="15" t="str">
        <f t="shared" si="53"/>
        <v/>
      </c>
      <c r="AG99" s="15" t="str">
        <f t="shared" si="54"/>
        <v/>
      </c>
      <c r="AH99" s="15" t="str">
        <f t="shared" si="55"/>
        <v/>
      </c>
      <c r="AI99" s="15" t="str">
        <f t="shared" si="56"/>
        <v/>
      </c>
      <c r="AJ99" s="15" t="str">
        <f t="shared" si="57"/>
        <v/>
      </c>
      <c r="AK99" s="15" t="str">
        <f t="shared" si="58"/>
        <v/>
      </c>
      <c r="AL99" s="15" t="str">
        <f t="shared" si="59"/>
        <v/>
      </c>
      <c r="AM99" s="5">
        <f t="shared" si="60"/>
        <v>0</v>
      </c>
    </row>
    <row r="100" spans="1:39" x14ac:dyDescent="0.25">
      <c r="A100" s="52"/>
      <c r="B100" s="52"/>
      <c r="C100" s="90"/>
      <c r="D100" s="90"/>
      <c r="E100" s="90"/>
      <c r="F100" s="93"/>
      <c r="G100" s="94"/>
      <c r="H100" s="94"/>
      <c r="I100" s="95"/>
      <c r="J100" s="95"/>
      <c r="K100" s="95"/>
      <c r="L100" s="95"/>
      <c r="M100" s="95"/>
      <c r="N100" s="95"/>
      <c r="O100" s="95"/>
      <c r="P100" s="95"/>
      <c r="Q100" s="95"/>
      <c r="R100" s="95"/>
      <c r="S100" s="96"/>
      <c r="T100" s="13" t="e">
        <f t="shared" si="41"/>
        <v>#DIV/0!</v>
      </c>
      <c r="U100" s="4">
        <f t="shared" ca="1" si="42"/>
        <v>41553</v>
      </c>
      <c r="V100" s="4">
        <f t="shared" ca="1" si="43"/>
        <v>-41193</v>
      </c>
      <c r="W100" s="4" t="e">
        <f t="shared" ca="1" si="44"/>
        <v>#NUM!</v>
      </c>
      <c r="X100" s="13" t="e">
        <f t="shared" ca="1" si="45"/>
        <v>#NUM!</v>
      </c>
      <c r="Y100" s="5" t="e">
        <f t="shared" ca="1" si="46"/>
        <v>#NUM!</v>
      </c>
      <c r="Z100" s="15" t="str">
        <f t="shared" si="47"/>
        <v/>
      </c>
      <c r="AA100" s="15" t="str">
        <f t="shared" si="48"/>
        <v/>
      </c>
      <c r="AB100" s="15" t="str">
        <f t="shared" si="49"/>
        <v/>
      </c>
      <c r="AC100" s="15" t="str">
        <f t="shared" si="50"/>
        <v/>
      </c>
      <c r="AD100" s="15" t="str">
        <f t="shared" si="51"/>
        <v/>
      </c>
      <c r="AE100" s="15" t="str">
        <f t="shared" si="52"/>
        <v/>
      </c>
      <c r="AF100" s="15" t="str">
        <f t="shared" si="53"/>
        <v/>
      </c>
      <c r="AG100" s="15" t="str">
        <f t="shared" si="54"/>
        <v/>
      </c>
      <c r="AH100" s="15" t="str">
        <f t="shared" si="55"/>
        <v/>
      </c>
      <c r="AI100" s="15" t="str">
        <f t="shared" si="56"/>
        <v/>
      </c>
      <c r="AJ100" s="15" t="str">
        <f t="shared" si="57"/>
        <v/>
      </c>
      <c r="AK100" s="15" t="str">
        <f t="shared" si="58"/>
        <v/>
      </c>
      <c r="AL100" s="15" t="str">
        <f t="shared" si="59"/>
        <v/>
      </c>
      <c r="AM100" s="5">
        <f t="shared" si="60"/>
        <v>0</v>
      </c>
    </row>
    <row r="101" spans="1:39" x14ac:dyDescent="0.25">
      <c r="A101" s="52"/>
      <c r="B101" s="52"/>
      <c r="C101" s="90"/>
      <c r="D101" s="90"/>
      <c r="E101" s="90"/>
      <c r="F101" s="93"/>
      <c r="G101" s="94"/>
      <c r="H101" s="94"/>
      <c r="I101" s="95"/>
      <c r="J101" s="95"/>
      <c r="K101" s="95"/>
      <c r="L101" s="95"/>
      <c r="M101" s="95"/>
      <c r="N101" s="95"/>
      <c r="O101" s="95"/>
      <c r="P101" s="95"/>
      <c r="Q101" s="95"/>
      <c r="R101" s="95"/>
      <c r="S101" s="96"/>
      <c r="T101" s="13" t="e">
        <f t="shared" si="41"/>
        <v>#DIV/0!</v>
      </c>
      <c r="U101" s="4">
        <f t="shared" ca="1" si="42"/>
        <v>41553</v>
      </c>
      <c r="V101" s="4">
        <f t="shared" ca="1" si="43"/>
        <v>-41193</v>
      </c>
      <c r="W101" s="4" t="e">
        <f t="shared" ca="1" si="44"/>
        <v>#NUM!</v>
      </c>
      <c r="X101" s="13" t="e">
        <f t="shared" ca="1" si="45"/>
        <v>#NUM!</v>
      </c>
      <c r="Y101" s="5" t="e">
        <f t="shared" ca="1" si="46"/>
        <v>#NUM!</v>
      </c>
      <c r="Z101" s="15" t="str">
        <f t="shared" si="47"/>
        <v/>
      </c>
      <c r="AA101" s="15" t="str">
        <f t="shared" si="48"/>
        <v/>
      </c>
      <c r="AB101" s="15" t="str">
        <f t="shared" si="49"/>
        <v/>
      </c>
      <c r="AC101" s="15" t="str">
        <f t="shared" si="50"/>
        <v/>
      </c>
      <c r="AD101" s="15" t="str">
        <f t="shared" si="51"/>
        <v/>
      </c>
      <c r="AE101" s="15" t="str">
        <f t="shared" si="52"/>
        <v/>
      </c>
      <c r="AF101" s="15" t="str">
        <f t="shared" si="53"/>
        <v/>
      </c>
      <c r="AG101" s="15" t="str">
        <f t="shared" si="54"/>
        <v/>
      </c>
      <c r="AH101" s="15" t="str">
        <f t="shared" si="55"/>
        <v/>
      </c>
      <c r="AI101" s="15" t="str">
        <f t="shared" si="56"/>
        <v/>
      </c>
      <c r="AJ101" s="15" t="str">
        <f t="shared" si="57"/>
        <v/>
      </c>
      <c r="AK101" s="15" t="str">
        <f t="shared" si="58"/>
        <v/>
      </c>
      <c r="AL101" s="15" t="str">
        <f t="shared" si="59"/>
        <v/>
      </c>
      <c r="AM101" s="5">
        <f t="shared" si="60"/>
        <v>0</v>
      </c>
    </row>
    <row r="102" spans="1:39" x14ac:dyDescent="0.25">
      <c r="A102" s="52"/>
      <c r="B102" s="52"/>
      <c r="C102" s="90"/>
      <c r="D102" s="90"/>
      <c r="E102" s="90"/>
      <c r="F102" s="93"/>
      <c r="G102" s="94"/>
      <c r="H102" s="94"/>
      <c r="I102" s="95"/>
      <c r="J102" s="95"/>
      <c r="K102" s="95"/>
      <c r="L102" s="95"/>
      <c r="M102" s="95"/>
      <c r="N102" s="95"/>
      <c r="O102" s="95"/>
      <c r="P102" s="95"/>
      <c r="Q102" s="95"/>
      <c r="R102" s="95"/>
      <c r="S102" s="96"/>
      <c r="T102" s="13" t="e">
        <f t="shared" si="21"/>
        <v>#DIV/0!</v>
      </c>
      <c r="U102" s="4">
        <f t="shared" ca="1" si="22"/>
        <v>41553</v>
      </c>
      <c r="V102" s="4">
        <f t="shared" ca="1" si="23"/>
        <v>-41193</v>
      </c>
      <c r="W102" s="4" t="e">
        <f t="shared" ca="1" si="24"/>
        <v>#NUM!</v>
      </c>
      <c r="X102" s="13" t="e">
        <f t="shared" ca="1" si="25"/>
        <v>#NUM!</v>
      </c>
      <c r="Y102" s="5" t="e">
        <f t="shared" ca="1" si="26"/>
        <v>#NUM!</v>
      </c>
      <c r="Z102" s="15" t="str">
        <f t="shared" si="27"/>
        <v/>
      </c>
      <c r="AA102" s="15" t="str">
        <f t="shared" si="28"/>
        <v/>
      </c>
      <c r="AB102" s="15" t="str">
        <f t="shared" si="29"/>
        <v/>
      </c>
      <c r="AC102" s="15" t="str">
        <f t="shared" si="30"/>
        <v/>
      </c>
      <c r="AD102" s="15" t="str">
        <f t="shared" si="31"/>
        <v/>
      </c>
      <c r="AE102" s="15" t="str">
        <f t="shared" si="32"/>
        <v/>
      </c>
      <c r="AF102" s="15" t="str">
        <f t="shared" si="33"/>
        <v/>
      </c>
      <c r="AG102" s="15" t="str">
        <f t="shared" si="34"/>
        <v/>
      </c>
      <c r="AH102" s="15" t="str">
        <f t="shared" si="35"/>
        <v/>
      </c>
      <c r="AI102" s="15" t="str">
        <f t="shared" si="36"/>
        <v/>
      </c>
      <c r="AJ102" s="15" t="str">
        <f t="shared" si="37"/>
        <v/>
      </c>
      <c r="AK102" s="15" t="str">
        <f t="shared" si="38"/>
        <v/>
      </c>
      <c r="AL102" s="15" t="str">
        <f t="shared" si="39"/>
        <v/>
      </c>
      <c r="AM102" s="5">
        <f t="shared" si="40"/>
        <v>0</v>
      </c>
    </row>
    <row r="103" spans="1:39" x14ac:dyDescent="0.25">
      <c r="A103" s="52"/>
      <c r="B103" s="52"/>
      <c r="C103" s="90"/>
      <c r="D103" s="90"/>
      <c r="E103" s="90"/>
      <c r="F103" s="93"/>
      <c r="G103" s="94"/>
      <c r="H103" s="94"/>
      <c r="I103" s="95"/>
      <c r="J103" s="95"/>
      <c r="K103" s="95"/>
      <c r="L103" s="95"/>
      <c r="M103" s="95"/>
      <c r="N103" s="95"/>
      <c r="O103" s="95"/>
      <c r="P103" s="95"/>
      <c r="Q103" s="95"/>
      <c r="R103" s="95"/>
      <c r="S103" s="96"/>
      <c r="T103" s="13" t="e">
        <f t="shared" ref="T103" si="61">AVERAGE(F103:S103)</f>
        <v>#DIV/0!</v>
      </c>
      <c r="U103" s="4">
        <f t="shared" ref="U103" ca="1" si="62">IF(DAYS360(TODAY(),DATE(E103+2,D103,C103))&gt;=720,0,360-V103)</f>
        <v>41553</v>
      </c>
      <c r="V103" s="4">
        <f t="shared" ref="V103" ca="1" si="63">IF(DAYS360(TODAY(),DATE(E103+1,D103,C103))&lt;=360,DAYS360(TODAY(),DATE(E103+1,D103,C103)),360-W103)</f>
        <v>-41193</v>
      </c>
      <c r="W103" s="4" t="e">
        <f t="shared" ca="1" si="24"/>
        <v>#NUM!</v>
      </c>
      <c r="X103" s="13" t="e">
        <f t="shared" ref="X103" ca="1" si="64">(F103/360*U103)+(G103/360*V103)+(H103/360*W103)</f>
        <v>#NUM!</v>
      </c>
      <c r="Y103" s="5" t="e">
        <f t="shared" ref="Y103" ca="1" si="65">IF(X103&lt;0,IF(X103&lt;0,((X103/T103)-1)*-1,(X103/T103)-1),IF(T103&lt;0,ABS((X103/T103)-1),(X103/T103)-1))</f>
        <v>#NUM!</v>
      </c>
      <c r="Z103" s="15" t="str">
        <f t="shared" si="27"/>
        <v/>
      </c>
      <c r="AA103" s="15" t="str">
        <f t="shared" si="28"/>
        <v/>
      </c>
      <c r="AB103" s="15" t="str">
        <f t="shared" si="29"/>
        <v/>
      </c>
      <c r="AC103" s="15" t="str">
        <f t="shared" si="30"/>
        <v/>
      </c>
      <c r="AD103" s="15" t="str">
        <f t="shared" si="31"/>
        <v/>
      </c>
      <c r="AE103" s="15" t="str">
        <f t="shared" si="32"/>
        <v/>
      </c>
      <c r="AF103" s="15" t="str">
        <f t="shared" si="33"/>
        <v/>
      </c>
      <c r="AG103" s="15" t="str">
        <f t="shared" si="34"/>
        <v/>
      </c>
      <c r="AH103" s="15" t="str">
        <f t="shared" si="35"/>
        <v/>
      </c>
      <c r="AI103" s="15" t="str">
        <f t="shared" si="36"/>
        <v/>
      </c>
      <c r="AJ103" s="15" t="str">
        <f t="shared" si="37"/>
        <v/>
      </c>
      <c r="AK103" s="15" t="str">
        <f t="shared" si="38"/>
        <v/>
      </c>
      <c r="AL103" s="15" t="str">
        <f t="shared" si="39"/>
        <v/>
      </c>
      <c r="AM103" s="5">
        <f t="shared" ref="AM103" si="66">MIN(Z103:AL103)</f>
        <v>0</v>
      </c>
    </row>
  </sheetData>
  <autoFilter ref="A3:AM3">
    <sortState ref="A4:AM68">
      <sortCondition ref="B3"/>
    </sortState>
  </autoFilter>
  <mergeCells count="3">
    <mergeCell ref="U1:W1"/>
    <mergeCell ref="Z1:AL1"/>
    <mergeCell ref="C2:E2"/>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3"/>
  <sheetViews>
    <sheetView zoomScale="60" zoomScaleNormal="60" workbookViewId="0">
      <pane ySplit="3" topLeftCell="A4" activePane="bottomLeft" state="frozenSplit"/>
      <selection pane="bottomLeft"/>
    </sheetView>
  </sheetViews>
  <sheetFormatPr baseColWidth="10" defaultRowHeight="15" x14ac:dyDescent="0.25"/>
  <cols>
    <col min="1" max="1" width="28" customWidth="1"/>
    <col min="2" max="2" width="20.85546875" customWidth="1"/>
    <col min="3" max="3" width="14.85546875" customWidth="1"/>
    <col min="4" max="4" width="14.42578125" customWidth="1"/>
    <col min="5" max="12" width="14.85546875" customWidth="1"/>
    <col min="13" max="13" width="15.85546875" customWidth="1"/>
    <col min="14" max="14" width="14.85546875" bestFit="1" customWidth="1"/>
    <col min="15" max="15" width="14.42578125" customWidth="1"/>
    <col min="16" max="23" width="14.85546875" customWidth="1"/>
    <col min="24" max="24" width="18" customWidth="1"/>
    <col min="25" max="25" width="33.42578125" customWidth="1"/>
    <col min="26" max="26" width="14.42578125" customWidth="1"/>
  </cols>
  <sheetData>
    <row r="1" spans="1:26" x14ac:dyDescent="0.25">
      <c r="A1" s="1"/>
      <c r="B1" s="1"/>
      <c r="C1" s="1"/>
      <c r="D1" s="1"/>
      <c r="E1" s="1"/>
      <c r="F1" s="1"/>
      <c r="G1" s="1"/>
      <c r="H1" s="1"/>
      <c r="I1" s="1"/>
      <c r="J1" s="1"/>
      <c r="K1" s="1"/>
      <c r="L1" s="1"/>
      <c r="M1" s="1"/>
      <c r="N1" s="114" t="s">
        <v>122</v>
      </c>
      <c r="O1" s="114"/>
      <c r="P1" s="114"/>
      <c r="Q1" s="114"/>
      <c r="R1" s="114"/>
      <c r="S1" s="114"/>
      <c r="T1" s="114"/>
      <c r="U1" s="114"/>
      <c r="V1" s="114"/>
      <c r="W1" s="114"/>
    </row>
    <row r="2" spans="1:26" x14ac:dyDescent="0.25">
      <c r="A2" s="1"/>
      <c r="B2" s="1"/>
      <c r="C2" s="1">
        <v>2015</v>
      </c>
      <c r="D2" s="1">
        <v>2014</v>
      </c>
      <c r="E2" s="1">
        <v>2013</v>
      </c>
      <c r="F2" s="1">
        <v>2012</v>
      </c>
      <c r="G2" s="1">
        <v>2011</v>
      </c>
      <c r="H2" s="1">
        <v>2010</v>
      </c>
      <c r="I2" s="1">
        <v>2009</v>
      </c>
      <c r="J2" s="1">
        <v>2008</v>
      </c>
      <c r="K2" s="1">
        <v>2007</v>
      </c>
      <c r="L2" s="1">
        <v>2006</v>
      </c>
      <c r="M2" s="1">
        <v>2005</v>
      </c>
      <c r="N2" s="1">
        <f t="shared" ref="N2:W2" si="0">C2</f>
        <v>2015</v>
      </c>
      <c r="O2" s="1">
        <f t="shared" si="0"/>
        <v>2014</v>
      </c>
      <c r="P2" s="1">
        <f t="shared" si="0"/>
        <v>2013</v>
      </c>
      <c r="Q2" s="1">
        <f t="shared" si="0"/>
        <v>2012</v>
      </c>
      <c r="R2" s="1">
        <f t="shared" si="0"/>
        <v>2011</v>
      </c>
      <c r="S2" s="1">
        <f t="shared" si="0"/>
        <v>2010</v>
      </c>
      <c r="T2" s="1">
        <f t="shared" si="0"/>
        <v>2009</v>
      </c>
      <c r="U2" s="1">
        <f t="shared" si="0"/>
        <v>2008</v>
      </c>
      <c r="V2" s="1">
        <f t="shared" si="0"/>
        <v>2007</v>
      </c>
      <c r="W2" s="1">
        <f t="shared" si="0"/>
        <v>2006</v>
      </c>
    </row>
    <row r="3" spans="1:26" x14ac:dyDescent="0.25">
      <c r="A3" s="1" t="s">
        <v>0</v>
      </c>
      <c r="B3" s="1" t="s">
        <v>1</v>
      </c>
      <c r="C3" s="1" t="s">
        <v>169</v>
      </c>
      <c r="D3" s="1" t="s">
        <v>101</v>
      </c>
      <c r="E3" s="1" t="s">
        <v>102</v>
      </c>
      <c r="F3" s="1" t="s">
        <v>103</v>
      </c>
      <c r="G3" s="1" t="s">
        <v>104</v>
      </c>
      <c r="H3" s="1" t="s">
        <v>105</v>
      </c>
      <c r="I3" s="1" t="s">
        <v>106</v>
      </c>
      <c r="J3" s="1" t="s">
        <v>107</v>
      </c>
      <c r="K3" s="1" t="s">
        <v>108</v>
      </c>
      <c r="L3" s="1" t="s">
        <v>109</v>
      </c>
      <c r="M3" s="1" t="s">
        <v>110</v>
      </c>
      <c r="N3" s="1" t="s">
        <v>169</v>
      </c>
      <c r="O3" s="1" t="s">
        <v>101</v>
      </c>
      <c r="P3" s="1" t="s">
        <v>102</v>
      </c>
      <c r="Q3" s="1" t="s">
        <v>103</v>
      </c>
      <c r="R3" s="1" t="s">
        <v>104</v>
      </c>
      <c r="S3" s="1" t="s">
        <v>105</v>
      </c>
      <c r="T3" s="1" t="s">
        <v>106</v>
      </c>
      <c r="U3" s="1" t="s">
        <v>107</v>
      </c>
      <c r="V3" s="1" t="s">
        <v>108</v>
      </c>
      <c r="W3" s="1" t="s">
        <v>109</v>
      </c>
      <c r="X3" s="1" t="s">
        <v>120</v>
      </c>
      <c r="Y3" s="1" t="s">
        <v>121</v>
      </c>
      <c r="Z3" s="8" t="s">
        <v>152</v>
      </c>
    </row>
    <row r="4" spans="1:26" x14ac:dyDescent="0.25">
      <c r="A4" t="s">
        <v>80</v>
      </c>
      <c r="B4" t="s">
        <v>164</v>
      </c>
      <c r="C4" s="63"/>
      <c r="D4" s="6">
        <v>91.66</v>
      </c>
      <c r="E4" s="6">
        <v>91.75</v>
      </c>
      <c r="F4" s="6">
        <v>91.74</v>
      </c>
      <c r="G4" s="6">
        <v>91.25</v>
      </c>
      <c r="H4" s="6">
        <v>92.2</v>
      </c>
      <c r="I4" s="6">
        <v>94.6</v>
      </c>
      <c r="J4" s="6">
        <v>96.9</v>
      </c>
      <c r="K4" s="6">
        <v>100.8</v>
      </c>
      <c r="L4" s="6">
        <v>104</v>
      </c>
      <c r="M4" s="6">
        <v>106.4</v>
      </c>
      <c r="N4" s="15" t="str">
        <f t="shared" ref="N4:N35" si="1">IF(C4&lt;&gt;"",IF(D4&lt;&gt;"",(C4/D4)-1,""),"")</f>
        <v/>
      </c>
      <c r="O4" s="15">
        <f t="shared" ref="O4:O35" si="2">IF(D4&lt;&gt;"",IF(E4&lt;&gt;"",(D4/E4)-1,""),"")</f>
        <v>-9.8092643051772566E-4</v>
      </c>
      <c r="P4" s="15">
        <f t="shared" ref="P4:P35" si="3">IF(E4&lt;&gt;"",IF(F4&lt;&gt;"",(E4/F4)-1,""),"")</f>
        <v>1.0900370612598742E-4</v>
      </c>
      <c r="Q4" s="15">
        <f t="shared" ref="Q4:Q35" si="4">IF(F4&lt;&gt;"",IF(G4&lt;&gt;"",(F4/G4)-1,""),"")</f>
        <v>5.3698630136986836E-3</v>
      </c>
      <c r="R4" s="15">
        <f t="shared" ref="R4:R35" si="5">IF(G4&lt;&gt;"",IF(H4&lt;&gt;"",(G4/H4)-1,""),"")</f>
        <v>-1.0303687635574876E-2</v>
      </c>
      <c r="S4" s="15">
        <f t="shared" ref="S4:S35" si="6">IF(H4&lt;&gt;"",IF(I4&lt;&gt;"",(H4/I4)-1,""),"")</f>
        <v>-2.5369978858350906E-2</v>
      </c>
      <c r="T4" s="15">
        <f t="shared" ref="T4:T35" si="7">IF(I4&lt;&gt;"",IF(J4&lt;&gt;"",(I4/J4)-1,""),"")</f>
        <v>-2.3735810113519218E-2</v>
      </c>
      <c r="U4" s="15">
        <f t="shared" ref="U4:U35" si="8">IF(J4&lt;&gt;"",IF(K4&lt;&gt;"",(J4/K4)-1,""),"")</f>
        <v>-3.8690476190476053E-2</v>
      </c>
      <c r="V4" s="15">
        <f t="shared" ref="V4:V35" si="9">IF(K4&lt;&gt;"",IF(L4&lt;&gt;"",(K4/L4)-1,""),"")</f>
        <v>-3.0769230769230771E-2</v>
      </c>
      <c r="W4" s="15">
        <f t="shared" ref="W4:W35" si="10">IF(L4&lt;&gt;"",IF(M4&lt;&gt;"",(L4/M4)-1,""),"")</f>
        <v>-2.2556390977443663E-2</v>
      </c>
      <c r="X4" s="5">
        <f t="shared" ref="X4:X35" si="11">AVERAGE(N4:W4)</f>
        <v>-1.6325292695032061E-2</v>
      </c>
      <c r="Y4" s="5">
        <f t="shared" ref="Y4:Y35" si="12">IF(X4=0,0,IF(X4&lt;0,IF(C4&lt;&gt;"",(N4/X4)-1,(O4/X4)-1),IF(C4&lt;&gt;"",IF(N4&lt;0,((N4/X4)-1)*-1,-99.99999),IF(O4&lt;0,((O4/X4)-1)*-1,-99.99999))))</f>
        <v>-0.93991370024157483</v>
      </c>
      <c r="Z4" s="5">
        <f t="shared" ref="Z4:Z35" si="13">IF(C4&lt;&gt;"",N4,O4)</f>
        <v>-9.8092643051772566E-4</v>
      </c>
    </row>
    <row r="5" spans="1:26" x14ac:dyDescent="0.25">
      <c r="A5" t="s">
        <v>2</v>
      </c>
      <c r="B5" t="s">
        <v>3</v>
      </c>
      <c r="C5" s="63"/>
      <c r="D5" s="6">
        <v>2399</v>
      </c>
      <c r="E5" s="6">
        <v>2426</v>
      </c>
      <c r="F5" s="6">
        <v>2706</v>
      </c>
      <c r="G5" s="6">
        <v>2746</v>
      </c>
      <c r="H5" s="6">
        <v>2638</v>
      </c>
      <c r="I5" s="6">
        <v>2638</v>
      </c>
      <c r="J5" s="6">
        <v>2644</v>
      </c>
      <c r="K5" s="6">
        <v>2729</v>
      </c>
      <c r="L5" s="6">
        <v>2729</v>
      </c>
      <c r="M5" s="6">
        <v>2739</v>
      </c>
      <c r="N5" s="15" t="str">
        <f t="shared" si="1"/>
        <v/>
      </c>
      <c r="O5" s="15">
        <f t="shared" si="2"/>
        <v>-1.1129431162407277E-2</v>
      </c>
      <c r="P5" s="15">
        <f t="shared" si="3"/>
        <v>-0.10347376201034741</v>
      </c>
      <c r="Q5" s="15">
        <f t="shared" si="4"/>
        <v>-1.4566642388929352E-2</v>
      </c>
      <c r="R5" s="15">
        <f t="shared" si="5"/>
        <v>4.0940106141015953E-2</v>
      </c>
      <c r="S5" s="15">
        <f t="shared" si="6"/>
        <v>0</v>
      </c>
      <c r="T5" s="15">
        <f t="shared" si="7"/>
        <v>-2.2692889561271024E-3</v>
      </c>
      <c r="U5" s="15">
        <f t="shared" si="8"/>
        <v>-3.1146940271161605E-2</v>
      </c>
      <c r="V5" s="15">
        <f t="shared" si="9"/>
        <v>0</v>
      </c>
      <c r="W5" s="15">
        <f t="shared" si="10"/>
        <v>-3.6509675063891578E-3</v>
      </c>
      <c r="X5" s="5">
        <f t="shared" si="11"/>
        <v>-1.3921880683816217E-2</v>
      </c>
      <c r="Y5" s="5">
        <f t="shared" si="12"/>
        <v>-0.20057990617999488</v>
      </c>
      <c r="Z5" s="5">
        <f t="shared" si="13"/>
        <v>-1.1129431162407277E-2</v>
      </c>
    </row>
    <row r="6" spans="1:26" x14ac:dyDescent="0.25">
      <c r="A6" t="s">
        <v>4</v>
      </c>
      <c r="B6" t="s">
        <v>5</v>
      </c>
      <c r="C6" s="63"/>
      <c r="D6" s="6">
        <v>862.56</v>
      </c>
      <c r="E6" s="6">
        <v>862.56</v>
      </c>
      <c r="F6" s="6">
        <v>862.56</v>
      </c>
      <c r="G6" s="6">
        <v>862.56</v>
      </c>
      <c r="H6" s="6">
        <v>862.56</v>
      </c>
      <c r="I6" s="6">
        <v>862.56</v>
      </c>
      <c r="J6" s="6">
        <v>862.56</v>
      </c>
      <c r="K6" s="6">
        <v>862.6</v>
      </c>
      <c r="L6" s="6">
        <v>862.6</v>
      </c>
      <c r="M6" s="6">
        <v>862.6</v>
      </c>
      <c r="N6" s="15" t="str">
        <f t="shared" si="1"/>
        <v/>
      </c>
      <c r="O6" s="15">
        <f t="shared" si="2"/>
        <v>0</v>
      </c>
      <c r="P6" s="15">
        <f t="shared" si="3"/>
        <v>0</v>
      </c>
      <c r="Q6" s="15">
        <f t="shared" si="4"/>
        <v>0</v>
      </c>
      <c r="R6" s="15">
        <f t="shared" si="5"/>
        <v>0</v>
      </c>
      <c r="S6" s="15">
        <f t="shared" si="6"/>
        <v>0</v>
      </c>
      <c r="T6" s="15">
        <f t="shared" si="7"/>
        <v>0</v>
      </c>
      <c r="U6" s="15">
        <f t="shared" si="8"/>
        <v>-4.6371435196035371E-5</v>
      </c>
      <c r="V6" s="15">
        <f t="shared" si="9"/>
        <v>0</v>
      </c>
      <c r="W6" s="15">
        <f t="shared" si="10"/>
        <v>0</v>
      </c>
      <c r="X6" s="5">
        <f t="shared" si="11"/>
        <v>-5.1523816884483748E-6</v>
      </c>
      <c r="Y6" s="5">
        <f t="shared" si="12"/>
        <v>-1</v>
      </c>
      <c r="Z6" s="5">
        <f t="shared" si="13"/>
        <v>0</v>
      </c>
    </row>
    <row r="7" spans="1:26" x14ac:dyDescent="0.25">
      <c r="A7" t="s">
        <v>6</v>
      </c>
      <c r="B7" t="s">
        <v>7</v>
      </c>
      <c r="C7" s="63"/>
      <c r="D7" s="6">
        <v>3225</v>
      </c>
      <c r="E7" s="6">
        <v>3225</v>
      </c>
      <c r="F7" s="6">
        <v>3225</v>
      </c>
      <c r="G7" s="6">
        <v>3300</v>
      </c>
      <c r="H7" s="6">
        <v>3465</v>
      </c>
      <c r="I7" s="6">
        <v>3650</v>
      </c>
      <c r="J7" s="6">
        <v>3830</v>
      </c>
      <c r="K7" s="6">
        <v>3931</v>
      </c>
      <c r="L7" s="6">
        <v>4007</v>
      </c>
      <c r="M7" s="6">
        <v>4035</v>
      </c>
      <c r="N7" s="15" t="str">
        <f t="shared" si="1"/>
        <v/>
      </c>
      <c r="O7" s="15">
        <f t="shared" si="2"/>
        <v>0</v>
      </c>
      <c r="P7" s="15">
        <f t="shared" si="3"/>
        <v>0</v>
      </c>
      <c r="Q7" s="15">
        <f t="shared" si="4"/>
        <v>-2.2727272727272707E-2</v>
      </c>
      <c r="R7" s="15">
        <f t="shared" si="5"/>
        <v>-4.7619047619047672E-2</v>
      </c>
      <c r="S7" s="15">
        <f t="shared" si="6"/>
        <v>-5.0684931506849273E-2</v>
      </c>
      <c r="T7" s="15">
        <f t="shared" si="7"/>
        <v>-4.6997389033942572E-2</v>
      </c>
      <c r="U7" s="15">
        <f t="shared" si="8"/>
        <v>-2.5693207835156495E-2</v>
      </c>
      <c r="V7" s="15">
        <f t="shared" si="9"/>
        <v>-1.8966808085849718E-2</v>
      </c>
      <c r="W7" s="15">
        <f t="shared" si="10"/>
        <v>-6.9392812887236754E-3</v>
      </c>
      <c r="X7" s="5">
        <f t="shared" si="11"/>
        <v>-2.4403104232982458E-2</v>
      </c>
      <c r="Y7" s="5">
        <f t="shared" si="12"/>
        <v>-1</v>
      </c>
      <c r="Z7" s="5">
        <f t="shared" si="13"/>
        <v>0</v>
      </c>
    </row>
    <row r="8" spans="1:26" x14ac:dyDescent="0.25">
      <c r="A8" t="s">
        <v>8</v>
      </c>
      <c r="B8" t="s">
        <v>9</v>
      </c>
      <c r="C8" s="63"/>
      <c r="D8" s="6">
        <v>252</v>
      </c>
      <c r="E8" s="6">
        <v>252</v>
      </c>
      <c r="F8" s="6">
        <v>252</v>
      </c>
      <c r="G8" s="6">
        <v>252</v>
      </c>
      <c r="H8" s="6">
        <v>252</v>
      </c>
      <c r="I8" s="6">
        <v>252</v>
      </c>
      <c r="J8" s="6">
        <v>252</v>
      </c>
      <c r="K8" s="6">
        <v>252</v>
      </c>
      <c r="L8" s="6">
        <v>252</v>
      </c>
      <c r="M8" s="6">
        <v>252</v>
      </c>
      <c r="N8" s="15" t="str">
        <f t="shared" si="1"/>
        <v/>
      </c>
      <c r="O8" s="15">
        <f t="shared" si="2"/>
        <v>0</v>
      </c>
      <c r="P8" s="15">
        <f t="shared" si="3"/>
        <v>0</v>
      </c>
      <c r="Q8" s="15">
        <f t="shared" si="4"/>
        <v>0</v>
      </c>
      <c r="R8" s="15">
        <f t="shared" si="5"/>
        <v>0</v>
      </c>
      <c r="S8" s="15">
        <f t="shared" si="6"/>
        <v>0</v>
      </c>
      <c r="T8" s="15">
        <f t="shared" si="7"/>
        <v>0</v>
      </c>
      <c r="U8" s="15">
        <f t="shared" si="8"/>
        <v>0</v>
      </c>
      <c r="V8" s="15">
        <f t="shared" si="9"/>
        <v>0</v>
      </c>
      <c r="W8" s="15">
        <f t="shared" si="10"/>
        <v>0</v>
      </c>
      <c r="X8" s="5">
        <f t="shared" si="11"/>
        <v>0</v>
      </c>
      <c r="Y8" s="5">
        <f t="shared" si="12"/>
        <v>0</v>
      </c>
      <c r="Z8" s="5">
        <f t="shared" si="13"/>
        <v>0</v>
      </c>
    </row>
    <row r="9" spans="1:26" x14ac:dyDescent="0.25">
      <c r="A9" t="s">
        <v>10</v>
      </c>
      <c r="B9" t="s">
        <v>11</v>
      </c>
      <c r="C9" s="63"/>
      <c r="D9" s="6">
        <v>1211</v>
      </c>
      <c r="E9" s="6">
        <v>1209</v>
      </c>
      <c r="F9" s="6">
        <v>1209</v>
      </c>
      <c r="G9" s="6">
        <v>1209</v>
      </c>
      <c r="H9" s="6">
        <v>1209</v>
      </c>
      <c r="I9" s="6">
        <v>1209</v>
      </c>
      <c r="J9" s="6">
        <v>1209</v>
      </c>
      <c r="K9" s="6">
        <v>1208</v>
      </c>
      <c r="L9" s="6">
        <v>1202</v>
      </c>
      <c r="M9" s="6">
        <v>1193</v>
      </c>
      <c r="N9" s="15" t="str">
        <f t="shared" si="1"/>
        <v/>
      </c>
      <c r="O9" s="15">
        <f t="shared" si="2"/>
        <v>1.6542597187758634E-3</v>
      </c>
      <c r="P9" s="15">
        <f t="shared" si="3"/>
        <v>0</v>
      </c>
      <c r="Q9" s="15">
        <f t="shared" si="4"/>
        <v>0</v>
      </c>
      <c r="R9" s="15">
        <f t="shared" si="5"/>
        <v>0</v>
      </c>
      <c r="S9" s="15">
        <f t="shared" si="6"/>
        <v>0</v>
      </c>
      <c r="T9" s="15">
        <f t="shared" si="7"/>
        <v>0</v>
      </c>
      <c r="U9" s="15">
        <f t="shared" si="8"/>
        <v>8.2781456953640031E-4</v>
      </c>
      <c r="V9" s="15">
        <f t="shared" si="9"/>
        <v>4.991680532445919E-3</v>
      </c>
      <c r="W9" s="15">
        <f t="shared" si="10"/>
        <v>7.5440067057837012E-3</v>
      </c>
      <c r="X9" s="5">
        <f t="shared" si="11"/>
        <v>1.6686401696157649E-3</v>
      </c>
      <c r="Y9" s="5">
        <f t="shared" si="12"/>
        <v>-99.999989999999997</v>
      </c>
      <c r="Z9" s="5">
        <f t="shared" si="13"/>
        <v>1.6542597187758634E-3</v>
      </c>
    </row>
    <row r="10" spans="1:26" x14ac:dyDescent="0.25">
      <c r="A10" t="s">
        <v>12</v>
      </c>
      <c r="B10" t="s">
        <v>13</v>
      </c>
      <c r="C10" s="63"/>
      <c r="D10" s="6">
        <v>4536</v>
      </c>
      <c r="E10" s="6">
        <v>4451</v>
      </c>
      <c r="F10" s="6">
        <v>4321</v>
      </c>
      <c r="G10" s="6">
        <v>4321</v>
      </c>
      <c r="H10" s="6">
        <v>4321</v>
      </c>
      <c r="I10" s="6">
        <v>4361</v>
      </c>
      <c r="J10" s="6">
        <v>4361</v>
      </c>
      <c r="K10" s="6">
        <v>4361</v>
      </c>
      <c r="L10" s="6">
        <v>4361</v>
      </c>
      <c r="M10" s="6">
        <v>4198</v>
      </c>
      <c r="N10" s="15" t="str">
        <f t="shared" si="1"/>
        <v/>
      </c>
      <c r="O10" s="15">
        <f t="shared" si="2"/>
        <v>1.9096832172545541E-2</v>
      </c>
      <c r="P10" s="15">
        <f t="shared" si="3"/>
        <v>3.0085628326776304E-2</v>
      </c>
      <c r="Q10" s="15">
        <f t="shared" si="4"/>
        <v>0</v>
      </c>
      <c r="R10" s="15">
        <f t="shared" si="5"/>
        <v>0</v>
      </c>
      <c r="S10" s="15">
        <f t="shared" si="6"/>
        <v>-9.1722082091263424E-3</v>
      </c>
      <c r="T10" s="15">
        <f t="shared" si="7"/>
        <v>0</v>
      </c>
      <c r="U10" s="15">
        <f t="shared" si="8"/>
        <v>0</v>
      </c>
      <c r="V10" s="15">
        <f t="shared" si="9"/>
        <v>0</v>
      </c>
      <c r="W10" s="15">
        <f t="shared" si="10"/>
        <v>3.8828013339685663E-2</v>
      </c>
      <c r="X10" s="5">
        <f t="shared" si="11"/>
        <v>8.7598072922090188E-3</v>
      </c>
      <c r="Y10" s="5">
        <f t="shared" si="12"/>
        <v>-99.999989999999997</v>
      </c>
      <c r="Z10" s="5">
        <f t="shared" si="13"/>
        <v>1.9096832172545541E-2</v>
      </c>
    </row>
    <row r="11" spans="1:26" x14ac:dyDescent="0.25">
      <c r="A11" t="s">
        <v>14</v>
      </c>
      <c r="B11" t="s">
        <v>15</v>
      </c>
      <c r="C11" s="63"/>
      <c r="D11" s="6">
        <v>1229</v>
      </c>
      <c r="E11" s="6">
        <v>1229</v>
      </c>
      <c r="F11" s="6">
        <v>1229</v>
      </c>
      <c r="G11" s="6">
        <v>1228</v>
      </c>
      <c r="H11" s="6">
        <v>1227</v>
      </c>
      <c r="I11" s="6">
        <v>1226</v>
      </c>
      <c r="J11" s="6">
        <v>1226</v>
      </c>
      <c r="K11" s="6">
        <v>1246</v>
      </c>
      <c r="L11" s="6">
        <v>1268</v>
      </c>
      <c r="M11" s="6">
        <v>1266</v>
      </c>
      <c r="N11" s="15" t="str">
        <f t="shared" si="1"/>
        <v/>
      </c>
      <c r="O11" s="15">
        <f t="shared" si="2"/>
        <v>0</v>
      </c>
      <c r="P11" s="15">
        <f t="shared" si="3"/>
        <v>0</v>
      </c>
      <c r="Q11" s="15">
        <f t="shared" si="4"/>
        <v>8.143322475568926E-4</v>
      </c>
      <c r="R11" s="15">
        <f t="shared" si="5"/>
        <v>8.1499592502032314E-4</v>
      </c>
      <c r="S11" s="15">
        <f t="shared" si="6"/>
        <v>8.1566068515503964E-4</v>
      </c>
      <c r="T11" s="15">
        <f t="shared" si="7"/>
        <v>0</v>
      </c>
      <c r="U11" s="15">
        <f t="shared" si="8"/>
        <v>-1.6051364365971099E-2</v>
      </c>
      <c r="V11" s="15">
        <f t="shared" si="9"/>
        <v>-1.7350157728706628E-2</v>
      </c>
      <c r="W11" s="15">
        <f t="shared" si="10"/>
        <v>1.5797788309637184E-3</v>
      </c>
      <c r="X11" s="5">
        <f t="shared" si="11"/>
        <v>-3.2640838228868616E-3</v>
      </c>
      <c r="Y11" s="5">
        <f t="shared" si="12"/>
        <v>-1</v>
      </c>
      <c r="Z11" s="5">
        <f t="shared" si="13"/>
        <v>0</v>
      </c>
    </row>
    <row r="12" spans="1:26" x14ac:dyDescent="0.25">
      <c r="A12" t="s">
        <v>16</v>
      </c>
      <c r="B12" t="s">
        <v>17</v>
      </c>
      <c r="C12" s="63"/>
      <c r="D12" s="6">
        <v>881</v>
      </c>
      <c r="E12" s="6">
        <v>881</v>
      </c>
      <c r="F12" s="6">
        <v>881</v>
      </c>
      <c r="G12" s="6">
        <v>914.2</v>
      </c>
      <c r="H12" s="6">
        <v>914.2</v>
      </c>
      <c r="I12" s="6">
        <v>914.2</v>
      </c>
      <c r="J12" s="6">
        <v>914.2</v>
      </c>
      <c r="K12" s="6">
        <v>914.2</v>
      </c>
      <c r="L12" s="6">
        <v>891</v>
      </c>
      <c r="M12" s="6">
        <v>891</v>
      </c>
      <c r="N12" s="15" t="str">
        <f t="shared" si="1"/>
        <v/>
      </c>
      <c r="O12" s="15">
        <f t="shared" si="2"/>
        <v>0</v>
      </c>
      <c r="P12" s="15">
        <f t="shared" si="3"/>
        <v>0</v>
      </c>
      <c r="Q12" s="15">
        <f t="shared" si="4"/>
        <v>-3.6315904616057826E-2</v>
      </c>
      <c r="R12" s="15">
        <f t="shared" si="5"/>
        <v>0</v>
      </c>
      <c r="S12" s="15">
        <f t="shared" si="6"/>
        <v>0</v>
      </c>
      <c r="T12" s="15">
        <f t="shared" si="7"/>
        <v>0</v>
      </c>
      <c r="U12" s="15">
        <f t="shared" si="8"/>
        <v>0</v>
      </c>
      <c r="V12" s="15">
        <f t="shared" si="9"/>
        <v>2.6038159371492675E-2</v>
      </c>
      <c r="W12" s="15">
        <f t="shared" si="10"/>
        <v>0</v>
      </c>
      <c r="X12" s="5">
        <f t="shared" si="11"/>
        <v>-1.1419716938405723E-3</v>
      </c>
      <c r="Y12" s="5">
        <f t="shared" si="12"/>
        <v>-1</v>
      </c>
      <c r="Z12" s="5">
        <f t="shared" si="13"/>
        <v>0</v>
      </c>
    </row>
    <row r="13" spans="1:26" x14ac:dyDescent="0.25">
      <c r="A13" t="s">
        <v>18</v>
      </c>
      <c r="B13" t="s">
        <v>19</v>
      </c>
      <c r="C13" s="63"/>
      <c r="D13" s="6">
        <v>457</v>
      </c>
      <c r="E13" s="6">
        <v>456.5</v>
      </c>
      <c r="F13" s="6">
        <v>455.95</v>
      </c>
      <c r="G13" s="6">
        <v>455.3</v>
      </c>
      <c r="H13" s="6">
        <v>454.5</v>
      </c>
      <c r="I13" s="6">
        <v>453.9</v>
      </c>
      <c r="J13" s="6">
        <v>453.05</v>
      </c>
      <c r="K13" s="6">
        <v>450.2</v>
      </c>
      <c r="L13" s="6">
        <v>432.2</v>
      </c>
      <c r="M13" s="6">
        <v>406</v>
      </c>
      <c r="N13" s="15" t="str">
        <f t="shared" si="1"/>
        <v/>
      </c>
      <c r="O13" s="15">
        <f t="shared" si="2"/>
        <v>1.0952902519167917E-3</v>
      </c>
      <c r="P13" s="15">
        <f t="shared" si="3"/>
        <v>1.2062726176116367E-3</v>
      </c>
      <c r="Q13" s="15">
        <f t="shared" si="4"/>
        <v>1.4276301339775088E-3</v>
      </c>
      <c r="R13" s="15">
        <f t="shared" si="5"/>
        <v>1.7601760176018111E-3</v>
      </c>
      <c r="S13" s="15">
        <f t="shared" si="6"/>
        <v>1.3218770654330747E-3</v>
      </c>
      <c r="T13" s="15">
        <f t="shared" si="7"/>
        <v>1.8761726078797558E-3</v>
      </c>
      <c r="U13" s="15">
        <f t="shared" si="8"/>
        <v>6.3305197689915715E-3</v>
      </c>
      <c r="V13" s="15">
        <f t="shared" si="9"/>
        <v>4.1647385469689935E-2</v>
      </c>
      <c r="W13" s="15">
        <f t="shared" si="10"/>
        <v>6.4532019704433452E-2</v>
      </c>
      <c r="X13" s="5">
        <f t="shared" si="11"/>
        <v>1.3466371515281727E-2</v>
      </c>
      <c r="Y13" s="5">
        <f t="shared" si="12"/>
        <v>-99.999989999999997</v>
      </c>
      <c r="Z13" s="5">
        <f t="shared" si="13"/>
        <v>1.0952902519167917E-3</v>
      </c>
    </row>
    <row r="14" spans="1:26" x14ac:dyDescent="0.25">
      <c r="A14" t="s">
        <v>20</v>
      </c>
      <c r="B14" t="s">
        <v>21</v>
      </c>
      <c r="C14" s="63"/>
      <c r="D14" s="6">
        <v>172.94</v>
      </c>
      <c r="E14" s="6">
        <v>179.34</v>
      </c>
      <c r="F14" s="6">
        <v>179.34</v>
      </c>
      <c r="G14" s="6">
        <v>179.3</v>
      </c>
      <c r="H14" s="6">
        <v>188.5</v>
      </c>
      <c r="I14" s="6">
        <v>197.4</v>
      </c>
      <c r="J14" s="6">
        <v>206.4</v>
      </c>
      <c r="K14" s="6">
        <v>217.9</v>
      </c>
      <c r="L14" s="6">
        <v>229.6</v>
      </c>
      <c r="M14" s="6">
        <v>229.6</v>
      </c>
      <c r="N14" s="15" t="str">
        <f t="shared" si="1"/>
        <v/>
      </c>
      <c r="O14" s="15">
        <f t="shared" si="2"/>
        <v>-3.5686405709824953E-2</v>
      </c>
      <c r="P14" s="15">
        <f t="shared" si="3"/>
        <v>0</v>
      </c>
      <c r="Q14" s="15">
        <f t="shared" si="4"/>
        <v>2.2308979364193959E-4</v>
      </c>
      <c r="R14" s="15">
        <f t="shared" si="5"/>
        <v>-4.8806366047745353E-2</v>
      </c>
      <c r="S14" s="15">
        <f t="shared" si="6"/>
        <v>-4.5086119554204718E-2</v>
      </c>
      <c r="T14" s="15">
        <f t="shared" si="7"/>
        <v>-4.3604651162790664E-2</v>
      </c>
      <c r="U14" s="15">
        <f t="shared" si="8"/>
        <v>-5.2776502983019724E-2</v>
      </c>
      <c r="V14" s="15">
        <f t="shared" si="9"/>
        <v>-5.0958188153310102E-2</v>
      </c>
      <c r="W14" s="15">
        <f t="shared" si="10"/>
        <v>0</v>
      </c>
      <c r="X14" s="5">
        <f t="shared" si="11"/>
        <v>-3.0743904868583732E-2</v>
      </c>
      <c r="Y14" s="5">
        <f t="shared" si="12"/>
        <v>0.16076360053702277</v>
      </c>
      <c r="Z14" s="5">
        <f t="shared" si="13"/>
        <v>-3.5686405709824953E-2</v>
      </c>
    </row>
    <row r="15" spans="1:26" x14ac:dyDescent="0.25">
      <c r="A15" t="s">
        <v>22</v>
      </c>
      <c r="B15" t="s">
        <v>23</v>
      </c>
      <c r="C15" s="63"/>
      <c r="D15" s="6">
        <v>918.5</v>
      </c>
      <c r="E15" s="6">
        <v>918.5</v>
      </c>
      <c r="F15" s="6">
        <v>918.5</v>
      </c>
      <c r="G15" s="6">
        <v>918.5</v>
      </c>
      <c r="H15" s="6">
        <v>918.5</v>
      </c>
      <c r="I15" s="6">
        <v>918.5</v>
      </c>
      <c r="J15" s="6">
        <v>918.5</v>
      </c>
      <c r="K15" s="6">
        <v>956.4</v>
      </c>
      <c r="L15" s="6">
        <v>999.4</v>
      </c>
      <c r="M15" s="6">
        <v>1029</v>
      </c>
      <c r="N15" s="15" t="str">
        <f t="shared" si="1"/>
        <v/>
      </c>
      <c r="O15" s="15">
        <f t="shared" si="2"/>
        <v>0</v>
      </c>
      <c r="P15" s="15">
        <f t="shared" si="3"/>
        <v>0</v>
      </c>
      <c r="Q15" s="15">
        <f t="shared" si="4"/>
        <v>0</v>
      </c>
      <c r="R15" s="15">
        <f t="shared" si="5"/>
        <v>0</v>
      </c>
      <c r="S15" s="15">
        <f t="shared" si="6"/>
        <v>0</v>
      </c>
      <c r="T15" s="15">
        <f t="shared" si="7"/>
        <v>0</v>
      </c>
      <c r="U15" s="15">
        <f t="shared" si="8"/>
        <v>-3.9627770807193596E-2</v>
      </c>
      <c r="V15" s="15">
        <f t="shared" si="9"/>
        <v>-4.3025815489293628E-2</v>
      </c>
      <c r="W15" s="15">
        <f t="shared" si="10"/>
        <v>-2.8765792031098192E-2</v>
      </c>
      <c r="X15" s="5">
        <f t="shared" si="11"/>
        <v>-1.2379930925287268E-2</v>
      </c>
      <c r="Y15" s="5">
        <f t="shared" si="12"/>
        <v>-1</v>
      </c>
      <c r="Z15" s="5">
        <f t="shared" si="13"/>
        <v>0</v>
      </c>
    </row>
    <row r="16" spans="1:26" x14ac:dyDescent="0.25">
      <c r="A16" t="s">
        <v>24</v>
      </c>
      <c r="B16" t="s">
        <v>25</v>
      </c>
      <c r="C16" s="63"/>
      <c r="D16" s="6">
        <v>826.95</v>
      </c>
      <c r="E16" s="6">
        <v>826.95</v>
      </c>
      <c r="F16" s="6">
        <v>826.95</v>
      </c>
      <c r="G16" s="6">
        <v>826.95</v>
      </c>
      <c r="H16" s="6">
        <v>826.9</v>
      </c>
      <c r="I16" s="6">
        <v>826.9</v>
      </c>
      <c r="J16" s="6">
        <v>764.3</v>
      </c>
      <c r="K16" s="6">
        <v>764.3</v>
      </c>
      <c r="L16" s="6">
        <v>764.3</v>
      </c>
      <c r="M16" s="6">
        <v>730.3</v>
      </c>
      <c r="N16" s="15" t="str">
        <f t="shared" si="1"/>
        <v/>
      </c>
      <c r="O16" s="15">
        <f t="shared" si="2"/>
        <v>0</v>
      </c>
      <c r="P16" s="15">
        <f t="shared" si="3"/>
        <v>0</v>
      </c>
      <c r="Q16" s="15">
        <f t="shared" si="4"/>
        <v>0</v>
      </c>
      <c r="R16" s="15">
        <f t="shared" si="5"/>
        <v>6.0466803724734675E-5</v>
      </c>
      <c r="S16" s="15">
        <f t="shared" si="6"/>
        <v>0</v>
      </c>
      <c r="T16" s="15">
        <f t="shared" si="7"/>
        <v>8.1905011121287563E-2</v>
      </c>
      <c r="U16" s="15">
        <f t="shared" si="8"/>
        <v>0</v>
      </c>
      <c r="V16" s="15">
        <f t="shared" si="9"/>
        <v>0</v>
      </c>
      <c r="W16" s="15">
        <f t="shared" si="10"/>
        <v>4.655620977680397E-2</v>
      </c>
      <c r="X16" s="5">
        <f t="shared" si="11"/>
        <v>1.4280187522424029E-2</v>
      </c>
      <c r="Y16" s="5">
        <f t="shared" si="12"/>
        <v>-99.999989999999997</v>
      </c>
      <c r="Z16" s="5">
        <f t="shared" si="13"/>
        <v>0</v>
      </c>
    </row>
    <row r="17" spans="1:26" x14ac:dyDescent="0.25">
      <c r="A17" t="s">
        <v>26</v>
      </c>
      <c r="B17" t="s">
        <v>27</v>
      </c>
      <c r="C17" s="63"/>
      <c r="D17" s="6">
        <v>4657</v>
      </c>
      <c r="E17" s="6">
        <v>4551</v>
      </c>
      <c r="F17" s="6">
        <v>4551</v>
      </c>
      <c r="G17" s="6">
        <v>4511</v>
      </c>
      <c r="H17" s="6">
        <v>4522</v>
      </c>
      <c r="I17" s="6">
        <v>4553</v>
      </c>
      <c r="J17" s="6">
        <v>4705</v>
      </c>
      <c r="K17" s="6">
        <v>4774</v>
      </c>
      <c r="L17" s="6">
        <v>4921</v>
      </c>
      <c r="M17" s="6">
        <v>4921</v>
      </c>
      <c r="N17" s="15" t="str">
        <f t="shared" si="1"/>
        <v/>
      </c>
      <c r="O17" s="15">
        <f t="shared" si="2"/>
        <v>2.3291584267194132E-2</v>
      </c>
      <c r="P17" s="15">
        <f t="shared" si="3"/>
        <v>0</v>
      </c>
      <c r="Q17" s="15">
        <f t="shared" si="4"/>
        <v>8.8672134781644374E-3</v>
      </c>
      <c r="R17" s="15">
        <f t="shared" si="5"/>
        <v>-2.4325519681557273E-3</v>
      </c>
      <c r="S17" s="15">
        <f t="shared" si="6"/>
        <v>-6.8086975620470502E-3</v>
      </c>
      <c r="T17" s="15">
        <f t="shared" si="7"/>
        <v>-3.2306057385759868E-2</v>
      </c>
      <c r="U17" s="15">
        <f t="shared" si="8"/>
        <v>-1.4453288646837037E-2</v>
      </c>
      <c r="V17" s="15">
        <f t="shared" si="9"/>
        <v>-2.9871977240398251E-2</v>
      </c>
      <c r="W17" s="15">
        <f t="shared" si="10"/>
        <v>0</v>
      </c>
      <c r="X17" s="5">
        <f t="shared" si="11"/>
        <v>-5.9681972286488184E-3</v>
      </c>
      <c r="Y17" s="5">
        <f t="shared" si="12"/>
        <v>-4.9026163806029706</v>
      </c>
      <c r="Z17" s="5">
        <f t="shared" si="13"/>
        <v>2.3291584267194132E-2</v>
      </c>
    </row>
    <row r="18" spans="1:26" x14ac:dyDescent="0.25">
      <c r="A18" t="s">
        <v>28</v>
      </c>
      <c r="B18" t="s">
        <v>29</v>
      </c>
      <c r="C18" s="63"/>
      <c r="D18" s="6">
        <v>600.08000000000004</v>
      </c>
      <c r="E18" s="6">
        <v>586.41999999999996</v>
      </c>
      <c r="F18" s="6">
        <v>593.33000000000004</v>
      </c>
      <c r="G18" s="6">
        <v>600.64</v>
      </c>
      <c r="H18" s="6">
        <v>616.23</v>
      </c>
      <c r="I18" s="6">
        <v>613.48</v>
      </c>
      <c r="J18" s="6">
        <v>513.79999999999995</v>
      </c>
      <c r="K18" s="6">
        <v>512.79999999999995</v>
      </c>
      <c r="L18" s="6">
        <v>521.79999999999995</v>
      </c>
      <c r="M18" s="6">
        <v>528.4</v>
      </c>
      <c r="N18" s="15" t="str">
        <f t="shared" si="1"/>
        <v/>
      </c>
      <c r="O18" s="15">
        <f t="shared" si="2"/>
        <v>2.3293884928890618E-2</v>
      </c>
      <c r="P18" s="15">
        <f t="shared" si="3"/>
        <v>-1.1646132843443069E-2</v>
      </c>
      <c r="Q18" s="15">
        <f t="shared" si="4"/>
        <v>-1.2170351624933295E-2</v>
      </c>
      <c r="R18" s="15">
        <f t="shared" si="5"/>
        <v>-2.5298995504925204E-2</v>
      </c>
      <c r="S18" s="15">
        <f t="shared" si="6"/>
        <v>4.4826237204147468E-3</v>
      </c>
      <c r="T18" s="15">
        <f t="shared" si="7"/>
        <v>0.19400544959128085</v>
      </c>
      <c r="U18" s="15">
        <f t="shared" si="8"/>
        <v>1.9500780031200815E-3</v>
      </c>
      <c r="V18" s="15">
        <f t="shared" si="9"/>
        <v>-1.7247987734764325E-2</v>
      </c>
      <c r="W18" s="15">
        <f t="shared" si="10"/>
        <v>-1.249053747161244E-2</v>
      </c>
      <c r="X18" s="5">
        <f t="shared" si="11"/>
        <v>1.609755900711422E-2</v>
      </c>
      <c r="Y18" s="5">
        <f t="shared" si="12"/>
        <v>-99.999989999999997</v>
      </c>
      <c r="Z18" s="5">
        <f t="shared" si="13"/>
        <v>2.3293884928890618E-2</v>
      </c>
    </row>
    <row r="19" spans="1:26" x14ac:dyDescent="0.25">
      <c r="A19" t="s">
        <v>30</v>
      </c>
      <c r="B19" t="s">
        <v>31</v>
      </c>
      <c r="C19" s="63"/>
      <c r="D19" s="6">
        <v>2027</v>
      </c>
      <c r="E19" s="6">
        <v>2026</v>
      </c>
      <c r="F19" s="6">
        <v>2026</v>
      </c>
      <c r="G19" s="6">
        <v>2026</v>
      </c>
      <c r="H19" s="6">
        <v>2026</v>
      </c>
      <c r="I19" s="6">
        <v>2025</v>
      </c>
      <c r="J19" s="6">
        <v>2025</v>
      </c>
      <c r="K19" s="6">
        <v>2025</v>
      </c>
      <c r="L19" s="6"/>
      <c r="M19" s="6"/>
      <c r="N19" s="15" t="str">
        <f t="shared" si="1"/>
        <v/>
      </c>
      <c r="O19" s="15">
        <f t="shared" si="2"/>
        <v>4.9358341559724295E-4</v>
      </c>
      <c r="P19" s="15">
        <f t="shared" si="3"/>
        <v>0</v>
      </c>
      <c r="Q19" s="15">
        <f t="shared" si="4"/>
        <v>0</v>
      </c>
      <c r="R19" s="15">
        <f t="shared" si="5"/>
        <v>0</v>
      </c>
      <c r="S19" s="15">
        <f t="shared" si="6"/>
        <v>4.9382716049373165E-4</v>
      </c>
      <c r="T19" s="15">
        <f t="shared" si="7"/>
        <v>0</v>
      </c>
      <c r="U19" s="15">
        <f t="shared" si="8"/>
        <v>0</v>
      </c>
      <c r="V19" s="15" t="str">
        <f t="shared" si="9"/>
        <v/>
      </c>
      <c r="W19" s="15" t="str">
        <f t="shared" si="10"/>
        <v/>
      </c>
      <c r="X19" s="5">
        <f t="shared" si="11"/>
        <v>1.4105865372728208E-4</v>
      </c>
      <c r="Y19" s="5">
        <f t="shared" si="12"/>
        <v>-99.999989999999997</v>
      </c>
      <c r="Z19" s="5">
        <f t="shared" si="13"/>
        <v>4.9358341559724295E-4</v>
      </c>
    </row>
    <row r="20" spans="1:26" x14ac:dyDescent="0.25">
      <c r="A20" t="s">
        <v>32</v>
      </c>
      <c r="B20" t="s">
        <v>33</v>
      </c>
      <c r="C20" s="63"/>
      <c r="D20" s="6">
        <v>1036</v>
      </c>
      <c r="E20" s="6">
        <v>1068</v>
      </c>
      <c r="F20" s="6">
        <v>1068</v>
      </c>
      <c r="G20" s="6">
        <v>1068</v>
      </c>
      <c r="H20" s="6">
        <v>1068</v>
      </c>
      <c r="I20" s="6">
        <v>1068</v>
      </c>
      <c r="J20" s="6">
        <v>1068</v>
      </c>
      <c r="K20" s="91"/>
      <c r="L20" s="6"/>
      <c r="M20" s="6"/>
      <c r="N20" s="15" t="str">
        <f t="shared" si="1"/>
        <v/>
      </c>
      <c r="O20" s="15">
        <f t="shared" si="2"/>
        <v>-2.9962546816479363E-2</v>
      </c>
      <c r="P20" s="15">
        <f t="shared" si="3"/>
        <v>0</v>
      </c>
      <c r="Q20" s="15">
        <f t="shared" si="4"/>
        <v>0</v>
      </c>
      <c r="R20" s="15">
        <f t="shared" si="5"/>
        <v>0</v>
      </c>
      <c r="S20" s="15">
        <f t="shared" si="6"/>
        <v>0</v>
      </c>
      <c r="T20" s="15">
        <f t="shared" si="7"/>
        <v>0</v>
      </c>
      <c r="U20" s="15" t="str">
        <f t="shared" si="8"/>
        <v/>
      </c>
      <c r="V20" s="15" t="str">
        <f t="shared" si="9"/>
        <v/>
      </c>
      <c r="W20" s="15" t="str">
        <f t="shared" si="10"/>
        <v/>
      </c>
      <c r="X20" s="5">
        <f t="shared" si="11"/>
        <v>-4.9937578027465608E-3</v>
      </c>
      <c r="Y20" s="5">
        <f t="shared" si="12"/>
        <v>5</v>
      </c>
      <c r="Z20" s="5">
        <f t="shared" si="13"/>
        <v>-2.9962546816479363E-2</v>
      </c>
    </row>
    <row r="21" spans="1:26" x14ac:dyDescent="0.25">
      <c r="A21" t="s">
        <v>34</v>
      </c>
      <c r="B21" t="s">
        <v>35</v>
      </c>
      <c r="C21" s="63">
        <v>28812</v>
      </c>
      <c r="D21" s="6">
        <v>28812</v>
      </c>
      <c r="E21" s="91"/>
      <c r="F21" s="91"/>
      <c r="G21" s="91"/>
      <c r="H21" s="91"/>
      <c r="I21" s="91"/>
      <c r="J21" s="91"/>
      <c r="K21" s="91"/>
      <c r="L21" s="91"/>
      <c r="M21" s="91"/>
      <c r="N21" s="15">
        <f t="shared" si="1"/>
        <v>0</v>
      </c>
      <c r="O21" s="15" t="str">
        <f t="shared" si="2"/>
        <v/>
      </c>
      <c r="P21" s="15" t="str">
        <f t="shared" si="3"/>
        <v/>
      </c>
      <c r="Q21" s="15" t="str">
        <f t="shared" si="4"/>
        <v/>
      </c>
      <c r="R21" s="15" t="str">
        <f t="shared" si="5"/>
        <v/>
      </c>
      <c r="S21" s="15" t="str">
        <f t="shared" si="6"/>
        <v/>
      </c>
      <c r="T21" s="15" t="str">
        <f t="shared" si="7"/>
        <v/>
      </c>
      <c r="U21" s="15" t="str">
        <f t="shared" si="8"/>
        <v/>
      </c>
      <c r="V21" s="15" t="str">
        <f t="shared" si="9"/>
        <v/>
      </c>
      <c r="W21" s="15" t="str">
        <f t="shared" si="10"/>
        <v/>
      </c>
      <c r="X21" s="5">
        <f t="shared" si="11"/>
        <v>0</v>
      </c>
      <c r="Y21" s="5">
        <f t="shared" si="12"/>
        <v>0</v>
      </c>
      <c r="Z21" s="5">
        <f t="shared" si="13"/>
        <v>0</v>
      </c>
    </row>
    <row r="22" spans="1:26" x14ac:dyDescent="0.25">
      <c r="A22" t="s">
        <v>36</v>
      </c>
      <c r="B22" t="s">
        <v>37</v>
      </c>
      <c r="C22" s="63"/>
      <c r="D22" s="6">
        <v>3000</v>
      </c>
      <c r="E22" s="6">
        <v>3000</v>
      </c>
      <c r="F22" s="6">
        <v>3000</v>
      </c>
      <c r="G22" s="6">
        <v>3000</v>
      </c>
      <c r="H22" s="6">
        <v>3000</v>
      </c>
      <c r="I22" s="6">
        <v>3000</v>
      </c>
      <c r="J22" s="6">
        <v>3000</v>
      </c>
      <c r="K22" s="6">
        <v>3000</v>
      </c>
      <c r="L22" s="6">
        <v>3000</v>
      </c>
      <c r="M22" s="6">
        <v>3000</v>
      </c>
      <c r="N22" s="15" t="str">
        <f t="shared" si="1"/>
        <v/>
      </c>
      <c r="O22" s="15">
        <f t="shared" si="2"/>
        <v>0</v>
      </c>
      <c r="P22" s="15">
        <f t="shared" si="3"/>
        <v>0</v>
      </c>
      <c r="Q22" s="15">
        <f t="shared" si="4"/>
        <v>0</v>
      </c>
      <c r="R22" s="15">
        <f t="shared" si="5"/>
        <v>0</v>
      </c>
      <c r="S22" s="15">
        <f t="shared" si="6"/>
        <v>0</v>
      </c>
      <c r="T22" s="15">
        <f t="shared" si="7"/>
        <v>0</v>
      </c>
      <c r="U22" s="15">
        <f t="shared" si="8"/>
        <v>0</v>
      </c>
      <c r="V22" s="15">
        <f t="shared" si="9"/>
        <v>0</v>
      </c>
      <c r="W22" s="15">
        <f t="shared" si="10"/>
        <v>0</v>
      </c>
      <c r="X22" s="5">
        <f t="shared" si="11"/>
        <v>0</v>
      </c>
      <c r="Y22" s="5">
        <f t="shared" si="12"/>
        <v>0</v>
      </c>
      <c r="Z22" s="5">
        <f t="shared" si="13"/>
        <v>0</v>
      </c>
    </row>
    <row r="23" spans="1:26" x14ac:dyDescent="0.25">
      <c r="A23" t="s">
        <v>38</v>
      </c>
      <c r="B23" t="s">
        <v>39</v>
      </c>
      <c r="C23" s="63"/>
      <c r="D23" s="6">
        <v>5187</v>
      </c>
      <c r="E23" s="6">
        <v>5226</v>
      </c>
      <c r="F23" s="6">
        <v>5581</v>
      </c>
      <c r="G23" s="6">
        <v>5927</v>
      </c>
      <c r="H23" s="6">
        <v>5911</v>
      </c>
      <c r="I23" s="6">
        <v>5902</v>
      </c>
      <c r="J23" s="6">
        <v>5893</v>
      </c>
      <c r="K23" s="6">
        <v>6044</v>
      </c>
      <c r="L23" s="6">
        <v>6239</v>
      </c>
      <c r="M23" s="91"/>
      <c r="N23" s="15" t="str">
        <f t="shared" si="1"/>
        <v/>
      </c>
      <c r="O23" s="15">
        <f t="shared" si="2"/>
        <v>-7.4626865671642006E-3</v>
      </c>
      <c r="P23" s="15">
        <f t="shared" si="3"/>
        <v>-6.3608672280953238E-2</v>
      </c>
      <c r="Q23" s="15">
        <f t="shared" si="4"/>
        <v>-5.8376919183398046E-2</v>
      </c>
      <c r="R23" s="15">
        <f t="shared" si="5"/>
        <v>2.7068177973270657E-3</v>
      </c>
      <c r="S23" s="15">
        <f t="shared" si="6"/>
        <v>1.5249068112503927E-3</v>
      </c>
      <c r="T23" s="15">
        <f t="shared" si="7"/>
        <v>1.5272357033768724E-3</v>
      </c>
      <c r="U23" s="15">
        <f t="shared" si="8"/>
        <v>-2.4983454665784222E-2</v>
      </c>
      <c r="V23" s="15">
        <f t="shared" si="9"/>
        <v>-3.125500881551535E-2</v>
      </c>
      <c r="W23" s="15" t="str">
        <f t="shared" si="10"/>
        <v/>
      </c>
      <c r="X23" s="5">
        <f t="shared" si="11"/>
        <v>-2.2490972650107591E-2</v>
      </c>
      <c r="Y23" s="5">
        <f t="shared" si="12"/>
        <v>-0.66819191489575258</v>
      </c>
      <c r="Z23" s="5">
        <f t="shared" si="13"/>
        <v>-7.4626865671642006E-3</v>
      </c>
    </row>
    <row r="24" spans="1:26" x14ac:dyDescent="0.25">
      <c r="A24" t="s">
        <v>95</v>
      </c>
      <c r="B24" t="s">
        <v>199</v>
      </c>
      <c r="C24" s="63"/>
      <c r="D24" s="6">
        <v>164.79</v>
      </c>
      <c r="E24" s="6">
        <v>166.59</v>
      </c>
      <c r="F24" s="6">
        <v>168.88</v>
      </c>
      <c r="G24" s="6">
        <v>138.46</v>
      </c>
      <c r="H24" s="6">
        <v>131.19999999999999</v>
      </c>
      <c r="I24" s="6"/>
      <c r="J24" s="6"/>
      <c r="K24" s="6"/>
      <c r="L24" s="6"/>
      <c r="M24" s="6"/>
      <c r="N24" s="15" t="str">
        <f t="shared" si="1"/>
        <v/>
      </c>
      <c r="O24" s="15">
        <f t="shared" si="2"/>
        <v>-1.0804970286331761E-2</v>
      </c>
      <c r="P24" s="15">
        <f t="shared" si="3"/>
        <v>-1.3559924206537177E-2</v>
      </c>
      <c r="Q24" s="15">
        <f t="shared" si="4"/>
        <v>0.21970244113823467</v>
      </c>
      <c r="R24" s="15">
        <f t="shared" si="5"/>
        <v>5.5335365853658613E-2</v>
      </c>
      <c r="S24" s="15" t="str">
        <f t="shared" si="6"/>
        <v/>
      </c>
      <c r="T24" s="15" t="str">
        <f t="shared" si="7"/>
        <v/>
      </c>
      <c r="U24" s="15" t="str">
        <f t="shared" si="8"/>
        <v/>
      </c>
      <c r="V24" s="15" t="str">
        <f t="shared" si="9"/>
        <v/>
      </c>
      <c r="W24" s="15" t="str">
        <f t="shared" si="10"/>
        <v/>
      </c>
      <c r="X24" s="5">
        <f t="shared" si="11"/>
        <v>6.2668228124756087E-2</v>
      </c>
      <c r="Y24" s="5">
        <f t="shared" si="12"/>
        <v>1.1724154425560251</v>
      </c>
      <c r="Z24" s="5">
        <f t="shared" si="13"/>
        <v>-1.0804970286331761E-2</v>
      </c>
    </row>
    <row r="25" spans="1:26" x14ac:dyDescent="0.25">
      <c r="A25" t="s">
        <v>40</v>
      </c>
      <c r="B25" t="s">
        <v>41</v>
      </c>
      <c r="C25" s="63"/>
      <c r="D25" s="6">
        <v>4366</v>
      </c>
      <c r="E25" s="6">
        <v>4402</v>
      </c>
      <c r="F25" s="6">
        <v>4469</v>
      </c>
      <c r="G25" s="6">
        <v>4526</v>
      </c>
      <c r="H25" s="6">
        <v>4584</v>
      </c>
      <c r="I25" s="6">
        <v>4606</v>
      </c>
      <c r="J25" s="6">
        <v>4624</v>
      </c>
      <c r="K25" s="6">
        <v>4636</v>
      </c>
      <c r="L25" s="6">
        <v>4636</v>
      </c>
      <c r="M25" s="6">
        <v>4738</v>
      </c>
      <c r="N25" s="15" t="str">
        <f t="shared" si="1"/>
        <v/>
      </c>
      <c r="O25" s="15">
        <f t="shared" si="2"/>
        <v>-8.1781008632439978E-3</v>
      </c>
      <c r="P25" s="15">
        <f t="shared" si="3"/>
        <v>-1.4992168270306583E-2</v>
      </c>
      <c r="Q25" s="15">
        <f t="shared" si="4"/>
        <v>-1.2593901900132543E-2</v>
      </c>
      <c r="R25" s="15">
        <f t="shared" si="5"/>
        <v>-1.265270506108207E-2</v>
      </c>
      <c r="S25" s="15">
        <f t="shared" si="6"/>
        <v>-4.7763786365609961E-3</v>
      </c>
      <c r="T25" s="15">
        <f t="shared" si="7"/>
        <v>-3.8927335640138727E-3</v>
      </c>
      <c r="U25" s="15">
        <f t="shared" si="8"/>
        <v>-2.5884383088869978E-3</v>
      </c>
      <c r="V25" s="15">
        <f t="shared" si="9"/>
        <v>0</v>
      </c>
      <c r="W25" s="15">
        <f t="shared" si="10"/>
        <v>-2.1528070915998287E-2</v>
      </c>
      <c r="X25" s="5">
        <f t="shared" si="11"/>
        <v>-9.0224997244694825E-3</v>
      </c>
      <c r="Y25" s="5">
        <f t="shared" si="12"/>
        <v>-9.3588128236283707E-2</v>
      </c>
      <c r="Z25" s="5">
        <f t="shared" si="13"/>
        <v>-8.1781008632439978E-3</v>
      </c>
    </row>
    <row r="26" spans="1:26" x14ac:dyDescent="0.25">
      <c r="A26" t="s">
        <v>42</v>
      </c>
      <c r="B26" t="s">
        <v>43</v>
      </c>
      <c r="C26" s="63"/>
      <c r="D26" s="6">
        <v>907.08</v>
      </c>
      <c r="E26" s="6">
        <v>918.94</v>
      </c>
      <c r="F26" s="6">
        <v>935.39</v>
      </c>
      <c r="G26" s="6">
        <v>959.2</v>
      </c>
      <c r="H26" s="6">
        <v>987.8</v>
      </c>
      <c r="I26" s="6">
        <v>987.4</v>
      </c>
      <c r="J26" s="6">
        <v>1003</v>
      </c>
      <c r="K26" s="6">
        <v>1018</v>
      </c>
      <c r="L26" s="6">
        <v>1025</v>
      </c>
      <c r="M26" s="6">
        <v>1032</v>
      </c>
      <c r="N26" s="15" t="str">
        <f t="shared" si="1"/>
        <v/>
      </c>
      <c r="O26" s="15">
        <f t="shared" si="2"/>
        <v>-1.290617450540843E-2</v>
      </c>
      <c r="P26" s="15">
        <f t="shared" si="3"/>
        <v>-1.7586247447588632E-2</v>
      </c>
      <c r="Q26" s="15">
        <f t="shared" si="4"/>
        <v>-2.4822768974145148E-2</v>
      </c>
      <c r="R26" s="15">
        <f t="shared" si="5"/>
        <v>-2.8953229398663627E-2</v>
      </c>
      <c r="S26" s="15">
        <f t="shared" si="6"/>
        <v>4.0510431436091565E-4</v>
      </c>
      <c r="T26" s="15">
        <f t="shared" si="7"/>
        <v>-1.555333998005981E-2</v>
      </c>
      <c r="U26" s="15">
        <f t="shared" si="8"/>
        <v>-1.4734774066797685E-2</v>
      </c>
      <c r="V26" s="15">
        <f t="shared" si="9"/>
        <v>-6.8292682926829329E-3</v>
      </c>
      <c r="W26" s="15">
        <f t="shared" si="10"/>
        <v>-6.7829457364341206E-3</v>
      </c>
      <c r="X26" s="5">
        <f t="shared" si="11"/>
        <v>-1.4195960454157719E-2</v>
      </c>
      <c r="Y26" s="5">
        <f t="shared" si="12"/>
        <v>-9.0855842612011184E-2</v>
      </c>
      <c r="Z26" s="5">
        <f t="shared" si="13"/>
        <v>-1.290617450540843E-2</v>
      </c>
    </row>
    <row r="27" spans="1:26" x14ac:dyDescent="0.25">
      <c r="A27" t="s">
        <v>44</v>
      </c>
      <c r="B27" t="s">
        <v>45</v>
      </c>
      <c r="C27" s="63"/>
      <c r="D27" s="6">
        <v>10057</v>
      </c>
      <c r="E27" s="6">
        <v>10061</v>
      </c>
      <c r="F27" s="6">
        <v>10406</v>
      </c>
      <c r="G27" s="6">
        <v>10573</v>
      </c>
      <c r="H27" s="6">
        <v>10615</v>
      </c>
      <c r="I27" s="6">
        <v>10663</v>
      </c>
      <c r="J27" s="6">
        <v>10537</v>
      </c>
      <c r="K27" s="6">
        <v>9988</v>
      </c>
      <c r="L27" s="6">
        <v>10277</v>
      </c>
      <c r="M27" s="6">
        <v>10484</v>
      </c>
      <c r="N27" s="15" t="str">
        <f t="shared" si="1"/>
        <v/>
      </c>
      <c r="O27" s="15">
        <f t="shared" si="2"/>
        <v>-3.9757479375812643E-4</v>
      </c>
      <c r="P27" s="15">
        <f t="shared" si="3"/>
        <v>-3.3153949644435854E-2</v>
      </c>
      <c r="Q27" s="15">
        <f t="shared" si="4"/>
        <v>-1.5794949399413616E-2</v>
      </c>
      <c r="R27" s="15">
        <f t="shared" si="5"/>
        <v>-3.9566650965614514E-3</v>
      </c>
      <c r="S27" s="15">
        <f t="shared" si="6"/>
        <v>-4.5015474069211026E-3</v>
      </c>
      <c r="T27" s="15">
        <f t="shared" si="7"/>
        <v>1.1957862769289118E-2</v>
      </c>
      <c r="U27" s="15">
        <f t="shared" si="8"/>
        <v>5.4965959150981236E-2</v>
      </c>
      <c r="V27" s="15">
        <f t="shared" si="9"/>
        <v>-2.8121046998151211E-2</v>
      </c>
      <c r="W27" s="15">
        <f t="shared" si="10"/>
        <v>-1.9744372376955366E-2</v>
      </c>
      <c r="X27" s="5">
        <f t="shared" si="11"/>
        <v>-4.3051426439918196E-3</v>
      </c>
      <c r="Y27" s="5">
        <f t="shared" si="12"/>
        <v>-0.90765119146215167</v>
      </c>
      <c r="Z27" s="5">
        <f t="shared" si="13"/>
        <v>-3.9757479375812643E-4</v>
      </c>
    </row>
    <row r="28" spans="1:26" x14ac:dyDescent="0.25">
      <c r="A28" t="s">
        <v>46</v>
      </c>
      <c r="B28" t="s">
        <v>47</v>
      </c>
      <c r="C28" s="63"/>
      <c r="D28" s="6">
        <v>990.52</v>
      </c>
      <c r="E28" s="6">
        <v>1054</v>
      </c>
      <c r="F28" s="6">
        <v>1117</v>
      </c>
      <c r="G28" s="6">
        <v>1163</v>
      </c>
      <c r="H28" s="6">
        <v>1220</v>
      </c>
      <c r="I28" s="6">
        <v>1305</v>
      </c>
      <c r="J28" s="6">
        <v>1339</v>
      </c>
      <c r="K28" s="6">
        <v>1385</v>
      </c>
      <c r="L28" s="6">
        <v>1507</v>
      </c>
      <c r="M28" s="6">
        <v>1574</v>
      </c>
      <c r="N28" s="15" t="str">
        <f t="shared" si="1"/>
        <v/>
      </c>
      <c r="O28" s="15">
        <f t="shared" si="2"/>
        <v>-6.0227703984819803E-2</v>
      </c>
      <c r="P28" s="15">
        <f t="shared" si="3"/>
        <v>-5.6401074306177246E-2</v>
      </c>
      <c r="Q28" s="15">
        <f t="shared" si="4"/>
        <v>-3.9552880481513286E-2</v>
      </c>
      <c r="R28" s="15">
        <f t="shared" si="5"/>
        <v>-4.672131147540981E-2</v>
      </c>
      <c r="S28" s="15">
        <f t="shared" si="6"/>
        <v>-6.5134099616858232E-2</v>
      </c>
      <c r="T28" s="15">
        <f t="shared" si="7"/>
        <v>-2.5392083644510843E-2</v>
      </c>
      <c r="U28" s="15">
        <f t="shared" si="8"/>
        <v>-3.3212996389891725E-2</v>
      </c>
      <c r="V28" s="15">
        <f t="shared" si="9"/>
        <v>-8.095554080955536E-2</v>
      </c>
      <c r="W28" s="15">
        <f t="shared" si="10"/>
        <v>-4.2566709021600979E-2</v>
      </c>
      <c r="X28" s="5">
        <f t="shared" si="11"/>
        <v>-5.001826663670414E-2</v>
      </c>
      <c r="Y28" s="5">
        <f t="shared" si="12"/>
        <v>0.20411417737182891</v>
      </c>
      <c r="Z28" s="5">
        <f t="shared" si="13"/>
        <v>-6.0227703984819803E-2</v>
      </c>
    </row>
    <row r="29" spans="1:26" x14ac:dyDescent="0.25">
      <c r="A29" t="s">
        <v>48</v>
      </c>
      <c r="B29" t="s">
        <v>49</v>
      </c>
      <c r="C29" s="63"/>
      <c r="D29" s="6">
        <v>2783</v>
      </c>
      <c r="E29" s="6">
        <v>2821</v>
      </c>
      <c r="F29" s="6">
        <v>2778</v>
      </c>
      <c r="G29" s="6">
        <v>2724</v>
      </c>
      <c r="H29" s="6">
        <v>2738</v>
      </c>
      <c r="I29" s="6">
        <v>2754</v>
      </c>
      <c r="J29" s="6">
        <v>2769</v>
      </c>
      <c r="K29" s="6">
        <v>2840</v>
      </c>
      <c r="L29" s="6">
        <v>2893</v>
      </c>
      <c r="M29" s="6">
        <v>2975</v>
      </c>
      <c r="N29" s="15" t="str">
        <f t="shared" si="1"/>
        <v/>
      </c>
      <c r="O29" s="15">
        <f t="shared" si="2"/>
        <v>-1.3470400567174745E-2</v>
      </c>
      <c r="P29" s="15">
        <f t="shared" si="3"/>
        <v>1.5478761699064147E-2</v>
      </c>
      <c r="Q29" s="15">
        <f t="shared" si="4"/>
        <v>1.982378854625555E-2</v>
      </c>
      <c r="R29" s="15">
        <f t="shared" si="5"/>
        <v>-5.1132213294375894E-3</v>
      </c>
      <c r="S29" s="15">
        <f t="shared" si="6"/>
        <v>-5.8097312999273454E-3</v>
      </c>
      <c r="T29" s="15">
        <f t="shared" si="7"/>
        <v>-5.4171180931744667E-3</v>
      </c>
      <c r="U29" s="15">
        <f t="shared" si="8"/>
        <v>-2.5000000000000022E-2</v>
      </c>
      <c r="V29" s="15">
        <f t="shared" si="9"/>
        <v>-1.8320082958866224E-2</v>
      </c>
      <c r="W29" s="15">
        <f t="shared" si="10"/>
        <v>-2.7563025210084025E-2</v>
      </c>
      <c r="X29" s="5">
        <f t="shared" si="11"/>
        <v>-7.2656699125938579E-3</v>
      </c>
      <c r="Y29" s="5">
        <f t="shared" si="12"/>
        <v>0.85397915529110335</v>
      </c>
      <c r="Z29" s="5">
        <f t="shared" si="13"/>
        <v>-1.3470400567174745E-2</v>
      </c>
    </row>
    <row r="30" spans="1:26" x14ac:dyDescent="0.25">
      <c r="A30" t="s">
        <v>50</v>
      </c>
      <c r="B30" t="s">
        <v>51</v>
      </c>
      <c r="C30" s="63"/>
      <c r="D30" s="6">
        <v>587.33000000000004</v>
      </c>
      <c r="E30" s="6">
        <v>596.30999999999995</v>
      </c>
      <c r="F30" s="6">
        <v>593.37</v>
      </c>
      <c r="G30" s="6"/>
      <c r="H30" s="6"/>
      <c r="I30" s="6"/>
      <c r="J30" s="6"/>
      <c r="K30" s="6"/>
      <c r="L30" s="6"/>
      <c r="M30" s="6"/>
      <c r="N30" s="15" t="str">
        <f t="shared" si="1"/>
        <v/>
      </c>
      <c r="O30" s="15">
        <f t="shared" si="2"/>
        <v>-1.5059281246331491E-2</v>
      </c>
      <c r="P30" s="15">
        <f t="shared" si="3"/>
        <v>4.9547499873603407E-3</v>
      </c>
      <c r="Q30" s="15" t="str">
        <f t="shared" si="4"/>
        <v/>
      </c>
      <c r="R30" s="15" t="str">
        <f t="shared" si="5"/>
        <v/>
      </c>
      <c r="S30" s="15" t="str">
        <f t="shared" si="6"/>
        <v/>
      </c>
      <c r="T30" s="15" t="str">
        <f t="shared" si="7"/>
        <v/>
      </c>
      <c r="U30" s="15" t="str">
        <f t="shared" si="8"/>
        <v/>
      </c>
      <c r="V30" s="15" t="str">
        <f t="shared" si="9"/>
        <v/>
      </c>
      <c r="W30" s="15" t="str">
        <f t="shared" si="10"/>
        <v/>
      </c>
      <c r="X30" s="5">
        <f t="shared" si="11"/>
        <v>-5.052265629485575E-3</v>
      </c>
      <c r="Y30" s="5">
        <f t="shared" si="12"/>
        <v>1.9806986312128716</v>
      </c>
      <c r="Z30" s="5">
        <f t="shared" si="13"/>
        <v>-1.5059281246331491E-2</v>
      </c>
    </row>
    <row r="31" spans="1:26" x14ac:dyDescent="0.25">
      <c r="A31" t="s">
        <v>52</v>
      </c>
      <c r="B31" t="s">
        <v>53</v>
      </c>
      <c r="C31" s="63"/>
      <c r="D31" s="6">
        <v>962.9</v>
      </c>
      <c r="E31" s="6">
        <v>990.4</v>
      </c>
      <c r="F31" s="6">
        <v>1003</v>
      </c>
      <c r="G31" s="6">
        <v>1021</v>
      </c>
      <c r="H31" s="6">
        <v>1054</v>
      </c>
      <c r="I31" s="6">
        <v>1107</v>
      </c>
      <c r="J31" s="6">
        <v>1115</v>
      </c>
      <c r="K31" s="6">
        <v>1165</v>
      </c>
      <c r="L31" s="6">
        <v>1204</v>
      </c>
      <c r="M31" s="6">
        <v>1263</v>
      </c>
      <c r="N31" s="15" t="str">
        <f t="shared" si="1"/>
        <v/>
      </c>
      <c r="O31" s="15">
        <f t="shared" si="2"/>
        <v>-2.7766558966074273E-2</v>
      </c>
      <c r="P31" s="15">
        <f t="shared" si="3"/>
        <v>-1.2562313060817565E-2</v>
      </c>
      <c r="Q31" s="15">
        <f t="shared" si="4"/>
        <v>-1.7629774730656189E-2</v>
      </c>
      <c r="R31" s="15">
        <f t="shared" si="5"/>
        <v>-3.1309297912713419E-2</v>
      </c>
      <c r="S31" s="15">
        <f t="shared" si="6"/>
        <v>-4.7877145438121049E-2</v>
      </c>
      <c r="T31" s="15">
        <f t="shared" si="7"/>
        <v>-7.1748878923766357E-3</v>
      </c>
      <c r="U31" s="15">
        <f t="shared" si="8"/>
        <v>-4.2918454935622297E-2</v>
      </c>
      <c r="V31" s="15">
        <f t="shared" si="9"/>
        <v>-3.2392026578073052E-2</v>
      </c>
      <c r="W31" s="15">
        <f t="shared" si="10"/>
        <v>-4.6714172604908955E-2</v>
      </c>
      <c r="X31" s="5">
        <f t="shared" si="11"/>
        <v>-2.9593848013262605E-2</v>
      </c>
      <c r="Y31" s="5">
        <f t="shared" si="12"/>
        <v>-6.1745571119018572E-2</v>
      </c>
      <c r="Z31" s="5">
        <f t="shared" si="13"/>
        <v>-2.7766558966074273E-2</v>
      </c>
    </row>
    <row r="32" spans="1:26" x14ac:dyDescent="0.25">
      <c r="A32" t="s">
        <v>54</v>
      </c>
      <c r="B32" t="s">
        <v>55</v>
      </c>
      <c r="C32" s="63"/>
      <c r="D32" s="6">
        <v>2838</v>
      </c>
      <c r="E32" s="6">
        <v>2928</v>
      </c>
      <c r="F32" s="6">
        <v>3027</v>
      </c>
      <c r="G32" s="6">
        <v>3041</v>
      </c>
      <c r="H32" s="6">
        <v>3082</v>
      </c>
      <c r="I32" s="6">
        <v>3108</v>
      </c>
      <c r="J32" s="91"/>
      <c r="K32" s="91"/>
      <c r="L32" s="91"/>
      <c r="M32" s="91"/>
      <c r="N32" s="15" t="str">
        <f t="shared" si="1"/>
        <v/>
      </c>
      <c r="O32" s="15">
        <f t="shared" si="2"/>
        <v>-3.0737704918032738E-2</v>
      </c>
      <c r="P32" s="15">
        <f t="shared" si="3"/>
        <v>-3.2705649157581784E-2</v>
      </c>
      <c r="Q32" s="15">
        <f t="shared" si="4"/>
        <v>-4.6037487668529886E-3</v>
      </c>
      <c r="R32" s="15">
        <f t="shared" si="5"/>
        <v>-1.3303049967553493E-2</v>
      </c>
      <c r="S32" s="15">
        <f t="shared" si="6"/>
        <v>-8.3655083655083118E-3</v>
      </c>
      <c r="T32" s="15" t="str">
        <f t="shared" si="7"/>
        <v/>
      </c>
      <c r="U32" s="15" t="str">
        <f t="shared" si="8"/>
        <v/>
      </c>
      <c r="V32" s="15" t="str">
        <f t="shared" si="9"/>
        <v/>
      </c>
      <c r="W32" s="15" t="str">
        <f t="shared" si="10"/>
        <v/>
      </c>
      <c r="X32" s="5">
        <f t="shared" si="11"/>
        <v>-1.7943132235105862E-2</v>
      </c>
      <c r="Y32" s="5">
        <f t="shared" si="12"/>
        <v>0.71306238594698668</v>
      </c>
      <c r="Z32" s="5">
        <f t="shared" si="13"/>
        <v>-3.0737704918032738E-2</v>
      </c>
    </row>
    <row r="33" spans="1:26" x14ac:dyDescent="0.25">
      <c r="A33" t="s">
        <v>56</v>
      </c>
      <c r="B33" t="s">
        <v>57</v>
      </c>
      <c r="C33" s="63"/>
      <c r="D33" s="6">
        <v>8239</v>
      </c>
      <c r="E33" s="6">
        <v>8328</v>
      </c>
      <c r="F33" s="6">
        <v>8381</v>
      </c>
      <c r="G33" s="6">
        <v>8376</v>
      </c>
      <c r="H33" s="6">
        <v>8668</v>
      </c>
      <c r="I33" s="6">
        <v>8908</v>
      </c>
      <c r="J33" s="6">
        <v>9151</v>
      </c>
      <c r="K33" s="6">
        <v>9380</v>
      </c>
      <c r="L33" s="6">
        <v>10062</v>
      </c>
      <c r="M33" s="6">
        <v>10710</v>
      </c>
      <c r="N33" s="15" t="str">
        <f t="shared" si="1"/>
        <v/>
      </c>
      <c r="O33" s="15">
        <f t="shared" si="2"/>
        <v>-1.0686839577329521E-2</v>
      </c>
      <c r="P33" s="15">
        <f t="shared" si="3"/>
        <v>-6.3238277055244208E-3</v>
      </c>
      <c r="Q33" s="15">
        <f t="shared" si="4"/>
        <v>5.9694364851958781E-4</v>
      </c>
      <c r="R33" s="15">
        <f t="shared" si="5"/>
        <v>-3.3687125057683454E-2</v>
      </c>
      <c r="S33" s="15">
        <f t="shared" si="6"/>
        <v>-2.6942074539739513E-2</v>
      </c>
      <c r="T33" s="15">
        <f t="shared" si="7"/>
        <v>-2.6554474920773674E-2</v>
      </c>
      <c r="U33" s="15">
        <f t="shared" si="8"/>
        <v>-2.4413646055437055E-2</v>
      </c>
      <c r="V33" s="15">
        <f t="shared" si="9"/>
        <v>-6.7779765454184071E-2</v>
      </c>
      <c r="W33" s="15">
        <f t="shared" si="10"/>
        <v>-6.0504201680672276E-2</v>
      </c>
      <c r="X33" s="5">
        <f t="shared" si="11"/>
        <v>-2.8477223482536045E-2</v>
      </c>
      <c r="Y33" s="5">
        <f t="shared" si="12"/>
        <v>-0.6247232605424704</v>
      </c>
      <c r="Z33" s="5">
        <f t="shared" si="13"/>
        <v>-1.0686839577329521E-2</v>
      </c>
    </row>
    <row r="34" spans="1:26" x14ac:dyDescent="0.25">
      <c r="A34" t="s">
        <v>58</v>
      </c>
      <c r="B34" t="s">
        <v>59</v>
      </c>
      <c r="C34" s="63"/>
      <c r="D34" s="6">
        <v>1664</v>
      </c>
      <c r="E34" s="6">
        <v>1705</v>
      </c>
      <c r="F34" s="6">
        <v>1778</v>
      </c>
      <c r="G34" s="6">
        <v>1768</v>
      </c>
      <c r="H34" s="6">
        <v>1749</v>
      </c>
      <c r="I34" s="6">
        <v>1478</v>
      </c>
      <c r="J34" s="6">
        <v>1469</v>
      </c>
      <c r="K34" s="6">
        <v>1534</v>
      </c>
      <c r="L34" s="6">
        <v>1636</v>
      </c>
      <c r="M34" s="6">
        <v>1670</v>
      </c>
      <c r="N34" s="15" t="str">
        <f t="shared" si="1"/>
        <v/>
      </c>
      <c r="O34" s="15">
        <f t="shared" si="2"/>
        <v>-2.404692082111437E-2</v>
      </c>
      <c r="P34" s="15">
        <f t="shared" si="3"/>
        <v>-4.1057367829021363E-2</v>
      </c>
      <c r="Q34" s="15">
        <f t="shared" si="4"/>
        <v>5.6561085972850478E-3</v>
      </c>
      <c r="R34" s="15">
        <f t="shared" si="5"/>
        <v>1.0863350485992074E-2</v>
      </c>
      <c r="S34" s="15">
        <f t="shared" si="6"/>
        <v>0.18335588633288236</v>
      </c>
      <c r="T34" s="15">
        <f t="shared" si="7"/>
        <v>6.1266167460858334E-3</v>
      </c>
      <c r="U34" s="15">
        <f t="shared" si="8"/>
        <v>-4.2372881355932202E-2</v>
      </c>
      <c r="V34" s="15">
        <f t="shared" si="9"/>
        <v>-6.2347188264058717E-2</v>
      </c>
      <c r="W34" s="15">
        <f t="shared" si="10"/>
        <v>-2.0359281437125731E-2</v>
      </c>
      <c r="X34" s="5">
        <f t="shared" si="11"/>
        <v>1.7575913838881031E-3</v>
      </c>
      <c r="Y34" s="5">
        <f t="shared" si="12"/>
        <v>14.681747100920765</v>
      </c>
      <c r="Z34" s="5">
        <f t="shared" si="13"/>
        <v>-2.404692082111437E-2</v>
      </c>
    </row>
    <row r="35" spans="1:26" x14ac:dyDescent="0.25">
      <c r="A35" t="s">
        <v>60</v>
      </c>
      <c r="B35" t="s">
        <v>61</v>
      </c>
      <c r="C35" s="63"/>
      <c r="D35" s="6">
        <v>485.26</v>
      </c>
      <c r="E35" s="6">
        <v>529.03</v>
      </c>
      <c r="F35" s="6">
        <v>534.37</v>
      </c>
      <c r="G35" s="6">
        <v>535.29999999999995</v>
      </c>
      <c r="H35" s="6">
        <v>540.4</v>
      </c>
      <c r="I35" s="6">
        <v>545.9</v>
      </c>
      <c r="J35" s="6">
        <v>548.6</v>
      </c>
      <c r="K35" s="6">
        <v>545.6</v>
      </c>
      <c r="L35" s="6">
        <v>543.20000000000005</v>
      </c>
      <c r="M35" s="6">
        <v>536.4</v>
      </c>
      <c r="N35" s="15" t="str">
        <f t="shared" si="1"/>
        <v/>
      </c>
      <c r="O35" s="15">
        <f t="shared" si="2"/>
        <v>-8.2736328752622712E-2</v>
      </c>
      <c r="P35" s="15">
        <f t="shared" si="3"/>
        <v>-9.9930759586055462E-3</v>
      </c>
      <c r="Q35" s="15">
        <f t="shared" si="4"/>
        <v>-1.7373435456752295E-3</v>
      </c>
      <c r="R35" s="15">
        <f t="shared" si="5"/>
        <v>-9.4374537379718904E-3</v>
      </c>
      <c r="S35" s="15">
        <f t="shared" si="6"/>
        <v>-1.0075105330646594E-2</v>
      </c>
      <c r="T35" s="15">
        <f t="shared" si="7"/>
        <v>-4.921618665694627E-3</v>
      </c>
      <c r="U35" s="15">
        <f t="shared" si="8"/>
        <v>5.4985337243402821E-3</v>
      </c>
      <c r="V35" s="15">
        <f t="shared" si="9"/>
        <v>4.4182621502208974E-3</v>
      </c>
      <c r="W35" s="15">
        <f t="shared" si="10"/>
        <v>1.2677106636838298E-2</v>
      </c>
      <c r="X35" s="5">
        <f t="shared" si="11"/>
        <v>-1.0700780386646347E-2</v>
      </c>
      <c r="Y35" s="5">
        <f t="shared" si="12"/>
        <v>6.7318032669720544</v>
      </c>
      <c r="Z35" s="5">
        <f t="shared" si="13"/>
        <v>-8.2736328752622712E-2</v>
      </c>
    </row>
    <row r="36" spans="1:26" x14ac:dyDescent="0.25">
      <c r="A36" t="s">
        <v>62</v>
      </c>
      <c r="B36" t="s">
        <v>63</v>
      </c>
      <c r="C36" s="63"/>
      <c r="D36" s="6">
        <v>4464</v>
      </c>
      <c r="E36" s="6">
        <v>4646</v>
      </c>
      <c r="F36" s="6">
        <v>4905</v>
      </c>
      <c r="G36" s="6">
        <v>5068</v>
      </c>
      <c r="H36" s="6">
        <v>5026</v>
      </c>
      <c r="I36" s="6">
        <v>5007</v>
      </c>
      <c r="J36" s="6">
        <v>5150</v>
      </c>
      <c r="K36" s="6">
        <v>5107</v>
      </c>
      <c r="L36" s="6">
        <v>5232</v>
      </c>
      <c r="M36" s="6">
        <v>5145</v>
      </c>
      <c r="N36" s="15" t="str">
        <f t="shared" ref="N36:N103" si="14">IF(C36&lt;&gt;"",IF(D36&lt;&gt;"",(C36/D36)-1,""),"")</f>
        <v/>
      </c>
      <c r="O36" s="15">
        <f t="shared" ref="O36:O103" si="15">IF(D36&lt;&gt;"",IF(E36&lt;&gt;"",(D36/E36)-1,""),"")</f>
        <v>-3.9173482565647899E-2</v>
      </c>
      <c r="P36" s="15">
        <f t="shared" ref="P36:P103" si="16">IF(E36&lt;&gt;"",IF(F36&lt;&gt;"",(E36/F36)-1,""),"")</f>
        <v>-5.2803261977573901E-2</v>
      </c>
      <c r="Q36" s="15">
        <f t="shared" ref="Q36:Q103" si="17">IF(F36&lt;&gt;"",IF(G36&lt;&gt;"",(F36/G36)-1,""),"")</f>
        <v>-3.2162588792423064E-2</v>
      </c>
      <c r="R36" s="15">
        <f t="shared" ref="R36:R103" si="18">IF(G36&lt;&gt;"",IF(H36&lt;&gt;"",(G36/H36)-1,""),"")</f>
        <v>8.3565459610028814E-3</v>
      </c>
      <c r="S36" s="15">
        <f t="shared" ref="S36:S103" si="19">IF(H36&lt;&gt;"",IF(I36&lt;&gt;"",(H36/I36)-1,""),"")</f>
        <v>3.794687437587374E-3</v>
      </c>
      <c r="T36" s="15">
        <f t="shared" ref="T36:T103" si="20">IF(I36&lt;&gt;"",IF(J36&lt;&gt;"",(I36/J36)-1,""),"")</f>
        <v>-2.7766990291262172E-2</v>
      </c>
      <c r="U36" s="15">
        <f t="shared" ref="U36:U103" si="21">IF(J36&lt;&gt;"",IF(K36&lt;&gt;"",(J36/K36)-1,""),"")</f>
        <v>8.4198159389072824E-3</v>
      </c>
      <c r="V36" s="15">
        <f t="shared" ref="V36:V103" si="22">IF(K36&lt;&gt;"",IF(L36&lt;&gt;"",(K36/L36)-1,""),"")</f>
        <v>-2.3891437308868446E-2</v>
      </c>
      <c r="W36" s="15">
        <f t="shared" ref="W36:W103" si="23">IF(L36&lt;&gt;"",IF(M36&lt;&gt;"",(L36/M36)-1,""),"")</f>
        <v>1.6909620991253593E-2</v>
      </c>
      <c r="X36" s="5">
        <f t="shared" ref="X36:X102" si="24">AVERAGE(N36:W36)</f>
        <v>-1.5368565623002706E-2</v>
      </c>
      <c r="Y36" s="5">
        <f t="shared" ref="Y36:Y102" si="25">IF(X36=0,0,IF(X36&lt;0,IF(C36&lt;&gt;"",(N36/X36)-1,(O36/X36)-1),IF(C36&lt;&gt;"",IF(N36&lt;0,((N36/X36)-1)*-1,-99.99999),IF(O36&lt;0,((O36/X36)-1)*-1,-99.99999))))</f>
        <v>1.5489355042357036</v>
      </c>
      <c r="Z36" s="5">
        <f t="shared" ref="Z36:Z103" si="26">IF(C36&lt;&gt;"",N36,O36)</f>
        <v>-3.9173482565647899E-2</v>
      </c>
    </row>
    <row r="37" spans="1:26" x14ac:dyDescent="0.25">
      <c r="A37" t="s">
        <v>64</v>
      </c>
      <c r="B37" t="s">
        <v>65</v>
      </c>
      <c r="C37" s="63"/>
      <c r="D37" s="6">
        <v>1482</v>
      </c>
      <c r="E37" s="6">
        <v>1522</v>
      </c>
      <c r="F37" s="6">
        <v>1543</v>
      </c>
      <c r="G37" s="6">
        <v>1564</v>
      </c>
      <c r="H37" s="6">
        <v>1581</v>
      </c>
      <c r="I37" s="6">
        <v>1565</v>
      </c>
      <c r="J37" s="6">
        <v>1553</v>
      </c>
      <c r="K37" s="6">
        <v>1605</v>
      </c>
      <c r="L37" s="6">
        <v>1638</v>
      </c>
      <c r="M37" s="6">
        <v>1656</v>
      </c>
      <c r="N37" s="15" t="str">
        <f t="shared" si="14"/>
        <v/>
      </c>
      <c r="O37" s="15">
        <f t="shared" si="15"/>
        <v>-2.6281208935611033E-2</v>
      </c>
      <c r="P37" s="15">
        <f t="shared" si="16"/>
        <v>-1.3609850939727774E-2</v>
      </c>
      <c r="Q37" s="15">
        <f t="shared" si="17"/>
        <v>-1.3427109974424534E-2</v>
      </c>
      <c r="R37" s="15">
        <f t="shared" si="18"/>
        <v>-1.0752688172043001E-2</v>
      </c>
      <c r="S37" s="15">
        <f t="shared" si="19"/>
        <v>1.0223642172523917E-2</v>
      </c>
      <c r="T37" s="15">
        <f t="shared" si="20"/>
        <v>7.726980038634812E-3</v>
      </c>
      <c r="U37" s="15">
        <f t="shared" si="21"/>
        <v>-3.2398753894080978E-2</v>
      </c>
      <c r="V37" s="15">
        <f t="shared" si="22"/>
        <v>-2.0146520146520186E-2</v>
      </c>
      <c r="W37" s="15">
        <f t="shared" si="23"/>
        <v>-1.0869565217391353E-2</v>
      </c>
      <c r="X37" s="5">
        <f t="shared" si="24"/>
        <v>-1.2170563896515571E-2</v>
      </c>
      <c r="Y37" s="5">
        <f t="shared" si="25"/>
        <v>1.1594076625435026</v>
      </c>
      <c r="Z37" s="5">
        <f t="shared" si="26"/>
        <v>-2.6281208935611033E-2</v>
      </c>
    </row>
    <row r="38" spans="1:26" x14ac:dyDescent="0.25">
      <c r="A38" t="s">
        <v>66</v>
      </c>
      <c r="B38" t="s">
        <v>67</v>
      </c>
      <c r="C38" s="63"/>
      <c r="D38" s="6">
        <v>6291</v>
      </c>
      <c r="E38" s="6">
        <v>6399</v>
      </c>
      <c r="F38" s="6">
        <v>7276</v>
      </c>
      <c r="G38" s="6">
        <v>7575</v>
      </c>
      <c r="H38" s="6">
        <v>8012</v>
      </c>
      <c r="I38" s="6">
        <v>8070</v>
      </c>
      <c r="J38" s="91"/>
      <c r="K38" s="91"/>
      <c r="L38" s="91"/>
      <c r="M38" s="91"/>
      <c r="N38" s="15" t="str">
        <f t="shared" si="14"/>
        <v/>
      </c>
      <c r="O38" s="15">
        <f t="shared" si="15"/>
        <v>-1.6877637130801704E-2</v>
      </c>
      <c r="P38" s="15">
        <f t="shared" si="16"/>
        <v>-0.12053326003298515</v>
      </c>
      <c r="Q38" s="15">
        <f t="shared" si="17"/>
        <v>-3.947194719471947E-2</v>
      </c>
      <c r="R38" s="15">
        <f t="shared" si="18"/>
        <v>-5.4543185222166723E-2</v>
      </c>
      <c r="S38" s="15">
        <f t="shared" si="19"/>
        <v>-7.1871127633209575E-3</v>
      </c>
      <c r="T38" s="15" t="str">
        <f t="shared" si="20"/>
        <v/>
      </c>
      <c r="U38" s="15" t="str">
        <f t="shared" si="21"/>
        <v/>
      </c>
      <c r="V38" s="15" t="str">
        <f t="shared" si="22"/>
        <v/>
      </c>
      <c r="W38" s="15" t="str">
        <f t="shared" si="23"/>
        <v/>
      </c>
      <c r="X38" s="5">
        <f t="shared" si="24"/>
        <v>-4.7722628468798801E-2</v>
      </c>
      <c r="Y38" s="5">
        <f t="shared" si="25"/>
        <v>-0.64633890310890241</v>
      </c>
      <c r="Z38" s="5">
        <f t="shared" si="26"/>
        <v>-1.6877637130801704E-2</v>
      </c>
    </row>
    <row r="39" spans="1:26" x14ac:dyDescent="0.25">
      <c r="A39" t="s">
        <v>68</v>
      </c>
      <c r="B39" t="s">
        <v>69</v>
      </c>
      <c r="C39" s="63"/>
      <c r="D39" s="6">
        <v>1547</v>
      </c>
      <c r="E39" s="6">
        <v>1589</v>
      </c>
      <c r="F39" s="6">
        <v>1564</v>
      </c>
      <c r="G39" s="6">
        <v>1726</v>
      </c>
      <c r="H39" s="6">
        <v>1802</v>
      </c>
      <c r="I39" s="6">
        <v>1887</v>
      </c>
      <c r="J39" s="6">
        <v>2007</v>
      </c>
      <c r="K39" s="6"/>
      <c r="L39" s="6"/>
      <c r="M39" s="6"/>
      <c r="N39" s="15" t="str">
        <f t="shared" si="14"/>
        <v/>
      </c>
      <c r="O39" s="15">
        <f t="shared" si="15"/>
        <v>-2.6431718061673992E-2</v>
      </c>
      <c r="P39" s="15">
        <f t="shared" si="16"/>
        <v>1.5984654731457715E-2</v>
      </c>
      <c r="Q39" s="15">
        <f t="shared" si="17"/>
        <v>-9.3858632676709131E-2</v>
      </c>
      <c r="R39" s="15">
        <f t="shared" si="18"/>
        <v>-4.2175360710321907E-2</v>
      </c>
      <c r="S39" s="15">
        <f t="shared" si="19"/>
        <v>-4.5045045045045029E-2</v>
      </c>
      <c r="T39" s="15">
        <f t="shared" si="20"/>
        <v>-5.9790732436472371E-2</v>
      </c>
      <c r="U39" s="15" t="str">
        <f t="shared" si="21"/>
        <v/>
      </c>
      <c r="V39" s="15" t="str">
        <f t="shared" si="22"/>
        <v/>
      </c>
      <c r="W39" s="15" t="str">
        <f t="shared" si="23"/>
        <v/>
      </c>
      <c r="X39" s="5">
        <f t="shared" si="24"/>
        <v>-4.1886139033127455E-2</v>
      </c>
      <c r="Y39" s="5">
        <f t="shared" si="25"/>
        <v>-0.36896265275800832</v>
      </c>
      <c r="Z39" s="5">
        <f t="shared" si="26"/>
        <v>-2.6431718061673992E-2</v>
      </c>
    </row>
    <row r="40" spans="1:26" x14ac:dyDescent="0.25">
      <c r="A40" t="s">
        <v>70</v>
      </c>
      <c r="B40" t="s">
        <v>71</v>
      </c>
      <c r="C40" s="63"/>
      <c r="D40" s="6">
        <v>2711</v>
      </c>
      <c r="E40" s="6">
        <v>2742</v>
      </c>
      <c r="F40" s="6">
        <v>2748</v>
      </c>
      <c r="G40" s="6">
        <v>2766</v>
      </c>
      <c r="H40" s="6">
        <v>2844</v>
      </c>
      <c r="I40" s="6">
        <v>2915</v>
      </c>
      <c r="J40" s="6">
        <v>3033</v>
      </c>
      <c r="K40" s="6">
        <v>3132</v>
      </c>
      <c r="L40" s="6">
        <v>3179</v>
      </c>
      <c r="M40" s="91"/>
      <c r="N40" s="15" t="str">
        <f t="shared" si="14"/>
        <v/>
      </c>
      <c r="O40" s="15">
        <f t="shared" si="15"/>
        <v>-1.1305616338439073E-2</v>
      </c>
      <c r="P40" s="15">
        <f t="shared" si="16"/>
        <v>-2.1834061135370675E-3</v>
      </c>
      <c r="Q40" s="15">
        <f t="shared" si="17"/>
        <v>-6.5075921908893664E-3</v>
      </c>
      <c r="R40" s="15">
        <f t="shared" si="18"/>
        <v>-2.7426160337552741E-2</v>
      </c>
      <c r="S40" s="15">
        <f t="shared" si="19"/>
        <v>-2.4356775300171551E-2</v>
      </c>
      <c r="T40" s="15">
        <f t="shared" si="20"/>
        <v>-3.8905374216946953E-2</v>
      </c>
      <c r="U40" s="15">
        <f t="shared" si="21"/>
        <v>-3.1609195402298895E-2</v>
      </c>
      <c r="V40" s="15">
        <f t="shared" si="22"/>
        <v>-1.478452343504244E-2</v>
      </c>
      <c r="W40" s="15" t="str">
        <f t="shared" si="23"/>
        <v/>
      </c>
      <c r="X40" s="5">
        <f t="shared" si="24"/>
        <v>-1.9634830416859761E-2</v>
      </c>
      <c r="Y40" s="5">
        <f t="shared" si="25"/>
        <v>-0.42420606145234008</v>
      </c>
      <c r="Z40" s="5">
        <f t="shared" si="26"/>
        <v>-1.1305616338439073E-2</v>
      </c>
    </row>
    <row r="41" spans="1:26" x14ac:dyDescent="0.25">
      <c r="A41" t="s">
        <v>72</v>
      </c>
      <c r="B41" t="s">
        <v>73</v>
      </c>
      <c r="C41" s="63">
        <v>4155</v>
      </c>
      <c r="D41" s="6">
        <v>4155</v>
      </c>
      <c r="E41" s="91"/>
      <c r="F41" s="91"/>
      <c r="G41" s="91"/>
      <c r="H41" s="91"/>
      <c r="I41" s="91"/>
      <c r="J41" s="91"/>
      <c r="K41" s="91"/>
      <c r="L41" s="91"/>
      <c r="M41" s="91"/>
      <c r="N41" s="15">
        <f t="shared" si="14"/>
        <v>0</v>
      </c>
      <c r="O41" s="15" t="str">
        <f t="shared" si="15"/>
        <v/>
      </c>
      <c r="P41" s="15" t="str">
        <f t="shared" si="16"/>
        <v/>
      </c>
      <c r="Q41" s="15" t="str">
        <f t="shared" si="17"/>
        <v/>
      </c>
      <c r="R41" s="15" t="str">
        <f t="shared" si="18"/>
        <v/>
      </c>
      <c r="S41" s="15" t="str">
        <f t="shared" si="19"/>
        <v/>
      </c>
      <c r="T41" s="15" t="str">
        <f t="shared" si="20"/>
        <v/>
      </c>
      <c r="U41" s="15" t="str">
        <f t="shared" si="21"/>
        <v/>
      </c>
      <c r="V41" s="15" t="str">
        <f t="shared" si="22"/>
        <v/>
      </c>
      <c r="W41" s="15" t="str">
        <f t="shared" si="23"/>
        <v/>
      </c>
      <c r="X41" s="5">
        <f t="shared" si="24"/>
        <v>0</v>
      </c>
      <c r="Y41" s="5">
        <f t="shared" si="25"/>
        <v>0</v>
      </c>
      <c r="Z41" s="5">
        <f t="shared" si="26"/>
        <v>0</v>
      </c>
    </row>
    <row r="42" spans="1:26" x14ac:dyDescent="0.25">
      <c r="A42" t="s">
        <v>74</v>
      </c>
      <c r="B42" t="s">
        <v>75</v>
      </c>
      <c r="C42" s="6">
        <v>3228</v>
      </c>
      <c r="D42" s="6">
        <v>3233</v>
      </c>
      <c r="E42" s="6">
        <v>3314</v>
      </c>
      <c r="F42" s="6">
        <v>3418</v>
      </c>
      <c r="G42" s="6">
        <v>3516</v>
      </c>
      <c r="H42" s="6">
        <v>3759</v>
      </c>
      <c r="I42" s="6">
        <v>3925</v>
      </c>
      <c r="J42" s="6">
        <v>3973</v>
      </c>
      <c r="K42" s="6">
        <v>4131</v>
      </c>
      <c r="L42" s="6">
        <v>4165</v>
      </c>
      <c r="M42" s="6">
        <v>4234</v>
      </c>
      <c r="N42" s="15">
        <f t="shared" si="14"/>
        <v>-1.5465511908444585E-3</v>
      </c>
      <c r="O42" s="15">
        <f t="shared" si="15"/>
        <v>-2.4441762220881125E-2</v>
      </c>
      <c r="P42" s="15">
        <f t="shared" si="16"/>
        <v>-3.0427150380339385E-2</v>
      </c>
      <c r="Q42" s="15">
        <f t="shared" si="17"/>
        <v>-2.7872582480091057E-2</v>
      </c>
      <c r="R42" s="15">
        <f t="shared" si="18"/>
        <v>-6.464485235434958E-2</v>
      </c>
      <c r="S42" s="15">
        <f t="shared" si="19"/>
        <v>-4.2292993630573261E-2</v>
      </c>
      <c r="T42" s="15">
        <f t="shared" si="20"/>
        <v>-1.2081550465643076E-2</v>
      </c>
      <c r="U42" s="15">
        <f t="shared" si="21"/>
        <v>-3.8247397724521903E-2</v>
      </c>
      <c r="V42" s="15">
        <f t="shared" si="22"/>
        <v>-8.1632653061224358E-3</v>
      </c>
      <c r="W42" s="15">
        <f t="shared" si="23"/>
        <v>-1.6296646197449194E-2</v>
      </c>
      <c r="X42" s="5">
        <f t="shared" si="24"/>
        <v>-2.6601475195081548E-2</v>
      </c>
      <c r="Y42" s="5">
        <f t="shared" si="25"/>
        <v>-0.94186220202064563</v>
      </c>
      <c r="Z42" s="5">
        <f t="shared" si="26"/>
        <v>-1.5465511908444585E-3</v>
      </c>
    </row>
    <row r="43" spans="1:26" x14ac:dyDescent="0.25">
      <c r="A43" t="s">
        <v>76</v>
      </c>
      <c r="B43" t="s">
        <v>77</v>
      </c>
      <c r="C43" s="63"/>
      <c r="D43" s="6">
        <v>1608</v>
      </c>
      <c r="E43" s="6">
        <v>1608</v>
      </c>
      <c r="F43" s="6">
        <v>1607</v>
      </c>
      <c r="G43" s="6">
        <v>1606</v>
      </c>
      <c r="H43" s="6">
        <v>1605</v>
      </c>
      <c r="I43" s="6">
        <v>1604</v>
      </c>
      <c r="J43" s="6"/>
      <c r="K43" s="6"/>
      <c r="L43" s="6"/>
      <c r="M43" s="6"/>
      <c r="N43" s="15" t="str">
        <f t="shared" si="14"/>
        <v/>
      </c>
      <c r="O43" s="15">
        <f t="shared" si="15"/>
        <v>0</v>
      </c>
      <c r="P43" s="15">
        <f t="shared" si="16"/>
        <v>6.2227753578092404E-4</v>
      </c>
      <c r="Q43" s="15">
        <f t="shared" si="17"/>
        <v>6.2266500622665255E-4</v>
      </c>
      <c r="R43" s="15">
        <f t="shared" si="18"/>
        <v>6.2305295950149109E-4</v>
      </c>
      <c r="S43" s="15">
        <f t="shared" si="19"/>
        <v>6.2344139650871711E-4</v>
      </c>
      <c r="T43" s="15" t="str">
        <f t="shared" si="20"/>
        <v/>
      </c>
      <c r="U43" s="15" t="str">
        <f t="shared" si="21"/>
        <v/>
      </c>
      <c r="V43" s="15" t="str">
        <f t="shared" si="22"/>
        <v/>
      </c>
      <c r="W43" s="15" t="str">
        <f t="shared" si="23"/>
        <v/>
      </c>
      <c r="X43" s="5">
        <f t="shared" si="24"/>
        <v>4.9828737960355696E-4</v>
      </c>
      <c r="Y43" s="5">
        <f t="shared" si="25"/>
        <v>-99.999989999999997</v>
      </c>
      <c r="Z43" s="5">
        <f t="shared" si="26"/>
        <v>0</v>
      </c>
    </row>
    <row r="44" spans="1:26" x14ac:dyDescent="0.25">
      <c r="A44" t="s">
        <v>78</v>
      </c>
      <c r="B44" t="s">
        <v>79</v>
      </c>
      <c r="C44" s="63"/>
      <c r="D44" s="6">
        <v>0.14000000000000001</v>
      </c>
      <c r="E44" s="6">
        <v>0.14000000000000001</v>
      </c>
      <c r="F44" s="6">
        <v>0.14000000000000001</v>
      </c>
      <c r="G44" s="6">
        <v>0.14000000000000001</v>
      </c>
      <c r="H44" s="6">
        <v>0.14000000000000001</v>
      </c>
      <c r="I44" s="6">
        <v>0.1</v>
      </c>
      <c r="J44" s="6">
        <v>0.1</v>
      </c>
      <c r="K44" s="6">
        <v>0.1</v>
      </c>
      <c r="L44" s="6">
        <v>0.1</v>
      </c>
      <c r="M44" s="6">
        <v>0.1</v>
      </c>
      <c r="N44" s="15" t="str">
        <f t="shared" si="14"/>
        <v/>
      </c>
      <c r="O44" s="15">
        <f t="shared" si="15"/>
        <v>0</v>
      </c>
      <c r="P44" s="15">
        <f t="shared" si="16"/>
        <v>0</v>
      </c>
      <c r="Q44" s="15">
        <f t="shared" si="17"/>
        <v>0</v>
      </c>
      <c r="R44" s="15">
        <f t="shared" si="18"/>
        <v>0</v>
      </c>
      <c r="S44" s="15">
        <f t="shared" si="19"/>
        <v>0.40000000000000013</v>
      </c>
      <c r="T44" s="15">
        <f t="shared" si="20"/>
        <v>0</v>
      </c>
      <c r="U44" s="15">
        <f t="shared" si="21"/>
        <v>0</v>
      </c>
      <c r="V44" s="15">
        <f t="shared" si="22"/>
        <v>0</v>
      </c>
      <c r="W44" s="15">
        <f t="shared" si="23"/>
        <v>0</v>
      </c>
      <c r="X44" s="5">
        <f t="shared" si="24"/>
        <v>4.444444444444446E-2</v>
      </c>
      <c r="Y44" s="5">
        <f t="shared" si="25"/>
        <v>-99.999989999999997</v>
      </c>
      <c r="Z44" s="5">
        <f t="shared" si="26"/>
        <v>0</v>
      </c>
    </row>
    <row r="45" spans="1:26" x14ac:dyDescent="0.25">
      <c r="A45" t="s">
        <v>81</v>
      </c>
      <c r="B45" t="s">
        <v>82</v>
      </c>
      <c r="C45" s="63"/>
      <c r="D45" s="6">
        <v>437.96</v>
      </c>
      <c r="E45" s="6">
        <v>437.96</v>
      </c>
      <c r="F45" s="6">
        <v>437.96</v>
      </c>
      <c r="G45" s="6">
        <v>438</v>
      </c>
      <c r="H45" s="6">
        <v>438</v>
      </c>
      <c r="I45" s="6">
        <v>438</v>
      </c>
      <c r="J45" s="6">
        <v>438</v>
      </c>
      <c r="K45" s="6">
        <v>438</v>
      </c>
      <c r="L45" s="6">
        <v>438</v>
      </c>
      <c r="M45" s="6">
        <v>438</v>
      </c>
      <c r="N45" s="15" t="str">
        <f t="shared" si="14"/>
        <v/>
      </c>
      <c r="O45" s="15">
        <f t="shared" si="15"/>
        <v>0</v>
      </c>
      <c r="P45" s="15">
        <f t="shared" si="16"/>
        <v>0</v>
      </c>
      <c r="Q45" s="15">
        <f t="shared" si="17"/>
        <v>-9.1324200913289744E-5</v>
      </c>
      <c r="R45" s="15">
        <f t="shared" si="18"/>
        <v>0</v>
      </c>
      <c r="S45" s="15">
        <f t="shared" si="19"/>
        <v>0</v>
      </c>
      <c r="T45" s="15">
        <f t="shared" si="20"/>
        <v>0</v>
      </c>
      <c r="U45" s="15">
        <f t="shared" si="21"/>
        <v>0</v>
      </c>
      <c r="V45" s="15">
        <f t="shared" si="22"/>
        <v>0</v>
      </c>
      <c r="W45" s="15">
        <f t="shared" si="23"/>
        <v>0</v>
      </c>
      <c r="X45" s="5">
        <f t="shared" si="24"/>
        <v>-1.0147133434809971E-5</v>
      </c>
      <c r="Y45" s="5">
        <f t="shared" si="25"/>
        <v>-1</v>
      </c>
      <c r="Z45" s="5">
        <f t="shared" si="26"/>
        <v>0</v>
      </c>
    </row>
    <row r="46" spans="1:26" x14ac:dyDescent="0.25">
      <c r="A46" s="52" t="s">
        <v>273</v>
      </c>
      <c r="B46" s="52" t="s">
        <v>278</v>
      </c>
      <c r="C46" s="63"/>
      <c r="D46" s="6">
        <v>185.73</v>
      </c>
      <c r="E46" s="6">
        <v>185.65</v>
      </c>
      <c r="F46" s="6">
        <v>185.23</v>
      </c>
      <c r="G46" s="91"/>
      <c r="H46" s="91"/>
      <c r="I46" s="91"/>
      <c r="J46" s="91"/>
      <c r="K46" s="91"/>
      <c r="L46" s="91"/>
      <c r="M46" s="91"/>
      <c r="N46" s="15" t="str">
        <f t="shared" si="14"/>
        <v/>
      </c>
      <c r="O46" s="15">
        <f t="shared" si="15"/>
        <v>4.3091839482878314E-4</v>
      </c>
      <c r="P46" s="15">
        <f t="shared" si="16"/>
        <v>2.267451276791066E-3</v>
      </c>
      <c r="Q46" s="15" t="str">
        <f t="shared" si="17"/>
        <v/>
      </c>
      <c r="R46" s="15" t="str">
        <f t="shared" si="18"/>
        <v/>
      </c>
      <c r="S46" s="15" t="str">
        <f t="shared" si="19"/>
        <v/>
      </c>
      <c r="T46" s="15" t="str">
        <f t="shared" si="20"/>
        <v/>
      </c>
      <c r="U46" s="15" t="str">
        <f t="shared" si="21"/>
        <v/>
      </c>
      <c r="V46" s="15" t="str">
        <f t="shared" si="22"/>
        <v/>
      </c>
      <c r="W46" s="15" t="str">
        <f t="shared" si="23"/>
        <v/>
      </c>
      <c r="X46" s="5">
        <f t="shared" si="24"/>
        <v>1.3491848358099245E-3</v>
      </c>
      <c r="Y46" s="5">
        <f t="shared" si="25"/>
        <v>-99.999989999999997</v>
      </c>
      <c r="Z46" s="5">
        <f t="shared" si="26"/>
        <v>4.3091839482878314E-4</v>
      </c>
    </row>
    <row r="47" spans="1:26" x14ac:dyDescent="0.25">
      <c r="A47" s="52" t="s">
        <v>275</v>
      </c>
      <c r="B47" s="52" t="s">
        <v>280</v>
      </c>
      <c r="C47" s="63"/>
      <c r="D47" s="6">
        <v>2650</v>
      </c>
      <c r="E47" s="6">
        <v>2750</v>
      </c>
      <c r="F47" s="6">
        <v>2800</v>
      </c>
      <c r="G47" s="6">
        <v>2780</v>
      </c>
      <c r="H47" s="6">
        <v>2860</v>
      </c>
      <c r="I47" s="6">
        <v>2940</v>
      </c>
      <c r="J47" s="6">
        <v>3040</v>
      </c>
      <c r="K47" s="6"/>
      <c r="L47" s="6"/>
      <c r="M47" s="6"/>
      <c r="N47" s="15" t="str">
        <f t="shared" si="14"/>
        <v/>
      </c>
      <c r="O47" s="15">
        <f t="shared" si="15"/>
        <v>-3.6363636363636376E-2</v>
      </c>
      <c r="P47" s="15">
        <f t="shared" si="16"/>
        <v>-1.7857142857142905E-2</v>
      </c>
      <c r="Q47" s="15">
        <f t="shared" si="17"/>
        <v>7.194244604316502E-3</v>
      </c>
      <c r="R47" s="15">
        <f t="shared" si="18"/>
        <v>-2.7972027972028024E-2</v>
      </c>
      <c r="S47" s="15">
        <f t="shared" si="19"/>
        <v>-2.7210884353741527E-2</v>
      </c>
      <c r="T47" s="15">
        <f t="shared" si="20"/>
        <v>-3.289473684210531E-2</v>
      </c>
      <c r="U47" s="15" t="str">
        <f t="shared" si="21"/>
        <v/>
      </c>
      <c r="V47" s="15" t="str">
        <f t="shared" si="22"/>
        <v/>
      </c>
      <c r="W47" s="15" t="str">
        <f t="shared" si="23"/>
        <v/>
      </c>
      <c r="X47" s="5">
        <f t="shared" si="24"/>
        <v>-2.2517363964056274E-2</v>
      </c>
      <c r="Y47" s="5">
        <f t="shared" si="25"/>
        <v>0.6149153347471068</v>
      </c>
      <c r="Z47" s="5">
        <f t="shared" si="26"/>
        <v>-3.6363636363636376E-2</v>
      </c>
    </row>
    <row r="48" spans="1:26" x14ac:dyDescent="0.25">
      <c r="A48" t="s">
        <v>83</v>
      </c>
      <c r="B48" t="s">
        <v>84</v>
      </c>
      <c r="C48" s="63"/>
      <c r="D48" s="6">
        <v>561.23</v>
      </c>
      <c r="E48" s="6">
        <v>605.9</v>
      </c>
      <c r="F48" s="6">
        <v>608.80999999999995</v>
      </c>
      <c r="G48" s="6">
        <v>602.98</v>
      </c>
      <c r="H48" s="6">
        <v>601</v>
      </c>
      <c r="I48" s="6">
        <v>599</v>
      </c>
      <c r="J48" s="6">
        <v>602.4</v>
      </c>
      <c r="K48" s="6">
        <v>618</v>
      </c>
      <c r="L48" s="6">
        <v>639.6</v>
      </c>
      <c r="M48" s="6">
        <v>658.8</v>
      </c>
      <c r="N48" s="15" t="str">
        <f t="shared" si="14"/>
        <v/>
      </c>
      <c r="O48" s="15">
        <f t="shared" si="15"/>
        <v>-7.3725037134840687E-2</v>
      </c>
      <c r="P48" s="15">
        <f t="shared" si="16"/>
        <v>-4.7798163630689006E-3</v>
      </c>
      <c r="Q48" s="15">
        <f t="shared" si="17"/>
        <v>9.668645726226277E-3</v>
      </c>
      <c r="R48" s="15">
        <f t="shared" si="18"/>
        <v>3.294509151414271E-3</v>
      </c>
      <c r="S48" s="15">
        <f t="shared" si="19"/>
        <v>3.3388981636059967E-3</v>
      </c>
      <c r="T48" s="15">
        <f t="shared" si="20"/>
        <v>-5.6440903054448821E-3</v>
      </c>
      <c r="U48" s="15">
        <f t="shared" si="21"/>
        <v>-2.5242718446601975E-2</v>
      </c>
      <c r="V48" s="15">
        <f t="shared" si="22"/>
        <v>-3.3771106941838713E-2</v>
      </c>
      <c r="W48" s="15">
        <f t="shared" si="23"/>
        <v>-2.914389799635686E-2</v>
      </c>
      <c r="X48" s="5">
        <f t="shared" si="24"/>
        <v>-1.7333846016322832E-2</v>
      </c>
      <c r="Y48" s="5">
        <f t="shared" si="25"/>
        <v>3.2532417252014199</v>
      </c>
      <c r="Z48" s="5">
        <f t="shared" si="26"/>
        <v>-7.3725037134840687E-2</v>
      </c>
    </row>
    <row r="49" spans="1:26" x14ac:dyDescent="0.25">
      <c r="A49" t="s">
        <v>85</v>
      </c>
      <c r="B49" t="s">
        <v>86</v>
      </c>
      <c r="C49" s="63"/>
      <c r="D49" s="6">
        <v>1319</v>
      </c>
      <c r="E49" s="6">
        <v>1324</v>
      </c>
      <c r="F49" s="6">
        <v>1326</v>
      </c>
      <c r="G49" s="6">
        <v>1341</v>
      </c>
      <c r="H49" s="6">
        <v>1311</v>
      </c>
      <c r="I49" s="6">
        <v>1319</v>
      </c>
      <c r="J49" s="6">
        <v>1316</v>
      </c>
      <c r="K49" s="6">
        <v>1366</v>
      </c>
      <c r="L49" s="6">
        <v>1359</v>
      </c>
      <c r="M49" s="6">
        <v>1396</v>
      </c>
      <c r="N49" s="15" t="str">
        <f t="shared" si="14"/>
        <v/>
      </c>
      <c r="O49" s="15">
        <f t="shared" si="15"/>
        <v>-3.7764350453172169E-3</v>
      </c>
      <c r="P49" s="15">
        <f t="shared" si="16"/>
        <v>-1.5082956259426794E-3</v>
      </c>
      <c r="Q49" s="15">
        <f t="shared" si="17"/>
        <v>-1.1185682326621871E-2</v>
      </c>
      <c r="R49" s="15">
        <f t="shared" si="18"/>
        <v>2.2883295194507935E-2</v>
      </c>
      <c r="S49" s="15">
        <f t="shared" si="19"/>
        <v>-6.0652009097801329E-3</v>
      </c>
      <c r="T49" s="15">
        <f t="shared" si="20"/>
        <v>2.2796352583587254E-3</v>
      </c>
      <c r="U49" s="15">
        <f t="shared" si="21"/>
        <v>-3.6603221083455373E-2</v>
      </c>
      <c r="V49" s="15">
        <f t="shared" si="22"/>
        <v>5.1508462104488117E-3</v>
      </c>
      <c r="W49" s="15">
        <f t="shared" si="23"/>
        <v>-2.6504297994269344E-2</v>
      </c>
      <c r="X49" s="5">
        <f t="shared" si="24"/>
        <v>-6.1477062580079051E-3</v>
      </c>
      <c r="Y49" s="5">
        <f t="shared" si="25"/>
        <v>-0.38571641408564505</v>
      </c>
      <c r="Z49" s="5">
        <f t="shared" si="26"/>
        <v>-3.7764350453172169E-3</v>
      </c>
    </row>
    <row r="50" spans="1:26" x14ac:dyDescent="0.25">
      <c r="A50" t="s">
        <v>87</v>
      </c>
      <c r="B50" t="s">
        <v>88</v>
      </c>
      <c r="C50" s="63"/>
      <c r="D50" s="6">
        <v>2754</v>
      </c>
      <c r="E50" s="6">
        <v>2754</v>
      </c>
      <c r="F50" s="6">
        <v>2754</v>
      </c>
      <c r="G50" s="6">
        <v>2754</v>
      </c>
      <c r="H50" s="6">
        <v>2754</v>
      </c>
      <c r="I50" s="6">
        <v>2822</v>
      </c>
      <c r="J50" s="6">
        <v>2803</v>
      </c>
      <c r="K50" s="6">
        <v>2931</v>
      </c>
      <c r="L50" s="6">
        <v>3051</v>
      </c>
      <c r="M50" s="6">
        <v>3060</v>
      </c>
      <c r="N50" s="15" t="str">
        <f t="shared" si="14"/>
        <v/>
      </c>
      <c r="O50" s="15">
        <f t="shared" si="15"/>
        <v>0</v>
      </c>
      <c r="P50" s="15">
        <f t="shared" si="16"/>
        <v>0</v>
      </c>
      <c r="Q50" s="15">
        <f t="shared" si="17"/>
        <v>0</v>
      </c>
      <c r="R50" s="15">
        <f t="shared" si="18"/>
        <v>0</v>
      </c>
      <c r="S50" s="15">
        <f t="shared" si="19"/>
        <v>-2.4096385542168641E-2</v>
      </c>
      <c r="T50" s="15">
        <f t="shared" si="20"/>
        <v>6.7784516589368682E-3</v>
      </c>
      <c r="U50" s="15">
        <f t="shared" si="21"/>
        <v>-4.3671102012964869E-2</v>
      </c>
      <c r="V50" s="15">
        <f t="shared" si="22"/>
        <v>-3.9331366764995046E-2</v>
      </c>
      <c r="W50" s="15">
        <f t="shared" si="23"/>
        <v>-2.9411764705882248E-3</v>
      </c>
      <c r="X50" s="5">
        <f t="shared" si="24"/>
        <v>-1.1473508792419991E-2</v>
      </c>
      <c r="Y50" s="5">
        <f t="shared" si="25"/>
        <v>-1</v>
      </c>
      <c r="Z50" s="5">
        <f t="shared" si="26"/>
        <v>0</v>
      </c>
    </row>
    <row r="51" spans="1:26" x14ac:dyDescent="0.25">
      <c r="A51" t="s">
        <v>89</v>
      </c>
      <c r="B51" t="s">
        <v>90</v>
      </c>
      <c r="C51" s="63"/>
      <c r="D51" s="6">
        <v>1673</v>
      </c>
      <c r="E51" s="6">
        <v>1670</v>
      </c>
      <c r="F51" s="6">
        <v>1664</v>
      </c>
      <c r="G51" s="6">
        <v>1659</v>
      </c>
      <c r="H51" s="6">
        <v>1641</v>
      </c>
      <c r="I51" s="6">
        <v>1585</v>
      </c>
      <c r="J51" s="6">
        <v>1506</v>
      </c>
      <c r="K51" s="6">
        <v>1506</v>
      </c>
      <c r="L51" s="6"/>
      <c r="M51" s="6"/>
      <c r="N51" s="15" t="str">
        <f t="shared" si="14"/>
        <v/>
      </c>
      <c r="O51" s="15">
        <f t="shared" si="15"/>
        <v>1.796407185628679E-3</v>
      </c>
      <c r="P51" s="15">
        <f t="shared" si="16"/>
        <v>3.6057692307691624E-3</v>
      </c>
      <c r="Q51" s="15">
        <f t="shared" si="17"/>
        <v>3.0138637733574392E-3</v>
      </c>
      <c r="R51" s="15">
        <f t="shared" si="18"/>
        <v>1.0968921389396646E-2</v>
      </c>
      <c r="S51" s="15">
        <f t="shared" si="19"/>
        <v>3.5331230283911719E-2</v>
      </c>
      <c r="T51" s="15">
        <f t="shared" si="20"/>
        <v>5.2456839309428904E-2</v>
      </c>
      <c r="U51" s="15">
        <f t="shared" si="21"/>
        <v>0</v>
      </c>
      <c r="V51" s="15" t="str">
        <f t="shared" si="22"/>
        <v/>
      </c>
      <c r="W51" s="15" t="str">
        <f t="shared" si="23"/>
        <v/>
      </c>
      <c r="X51" s="5">
        <f t="shared" si="24"/>
        <v>1.5310433024641792E-2</v>
      </c>
      <c r="Y51" s="5">
        <f t="shared" si="25"/>
        <v>-99.999989999999997</v>
      </c>
      <c r="Z51" s="5">
        <f t="shared" si="26"/>
        <v>1.796407185628679E-3</v>
      </c>
    </row>
    <row r="52" spans="1:26" x14ac:dyDescent="0.25">
      <c r="A52" t="s">
        <v>91</v>
      </c>
      <c r="B52" t="s">
        <v>92</v>
      </c>
      <c r="C52" s="63"/>
      <c r="D52" s="63">
        <v>736.5</v>
      </c>
      <c r="E52" s="6">
        <v>736.5</v>
      </c>
      <c r="F52" s="6">
        <v>734.2</v>
      </c>
      <c r="G52" s="6">
        <v>728.6</v>
      </c>
      <c r="H52" s="6">
        <v>725.9</v>
      </c>
      <c r="I52" s="6">
        <v>722.6</v>
      </c>
      <c r="J52" s="6">
        <v>722.6</v>
      </c>
      <c r="K52" s="6">
        <v>722.4</v>
      </c>
      <c r="L52" s="6"/>
      <c r="M52" s="6"/>
      <c r="N52" s="15" t="str">
        <f t="shared" si="14"/>
        <v/>
      </c>
      <c r="O52" s="15">
        <f t="shared" si="15"/>
        <v>0</v>
      </c>
      <c r="P52" s="15">
        <f t="shared" si="16"/>
        <v>3.132661400163439E-3</v>
      </c>
      <c r="Q52" s="15">
        <f t="shared" si="17"/>
        <v>7.6859730990941344E-3</v>
      </c>
      <c r="R52" s="15">
        <f t="shared" si="18"/>
        <v>3.7195205951232602E-3</v>
      </c>
      <c r="S52" s="15">
        <f t="shared" si="19"/>
        <v>4.5668419595903398E-3</v>
      </c>
      <c r="T52" s="15">
        <f t="shared" si="20"/>
        <v>0</v>
      </c>
      <c r="U52" s="15">
        <f t="shared" si="21"/>
        <v>2.7685492801787781E-4</v>
      </c>
      <c r="V52" s="15" t="str">
        <f t="shared" si="22"/>
        <v/>
      </c>
      <c r="W52" s="15" t="str">
        <f t="shared" si="23"/>
        <v/>
      </c>
      <c r="X52" s="5">
        <f t="shared" si="24"/>
        <v>2.7688359974270072E-3</v>
      </c>
      <c r="Y52" s="5">
        <f t="shared" si="25"/>
        <v>-99.999989999999997</v>
      </c>
      <c r="Z52" s="5">
        <f t="shared" si="26"/>
        <v>0</v>
      </c>
    </row>
    <row r="53" spans="1:26" x14ac:dyDescent="0.25">
      <c r="A53" s="52" t="s">
        <v>288</v>
      </c>
      <c r="B53" s="52" t="s">
        <v>289</v>
      </c>
      <c r="C53" s="63"/>
      <c r="D53" s="6">
        <v>656.56</v>
      </c>
      <c r="E53" s="6">
        <v>666.36</v>
      </c>
      <c r="F53" s="6">
        <v>676.6</v>
      </c>
      <c r="G53" s="6">
        <v>690.1</v>
      </c>
      <c r="H53" s="6">
        <v>696.4</v>
      </c>
      <c r="I53" s="6"/>
      <c r="J53" s="6"/>
      <c r="K53" s="6"/>
      <c r="L53" s="6"/>
      <c r="M53" s="6"/>
      <c r="N53" s="15" t="str">
        <f t="shared" si="14"/>
        <v/>
      </c>
      <c r="O53" s="15">
        <f t="shared" si="15"/>
        <v>-1.470676511195157E-2</v>
      </c>
      <c r="P53" s="15">
        <f t="shared" si="16"/>
        <v>-1.5134496009459042E-2</v>
      </c>
      <c r="Q53" s="15">
        <f t="shared" si="17"/>
        <v>-1.9562382263440092E-2</v>
      </c>
      <c r="R53" s="15">
        <f t="shared" si="18"/>
        <v>-9.0465249856404029E-3</v>
      </c>
      <c r="S53" s="15" t="str">
        <f t="shared" si="19"/>
        <v/>
      </c>
      <c r="T53" s="15" t="str">
        <f t="shared" si="20"/>
        <v/>
      </c>
      <c r="U53" s="15" t="str">
        <f t="shared" si="21"/>
        <v/>
      </c>
      <c r="V53" s="15" t="str">
        <f t="shared" si="22"/>
        <v/>
      </c>
      <c r="W53" s="15" t="str">
        <f t="shared" si="23"/>
        <v/>
      </c>
      <c r="X53" s="5">
        <f t="shared" si="24"/>
        <v>-1.4612542092622777E-2</v>
      </c>
      <c r="Y53" s="5">
        <f t="shared" si="25"/>
        <v>6.4480922437419874E-3</v>
      </c>
      <c r="Z53" s="5">
        <f t="shared" si="26"/>
        <v>-1.470676511195157E-2</v>
      </c>
    </row>
    <row r="54" spans="1:26" x14ac:dyDescent="0.25">
      <c r="A54" s="52" t="s">
        <v>257</v>
      </c>
      <c r="B54" s="52" t="s">
        <v>258</v>
      </c>
      <c r="C54" s="63"/>
      <c r="D54" s="6">
        <v>999</v>
      </c>
      <c r="E54" s="6">
        <v>1016</v>
      </c>
      <c r="F54" s="6">
        <v>1037</v>
      </c>
      <c r="G54" s="6">
        <v>1070</v>
      </c>
      <c r="H54" s="6">
        <v>1097</v>
      </c>
      <c r="I54" s="6">
        <v>1119</v>
      </c>
      <c r="J54" s="6">
        <v>1125</v>
      </c>
      <c r="K54" s="6">
        <v>1143</v>
      </c>
      <c r="L54" s="6">
        <v>1155</v>
      </c>
      <c r="M54" s="6">
        <v>1210</v>
      </c>
      <c r="N54" s="15" t="str">
        <f t="shared" si="14"/>
        <v/>
      </c>
      <c r="O54" s="15">
        <f t="shared" si="15"/>
        <v>-1.6732283464566899E-2</v>
      </c>
      <c r="P54" s="15">
        <f t="shared" si="16"/>
        <v>-2.0250723240115676E-2</v>
      </c>
      <c r="Q54" s="15">
        <f t="shared" si="17"/>
        <v>-3.084112149532714E-2</v>
      </c>
      <c r="R54" s="15">
        <f t="shared" si="18"/>
        <v>-2.4612579762990028E-2</v>
      </c>
      <c r="S54" s="15">
        <f t="shared" si="19"/>
        <v>-1.966041108132266E-2</v>
      </c>
      <c r="T54" s="15">
        <f t="shared" si="20"/>
        <v>-5.3333333333333011E-3</v>
      </c>
      <c r="U54" s="15">
        <f t="shared" si="21"/>
        <v>-1.5748031496062964E-2</v>
      </c>
      <c r="V54" s="15">
        <f t="shared" si="22"/>
        <v>-1.0389610389610393E-2</v>
      </c>
      <c r="W54" s="15">
        <f t="shared" si="23"/>
        <v>-4.5454545454545414E-2</v>
      </c>
      <c r="X54" s="5">
        <f t="shared" si="24"/>
        <v>-2.1002515524208273E-2</v>
      </c>
      <c r="Y54" s="5">
        <f t="shared" si="25"/>
        <v>-0.20332002872319499</v>
      </c>
      <c r="Z54" s="5">
        <f t="shared" si="26"/>
        <v>-1.6732283464566899E-2</v>
      </c>
    </row>
    <row r="55" spans="1:26" x14ac:dyDescent="0.25">
      <c r="A55" t="s">
        <v>93</v>
      </c>
      <c r="B55" t="s">
        <v>94</v>
      </c>
      <c r="C55" s="63"/>
      <c r="D55" s="6">
        <v>1972</v>
      </c>
      <c r="E55" s="6">
        <v>1993</v>
      </c>
      <c r="F55" s="6">
        <v>2010</v>
      </c>
      <c r="G55" s="6">
        <v>2046</v>
      </c>
      <c r="H55" s="6">
        <v>2089</v>
      </c>
      <c r="I55" s="6">
        <v>2081</v>
      </c>
      <c r="J55" s="6">
        <v>2061</v>
      </c>
      <c r="K55" s="6">
        <v>2108</v>
      </c>
      <c r="L55" s="6">
        <v>2097</v>
      </c>
      <c r="M55" s="6">
        <v>2084</v>
      </c>
      <c r="N55" s="15" t="str">
        <f t="shared" si="14"/>
        <v/>
      </c>
      <c r="O55" s="15">
        <f t="shared" si="15"/>
        <v>-1.0536879076768702E-2</v>
      </c>
      <c r="P55" s="15">
        <f t="shared" si="16"/>
        <v>-8.4577114427860645E-3</v>
      </c>
      <c r="Q55" s="15">
        <f t="shared" si="17"/>
        <v>-1.7595307917888547E-2</v>
      </c>
      <c r="R55" s="15">
        <f t="shared" si="18"/>
        <v>-2.0584011488750553E-2</v>
      </c>
      <c r="S55" s="15">
        <f t="shared" si="19"/>
        <v>3.844305622296984E-3</v>
      </c>
      <c r="T55" s="15">
        <f t="shared" si="20"/>
        <v>9.7040271712760529E-3</v>
      </c>
      <c r="U55" s="15">
        <f t="shared" si="21"/>
        <v>-2.2296015180265694E-2</v>
      </c>
      <c r="V55" s="15">
        <f t="shared" si="22"/>
        <v>5.2455889365761177E-3</v>
      </c>
      <c r="W55" s="15">
        <f t="shared" si="23"/>
        <v>6.2380038387714887E-3</v>
      </c>
      <c r="X55" s="5">
        <f t="shared" si="24"/>
        <v>-6.0486666152821016E-3</v>
      </c>
      <c r="Y55" s="5">
        <f t="shared" si="25"/>
        <v>0.74201683560258114</v>
      </c>
      <c r="Z55" s="5">
        <f t="shared" si="26"/>
        <v>-1.0536879076768702E-2</v>
      </c>
    </row>
    <row r="56" spans="1:26" x14ac:dyDescent="0.25">
      <c r="A56" s="52" t="s">
        <v>274</v>
      </c>
      <c r="B56" s="52" t="s">
        <v>279</v>
      </c>
      <c r="C56" s="63"/>
      <c r="D56" s="6">
        <v>1140</v>
      </c>
      <c r="E56" s="6">
        <v>1180</v>
      </c>
      <c r="F56" s="6">
        <v>1231</v>
      </c>
      <c r="G56" s="6">
        <v>1298</v>
      </c>
      <c r="H56" s="6">
        <v>1363</v>
      </c>
      <c r="I56" s="6">
        <v>1391</v>
      </c>
      <c r="J56" s="6">
        <v>1439</v>
      </c>
      <c r="K56" s="6">
        <v>1437</v>
      </c>
      <c r="L56" s="91"/>
      <c r="M56" s="91"/>
      <c r="N56" s="15" t="str">
        <f t="shared" si="14"/>
        <v/>
      </c>
      <c r="O56" s="15">
        <f t="shared" si="15"/>
        <v>-3.3898305084745783E-2</v>
      </c>
      <c r="P56" s="15">
        <f t="shared" si="16"/>
        <v>-4.1429731925264002E-2</v>
      </c>
      <c r="Q56" s="15">
        <f t="shared" si="17"/>
        <v>-5.1617873651771951E-2</v>
      </c>
      <c r="R56" s="15">
        <f t="shared" si="18"/>
        <v>-4.7688921496698455E-2</v>
      </c>
      <c r="S56" s="15">
        <f t="shared" si="19"/>
        <v>-2.0129403306973437E-2</v>
      </c>
      <c r="T56" s="15">
        <f t="shared" si="20"/>
        <v>-3.3356497567755383E-2</v>
      </c>
      <c r="U56" s="15">
        <f t="shared" si="21"/>
        <v>1.3917884481557952E-3</v>
      </c>
      <c r="V56" s="15" t="str">
        <f t="shared" si="22"/>
        <v/>
      </c>
      <c r="W56" s="15" t="str">
        <f t="shared" si="23"/>
        <v/>
      </c>
      <c r="X56" s="5">
        <f t="shared" si="24"/>
        <v>-3.2389849226436174E-2</v>
      </c>
      <c r="Y56" s="5">
        <f t="shared" si="25"/>
        <v>4.6571870333944831E-2</v>
      </c>
      <c r="Z56" s="5">
        <f t="shared" si="26"/>
        <v>-3.3898305084745783E-2</v>
      </c>
    </row>
    <row r="57" spans="1:26" x14ac:dyDescent="0.25">
      <c r="A57" s="52" t="s">
        <v>291</v>
      </c>
      <c r="B57" s="52" t="s">
        <v>292</v>
      </c>
      <c r="C57" s="63"/>
      <c r="D57" s="6">
        <v>5107</v>
      </c>
      <c r="E57" s="6">
        <v>5389</v>
      </c>
      <c r="F57" s="6">
        <v>5298</v>
      </c>
      <c r="G57" s="6">
        <v>5435</v>
      </c>
      <c r="H57" s="6">
        <v>5655</v>
      </c>
      <c r="I57" s="6">
        <v>5785</v>
      </c>
      <c r="J57" s="6">
        <v>5893</v>
      </c>
      <c r="K57" s="6">
        <v>6059</v>
      </c>
      <c r="L57" s="6">
        <v>6059</v>
      </c>
      <c r="M57" s="6">
        <v>6331</v>
      </c>
      <c r="N57" s="15" t="str">
        <f t="shared" si="14"/>
        <v/>
      </c>
      <c r="O57" s="15">
        <f t="shared" si="15"/>
        <v>-5.2328817962516205E-2</v>
      </c>
      <c r="P57" s="15">
        <f t="shared" si="16"/>
        <v>1.7176292940732418E-2</v>
      </c>
      <c r="Q57" s="15">
        <f t="shared" si="17"/>
        <v>-2.520699172033114E-2</v>
      </c>
      <c r="R57" s="15">
        <f t="shared" si="18"/>
        <v>-3.89036251105217E-2</v>
      </c>
      <c r="S57" s="15">
        <f t="shared" si="19"/>
        <v>-2.2471910112359605E-2</v>
      </c>
      <c r="T57" s="15">
        <f t="shared" si="20"/>
        <v>-1.8326828440522691E-2</v>
      </c>
      <c r="U57" s="15">
        <f t="shared" si="21"/>
        <v>-2.7397260273972601E-2</v>
      </c>
      <c r="V57" s="15">
        <f t="shared" si="22"/>
        <v>0</v>
      </c>
      <c r="W57" s="15">
        <f t="shared" si="23"/>
        <v>-4.2963196967303774E-2</v>
      </c>
      <c r="X57" s="5">
        <f t="shared" si="24"/>
        <v>-2.3380259738532812E-2</v>
      </c>
      <c r="Y57" s="5">
        <f t="shared" si="25"/>
        <v>1.2381623877459975</v>
      </c>
      <c r="Z57" s="5">
        <f t="shared" si="26"/>
        <v>-5.2328817962516205E-2</v>
      </c>
    </row>
    <row r="58" spans="1:26" x14ac:dyDescent="0.25">
      <c r="A58" s="52" t="s">
        <v>272</v>
      </c>
      <c r="B58" s="52" t="s">
        <v>277</v>
      </c>
      <c r="C58" s="63"/>
      <c r="D58" s="6">
        <v>904.98</v>
      </c>
      <c r="E58" s="6">
        <v>926.99</v>
      </c>
      <c r="F58" s="6">
        <v>933.02</v>
      </c>
      <c r="G58" s="6">
        <v>926.1</v>
      </c>
      <c r="H58" s="6">
        <v>917.3</v>
      </c>
      <c r="I58" s="6">
        <v>903.8</v>
      </c>
      <c r="J58" s="6">
        <v>902.3</v>
      </c>
      <c r="K58" s="6">
        <v>899.3</v>
      </c>
      <c r="L58" s="6">
        <v>922.1</v>
      </c>
      <c r="M58" s="6">
        <v>919.6</v>
      </c>
      <c r="N58" s="15" t="str">
        <f t="shared" si="14"/>
        <v/>
      </c>
      <c r="O58" s="15">
        <f t="shared" si="15"/>
        <v>-2.3743513953764284E-2</v>
      </c>
      <c r="P58" s="15">
        <f t="shared" si="16"/>
        <v>-6.4628839681892813E-3</v>
      </c>
      <c r="Q58" s="15">
        <f t="shared" si="17"/>
        <v>7.4721952272971404E-3</v>
      </c>
      <c r="R58" s="15">
        <f t="shared" si="18"/>
        <v>9.5933718521750144E-3</v>
      </c>
      <c r="S58" s="15">
        <f t="shared" si="19"/>
        <v>1.4936932949767723E-2</v>
      </c>
      <c r="T58" s="15">
        <f t="shared" si="20"/>
        <v>1.6624182644353613E-3</v>
      </c>
      <c r="U58" s="15">
        <f t="shared" si="21"/>
        <v>3.3359279439564293E-3</v>
      </c>
      <c r="V58" s="15">
        <f t="shared" si="22"/>
        <v>-2.4726168528359294E-2</v>
      </c>
      <c r="W58" s="15">
        <f t="shared" si="23"/>
        <v>2.7185732927359485E-3</v>
      </c>
      <c r="X58" s="5">
        <f t="shared" si="24"/>
        <v>-1.6903496577716935E-3</v>
      </c>
      <c r="Y58" s="5">
        <f t="shared" si="25"/>
        <v>13.046510344530855</v>
      </c>
      <c r="Z58" s="5">
        <f t="shared" si="26"/>
        <v>-2.3743513953764284E-2</v>
      </c>
    </row>
    <row r="59" spans="1:26" x14ac:dyDescent="0.25">
      <c r="A59" t="s">
        <v>97</v>
      </c>
      <c r="B59" t="s">
        <v>98</v>
      </c>
      <c r="C59" s="63"/>
      <c r="D59" s="6">
        <v>612.5</v>
      </c>
      <c r="E59" s="6">
        <v>640.79999999999995</v>
      </c>
      <c r="F59" s="6">
        <v>648.5</v>
      </c>
      <c r="G59" s="6">
        <v>644.79999999999995</v>
      </c>
      <c r="H59" s="6">
        <v>651.20000000000005</v>
      </c>
      <c r="I59" s="6">
        <v>650.79999999999995</v>
      </c>
      <c r="J59" s="6">
        <v>595</v>
      </c>
      <c r="K59" s="6">
        <v>680</v>
      </c>
      <c r="L59" s="6">
        <v>712</v>
      </c>
      <c r="M59" s="6">
        <v>738</v>
      </c>
      <c r="N59" s="15" t="str">
        <f t="shared" si="14"/>
        <v/>
      </c>
      <c r="O59" s="15">
        <f t="shared" si="15"/>
        <v>-4.4163545568039919E-2</v>
      </c>
      <c r="P59" s="15">
        <f t="shared" si="16"/>
        <v>-1.1873554356206739E-2</v>
      </c>
      <c r="Q59" s="15">
        <f t="shared" si="17"/>
        <v>5.7382133995038664E-3</v>
      </c>
      <c r="R59" s="15">
        <f t="shared" si="18"/>
        <v>-9.8280098280100203E-3</v>
      </c>
      <c r="S59" s="15">
        <f t="shared" si="19"/>
        <v>6.1462814996948723E-4</v>
      </c>
      <c r="T59" s="15">
        <f t="shared" si="20"/>
        <v>9.3781512605041861E-2</v>
      </c>
      <c r="U59" s="15">
        <f t="shared" si="21"/>
        <v>-0.125</v>
      </c>
      <c r="V59" s="15">
        <f t="shared" si="22"/>
        <v>-4.49438202247191E-2</v>
      </c>
      <c r="W59" s="15">
        <f t="shared" si="23"/>
        <v>-3.5230352303523005E-2</v>
      </c>
      <c r="X59" s="5">
        <f t="shared" si="24"/>
        <v>-1.8989436458442619E-2</v>
      </c>
      <c r="Y59" s="5">
        <f t="shared" si="25"/>
        <v>1.3256901627749467</v>
      </c>
      <c r="Z59" s="5">
        <f t="shared" si="26"/>
        <v>-4.4163545568039919E-2</v>
      </c>
    </row>
    <row r="60" spans="1:26" x14ac:dyDescent="0.25">
      <c r="A60" s="52" t="s">
        <v>259</v>
      </c>
      <c r="B60" s="52" t="s">
        <v>260</v>
      </c>
      <c r="C60" s="63"/>
      <c r="D60" s="6">
        <v>356</v>
      </c>
      <c r="E60" s="6">
        <v>362.8</v>
      </c>
      <c r="F60" s="6">
        <v>361.27</v>
      </c>
      <c r="G60" s="6">
        <v>357.3</v>
      </c>
      <c r="H60" s="6">
        <v>365.1</v>
      </c>
      <c r="I60" s="6">
        <v>380.6</v>
      </c>
      <c r="J60" s="6">
        <v>381.9</v>
      </c>
      <c r="K60" s="6">
        <v>390.1</v>
      </c>
      <c r="L60" s="6">
        <v>397.7</v>
      </c>
      <c r="M60" s="6">
        <v>405.3</v>
      </c>
      <c r="N60" s="15" t="str">
        <f t="shared" si="14"/>
        <v/>
      </c>
      <c r="O60" s="15">
        <f t="shared" si="15"/>
        <v>-1.8743109151047488E-2</v>
      </c>
      <c r="P60" s="15">
        <f t="shared" si="16"/>
        <v>4.2350596506768312E-3</v>
      </c>
      <c r="Q60" s="15">
        <f t="shared" si="17"/>
        <v>1.1111111111111072E-2</v>
      </c>
      <c r="R60" s="15">
        <f t="shared" si="18"/>
        <v>-2.1364009860312283E-2</v>
      </c>
      <c r="S60" s="15">
        <f t="shared" si="19"/>
        <v>-4.0725170782974218E-2</v>
      </c>
      <c r="T60" s="15">
        <f t="shared" si="20"/>
        <v>-3.4040324692327095E-3</v>
      </c>
      <c r="U60" s="15">
        <f t="shared" si="21"/>
        <v>-2.1020251217636621E-2</v>
      </c>
      <c r="V60" s="15">
        <f t="shared" si="22"/>
        <v>-1.9109881820467578E-2</v>
      </c>
      <c r="W60" s="15">
        <f t="shared" si="23"/>
        <v>-1.8751542067604321E-2</v>
      </c>
      <c r="X60" s="5">
        <f t="shared" si="24"/>
        <v>-1.4196869623054146E-2</v>
      </c>
      <c r="Y60" s="5">
        <f t="shared" si="25"/>
        <v>0.3202283072749188</v>
      </c>
      <c r="Z60" s="5">
        <f t="shared" si="26"/>
        <v>-1.8743109151047488E-2</v>
      </c>
    </row>
    <row r="61" spans="1:26" x14ac:dyDescent="0.25">
      <c r="A61" t="s">
        <v>99</v>
      </c>
      <c r="B61" t="s">
        <v>100</v>
      </c>
      <c r="C61" s="63"/>
      <c r="D61" s="6">
        <v>365.3</v>
      </c>
      <c r="E61" s="6">
        <v>380.8</v>
      </c>
      <c r="F61" s="6">
        <v>389.3</v>
      </c>
      <c r="G61" s="6">
        <v>395.7</v>
      </c>
      <c r="H61" s="6">
        <v>406.9</v>
      </c>
      <c r="I61" s="6">
        <v>416.3</v>
      </c>
      <c r="J61" s="6">
        <v>413.6</v>
      </c>
      <c r="K61" s="6">
        <v>420.9</v>
      </c>
      <c r="L61" s="6">
        <v>455.6</v>
      </c>
      <c r="M61" s="6">
        <v>461.5</v>
      </c>
      <c r="N61" s="15" t="str">
        <f t="shared" si="14"/>
        <v/>
      </c>
      <c r="O61" s="15">
        <f t="shared" si="15"/>
        <v>-4.0703781512605008E-2</v>
      </c>
      <c r="P61" s="15">
        <f t="shared" si="16"/>
        <v>-2.183406113537123E-2</v>
      </c>
      <c r="Q61" s="15">
        <f t="shared" si="17"/>
        <v>-1.6173869092746984E-2</v>
      </c>
      <c r="R61" s="15">
        <f t="shared" si="18"/>
        <v>-2.7525190464487537E-2</v>
      </c>
      <c r="S61" s="15">
        <f t="shared" si="19"/>
        <v>-2.2579870285851622E-2</v>
      </c>
      <c r="T61" s="15">
        <f t="shared" si="20"/>
        <v>6.5280464216634915E-3</v>
      </c>
      <c r="U61" s="15">
        <f t="shared" si="21"/>
        <v>-1.7343787122831911E-2</v>
      </c>
      <c r="V61" s="15">
        <f t="shared" si="22"/>
        <v>-7.6163301141352169E-2</v>
      </c>
      <c r="W61" s="15">
        <f t="shared" si="23"/>
        <v>-1.2784398699891564E-2</v>
      </c>
      <c r="X61" s="5">
        <f t="shared" si="24"/>
        <v>-2.5397801448163837E-2</v>
      </c>
      <c r="Y61" s="5">
        <f t="shared" si="25"/>
        <v>0.60264980398717682</v>
      </c>
      <c r="Z61" s="5">
        <f t="shared" si="26"/>
        <v>-4.0703781512605008E-2</v>
      </c>
    </row>
    <row r="62" spans="1:26" x14ac:dyDescent="0.25">
      <c r="A62" s="52" t="s">
        <v>261</v>
      </c>
      <c r="B62" s="52" t="s">
        <v>262</v>
      </c>
      <c r="C62" s="63"/>
      <c r="D62" s="6">
        <v>1153</v>
      </c>
      <c r="E62" s="6">
        <v>1194</v>
      </c>
      <c r="F62" s="6">
        <v>1232</v>
      </c>
      <c r="G62" s="6">
        <v>1269</v>
      </c>
      <c r="H62" s="6">
        <v>1309</v>
      </c>
      <c r="I62" s="6">
        <v>1298</v>
      </c>
      <c r="J62" s="6"/>
      <c r="K62" s="6"/>
      <c r="L62" s="6"/>
      <c r="M62" s="6"/>
      <c r="N62" s="15" t="str">
        <f t="shared" si="14"/>
        <v/>
      </c>
      <c r="O62" s="15">
        <f t="shared" si="15"/>
        <v>-3.4338358458961493E-2</v>
      </c>
      <c r="P62" s="15">
        <f t="shared" si="16"/>
        <v>-3.0844155844155896E-2</v>
      </c>
      <c r="Q62" s="15">
        <f t="shared" si="17"/>
        <v>-2.9156816390858986E-2</v>
      </c>
      <c r="R62" s="15">
        <f t="shared" si="18"/>
        <v>-3.0557677616501189E-2</v>
      </c>
      <c r="S62" s="15">
        <f t="shared" si="19"/>
        <v>8.4745762711864181E-3</v>
      </c>
      <c r="T62" s="15" t="str">
        <f t="shared" si="20"/>
        <v/>
      </c>
      <c r="U62" s="15" t="str">
        <f t="shared" si="21"/>
        <v/>
      </c>
      <c r="V62" s="15" t="str">
        <f t="shared" si="22"/>
        <v/>
      </c>
      <c r="W62" s="15" t="str">
        <f t="shared" si="23"/>
        <v/>
      </c>
      <c r="X62" s="5">
        <f t="shared" si="24"/>
        <v>-2.328448640785823E-2</v>
      </c>
      <c r="Y62" s="5">
        <f t="shared" si="25"/>
        <v>0.47473119473112857</v>
      </c>
      <c r="Z62" s="5">
        <f t="shared" si="26"/>
        <v>-3.4338358458961493E-2</v>
      </c>
    </row>
    <row r="63" spans="1:26" x14ac:dyDescent="0.25">
      <c r="A63" s="52" t="s">
        <v>263</v>
      </c>
      <c r="B63" s="52" t="s">
        <v>264</v>
      </c>
      <c r="C63" s="63"/>
      <c r="D63" s="6">
        <v>204.36</v>
      </c>
      <c r="E63" s="6">
        <v>213.96</v>
      </c>
      <c r="F63" s="6">
        <v>223.25</v>
      </c>
      <c r="G63" s="6">
        <v>222.44</v>
      </c>
      <c r="H63" s="6">
        <v>230.8</v>
      </c>
      <c r="I63" s="6">
        <v>236.9</v>
      </c>
      <c r="J63" s="6">
        <v>235.1</v>
      </c>
      <c r="K63" s="6">
        <v>251.4</v>
      </c>
      <c r="L63" s="6">
        <v>278.60000000000002</v>
      </c>
      <c r="M63" s="6">
        <v>290.3</v>
      </c>
      <c r="N63" s="15" t="str">
        <f t="shared" si="14"/>
        <v/>
      </c>
      <c r="O63" s="15">
        <f t="shared" si="15"/>
        <v>-4.4868199663488428E-2</v>
      </c>
      <c r="P63" s="15">
        <f t="shared" si="16"/>
        <v>-4.1612541993281016E-2</v>
      </c>
      <c r="Q63" s="15">
        <f t="shared" si="17"/>
        <v>3.6414313972308321E-3</v>
      </c>
      <c r="R63" s="15">
        <f t="shared" si="18"/>
        <v>-3.622183708838822E-2</v>
      </c>
      <c r="S63" s="15">
        <f t="shared" si="19"/>
        <v>-2.57492612916842E-2</v>
      </c>
      <c r="T63" s="15">
        <f t="shared" si="20"/>
        <v>7.6563164610803369E-3</v>
      </c>
      <c r="U63" s="15">
        <f t="shared" si="21"/>
        <v>-6.4836913285600706E-2</v>
      </c>
      <c r="V63" s="15">
        <f t="shared" si="22"/>
        <v>-9.7631012203876599E-2</v>
      </c>
      <c r="W63" s="15">
        <f t="shared" si="23"/>
        <v>-4.0303134688253528E-2</v>
      </c>
      <c r="X63" s="5">
        <f t="shared" si="24"/>
        <v>-3.7769461372917951E-2</v>
      </c>
      <c r="Y63" s="5">
        <f t="shared" si="25"/>
        <v>0.18794915343062124</v>
      </c>
      <c r="Z63" s="5">
        <f t="shared" si="26"/>
        <v>-4.4868199663488428E-2</v>
      </c>
    </row>
    <row r="64" spans="1:26" x14ac:dyDescent="0.25">
      <c r="A64" s="52" t="s">
        <v>276</v>
      </c>
      <c r="B64" s="52" t="s">
        <v>281</v>
      </c>
      <c r="C64" s="63"/>
      <c r="D64" s="6">
        <v>954</v>
      </c>
      <c r="E64" s="6">
        <v>988</v>
      </c>
      <c r="F64" s="6">
        <v>1019</v>
      </c>
      <c r="G64" s="6">
        <v>1039</v>
      </c>
      <c r="H64" s="6">
        <v>1086</v>
      </c>
      <c r="I64" s="6">
        <v>1147</v>
      </c>
      <c r="J64" s="6">
        <v>1201</v>
      </c>
      <c r="K64" s="6">
        <v>1253</v>
      </c>
      <c r="L64" s="6">
        <v>1345</v>
      </c>
      <c r="M64" s="6">
        <v>1358</v>
      </c>
      <c r="N64" s="15" t="str">
        <f t="shared" si="14"/>
        <v/>
      </c>
      <c r="O64" s="15">
        <f t="shared" si="15"/>
        <v>-3.4412955465587092E-2</v>
      </c>
      <c r="P64" s="15">
        <f t="shared" si="16"/>
        <v>-3.042198233562321E-2</v>
      </c>
      <c r="Q64" s="15">
        <f t="shared" si="17"/>
        <v>-1.9249278152069338E-2</v>
      </c>
      <c r="R64" s="15">
        <f t="shared" si="18"/>
        <v>-4.3278084714548748E-2</v>
      </c>
      <c r="S64" s="15">
        <f t="shared" si="19"/>
        <v>-5.3182214472537015E-2</v>
      </c>
      <c r="T64" s="15">
        <f t="shared" si="20"/>
        <v>-4.4962531223979973E-2</v>
      </c>
      <c r="U64" s="15">
        <f t="shared" si="21"/>
        <v>-4.1500399042298519E-2</v>
      </c>
      <c r="V64" s="15">
        <f t="shared" si="22"/>
        <v>-6.8401486988847626E-2</v>
      </c>
      <c r="W64" s="15">
        <f t="shared" si="23"/>
        <v>-9.5729013254786111E-3</v>
      </c>
      <c r="X64" s="5">
        <f t="shared" si="24"/>
        <v>-3.8331314857885573E-2</v>
      </c>
      <c r="Y64" s="5">
        <f t="shared" si="25"/>
        <v>-0.10222345376948083</v>
      </c>
      <c r="Z64" s="5">
        <f t="shared" si="26"/>
        <v>-3.4412955465587092E-2</v>
      </c>
    </row>
    <row r="65" spans="1:26" x14ac:dyDescent="0.25">
      <c r="A65" s="52" t="s">
        <v>265</v>
      </c>
      <c r="B65" s="52" t="s">
        <v>266</v>
      </c>
      <c r="C65" s="63"/>
      <c r="D65" s="6">
        <v>3120</v>
      </c>
      <c r="E65" s="6">
        <v>3120</v>
      </c>
      <c r="F65" s="6">
        <v>3244</v>
      </c>
      <c r="G65" s="6">
        <v>3296</v>
      </c>
      <c r="H65" s="6">
        <v>3340</v>
      </c>
      <c r="I65" s="6"/>
      <c r="J65" s="6"/>
      <c r="K65" s="6"/>
      <c r="L65" s="6"/>
      <c r="M65" s="6"/>
      <c r="N65" s="15" t="str">
        <f t="shared" si="14"/>
        <v/>
      </c>
      <c r="O65" s="15">
        <f t="shared" si="15"/>
        <v>0</v>
      </c>
      <c r="P65" s="15">
        <f t="shared" si="16"/>
        <v>-3.8224414303329235E-2</v>
      </c>
      <c r="Q65" s="15">
        <f t="shared" si="17"/>
        <v>-1.5776699029126262E-2</v>
      </c>
      <c r="R65" s="15">
        <f t="shared" si="18"/>
        <v>-1.3173652694610793E-2</v>
      </c>
      <c r="S65" s="15" t="str">
        <f t="shared" si="19"/>
        <v/>
      </c>
      <c r="T65" s="15" t="str">
        <f t="shared" si="20"/>
        <v/>
      </c>
      <c r="U65" s="15" t="str">
        <f t="shared" si="21"/>
        <v/>
      </c>
      <c r="V65" s="15" t="str">
        <f t="shared" si="22"/>
        <v/>
      </c>
      <c r="W65" s="15" t="str">
        <f t="shared" si="23"/>
        <v/>
      </c>
      <c r="X65" s="5">
        <f t="shared" si="24"/>
        <v>-1.6793691506766573E-2</v>
      </c>
      <c r="Y65" s="5">
        <f t="shared" si="25"/>
        <v>-1</v>
      </c>
      <c r="Z65" s="5">
        <f t="shared" si="26"/>
        <v>0</v>
      </c>
    </row>
    <row r="66" spans="1:26" x14ac:dyDescent="0.25">
      <c r="A66" s="52"/>
      <c r="B66" s="52"/>
      <c r="C66" s="53"/>
      <c r="D66" s="53"/>
      <c r="E66" s="53"/>
      <c r="F66" s="53"/>
      <c r="G66" s="53"/>
      <c r="H66" s="53"/>
      <c r="I66" s="53"/>
      <c r="J66" s="53"/>
      <c r="K66" s="53"/>
      <c r="L66" s="53"/>
      <c r="M66" s="53"/>
      <c r="N66" s="15" t="str">
        <f t="shared" si="14"/>
        <v/>
      </c>
      <c r="O66" s="15" t="str">
        <f t="shared" si="15"/>
        <v/>
      </c>
      <c r="P66" s="15" t="str">
        <f t="shared" si="16"/>
        <v/>
      </c>
      <c r="Q66" s="15" t="str">
        <f t="shared" si="17"/>
        <v/>
      </c>
      <c r="R66" s="15" t="str">
        <f t="shared" si="18"/>
        <v/>
      </c>
      <c r="S66" s="15" t="str">
        <f t="shared" si="19"/>
        <v/>
      </c>
      <c r="T66" s="15" t="str">
        <f t="shared" si="20"/>
        <v/>
      </c>
      <c r="U66" s="15" t="str">
        <f t="shared" si="21"/>
        <v/>
      </c>
      <c r="V66" s="15" t="str">
        <f t="shared" si="22"/>
        <v/>
      </c>
      <c r="W66" s="15" t="str">
        <f t="shared" si="23"/>
        <v/>
      </c>
      <c r="X66" s="5" t="e">
        <f t="shared" si="24"/>
        <v>#DIV/0!</v>
      </c>
      <c r="Y66" s="5" t="e">
        <f t="shared" si="25"/>
        <v>#DIV/0!</v>
      </c>
      <c r="Z66" s="5" t="str">
        <f t="shared" si="26"/>
        <v/>
      </c>
    </row>
    <row r="67" spans="1:26" x14ac:dyDescent="0.25">
      <c r="A67" s="52"/>
      <c r="B67" s="52"/>
      <c r="C67" s="53"/>
      <c r="D67" s="53"/>
      <c r="E67" s="53"/>
      <c r="F67" s="53"/>
      <c r="G67" s="53"/>
      <c r="H67" s="53"/>
      <c r="I67" s="53"/>
      <c r="J67" s="53"/>
      <c r="K67" s="53"/>
      <c r="L67" s="53"/>
      <c r="M67" s="53"/>
      <c r="N67" s="15" t="str">
        <f t="shared" ref="N67:N101" si="27">IF(C67&lt;&gt;"",IF(D67&lt;&gt;"",(C67/D67)-1,""),"")</f>
        <v/>
      </c>
      <c r="O67" s="15" t="str">
        <f t="shared" ref="O67:O101" si="28">IF(D67&lt;&gt;"",IF(E67&lt;&gt;"",(D67/E67)-1,""),"")</f>
        <v/>
      </c>
      <c r="P67" s="15" t="str">
        <f t="shared" ref="P67:P101" si="29">IF(E67&lt;&gt;"",IF(F67&lt;&gt;"",(E67/F67)-1,""),"")</f>
        <v/>
      </c>
      <c r="Q67" s="15" t="str">
        <f t="shared" ref="Q67:Q101" si="30">IF(F67&lt;&gt;"",IF(G67&lt;&gt;"",(F67/G67)-1,""),"")</f>
        <v/>
      </c>
      <c r="R67" s="15" t="str">
        <f t="shared" ref="R67:R101" si="31">IF(G67&lt;&gt;"",IF(H67&lt;&gt;"",(G67/H67)-1,""),"")</f>
        <v/>
      </c>
      <c r="S67" s="15" t="str">
        <f t="shared" ref="S67:S101" si="32">IF(H67&lt;&gt;"",IF(I67&lt;&gt;"",(H67/I67)-1,""),"")</f>
        <v/>
      </c>
      <c r="T67" s="15" t="str">
        <f t="shared" ref="T67:T101" si="33">IF(I67&lt;&gt;"",IF(J67&lt;&gt;"",(I67/J67)-1,""),"")</f>
        <v/>
      </c>
      <c r="U67" s="15" t="str">
        <f t="shared" ref="U67:U101" si="34">IF(J67&lt;&gt;"",IF(K67&lt;&gt;"",(J67/K67)-1,""),"")</f>
        <v/>
      </c>
      <c r="V67" s="15" t="str">
        <f t="shared" ref="V67:V101" si="35">IF(K67&lt;&gt;"",IF(L67&lt;&gt;"",(K67/L67)-1,""),"")</f>
        <v/>
      </c>
      <c r="W67" s="15" t="str">
        <f t="shared" ref="W67:W101" si="36">IF(L67&lt;&gt;"",IF(M67&lt;&gt;"",(L67/M67)-1,""),"")</f>
        <v/>
      </c>
      <c r="X67" s="5" t="e">
        <f t="shared" ref="X67:X101" si="37">AVERAGE(N67:W67)</f>
        <v>#DIV/0!</v>
      </c>
      <c r="Y67" s="5" t="e">
        <f t="shared" ref="Y67:Y101" si="38">IF(X67=0,0,IF(X67&lt;0,IF(C67&lt;&gt;"",(N67/X67)-1,(O67/X67)-1),IF(C67&lt;&gt;"",IF(N67&lt;0,((N67/X67)-1)*-1,-99.99999),IF(O67&lt;0,((O67/X67)-1)*-1,-99.99999))))</f>
        <v>#DIV/0!</v>
      </c>
      <c r="Z67" s="5" t="str">
        <f t="shared" ref="Z67:Z101" si="39">IF(C67&lt;&gt;"",N67,O67)</f>
        <v/>
      </c>
    </row>
    <row r="68" spans="1:26" x14ac:dyDescent="0.25">
      <c r="A68" s="52"/>
      <c r="B68" s="52"/>
      <c r="C68" s="53"/>
      <c r="D68" s="53"/>
      <c r="E68" s="53"/>
      <c r="F68" s="53"/>
      <c r="G68" s="53"/>
      <c r="H68" s="53"/>
      <c r="I68" s="53"/>
      <c r="J68" s="53"/>
      <c r="K68" s="53"/>
      <c r="L68" s="53"/>
      <c r="M68" s="53"/>
      <c r="N68" s="15" t="str">
        <f t="shared" si="27"/>
        <v/>
      </c>
      <c r="O68" s="15" t="str">
        <f t="shared" si="28"/>
        <v/>
      </c>
      <c r="P68" s="15" t="str">
        <f t="shared" si="29"/>
        <v/>
      </c>
      <c r="Q68" s="15" t="str">
        <f t="shared" si="30"/>
        <v/>
      </c>
      <c r="R68" s="15" t="str">
        <f t="shared" si="31"/>
        <v/>
      </c>
      <c r="S68" s="15" t="str">
        <f t="shared" si="32"/>
        <v/>
      </c>
      <c r="T68" s="15" t="str">
        <f t="shared" si="33"/>
        <v/>
      </c>
      <c r="U68" s="15" t="str">
        <f t="shared" si="34"/>
        <v/>
      </c>
      <c r="V68" s="15" t="str">
        <f t="shared" si="35"/>
        <v/>
      </c>
      <c r="W68" s="15" t="str">
        <f t="shared" si="36"/>
        <v/>
      </c>
      <c r="X68" s="5" t="e">
        <f t="shared" si="37"/>
        <v>#DIV/0!</v>
      </c>
      <c r="Y68" s="5" t="e">
        <f t="shared" si="38"/>
        <v>#DIV/0!</v>
      </c>
      <c r="Z68" s="5" t="str">
        <f t="shared" si="39"/>
        <v/>
      </c>
    </row>
    <row r="69" spans="1:26" x14ac:dyDescent="0.25">
      <c r="A69" s="52"/>
      <c r="B69" s="52"/>
      <c r="C69" s="53"/>
      <c r="D69" s="53"/>
      <c r="E69" s="53"/>
      <c r="F69" s="53"/>
      <c r="G69" s="53"/>
      <c r="H69" s="53"/>
      <c r="I69" s="53"/>
      <c r="J69" s="53"/>
      <c r="K69" s="53"/>
      <c r="L69" s="53"/>
      <c r="M69" s="53"/>
      <c r="N69" s="15" t="str">
        <f t="shared" si="27"/>
        <v/>
      </c>
      <c r="O69" s="15" t="str">
        <f t="shared" si="28"/>
        <v/>
      </c>
      <c r="P69" s="15" t="str">
        <f t="shared" si="29"/>
        <v/>
      </c>
      <c r="Q69" s="15" t="str">
        <f t="shared" si="30"/>
        <v/>
      </c>
      <c r="R69" s="15" t="str">
        <f t="shared" si="31"/>
        <v/>
      </c>
      <c r="S69" s="15" t="str">
        <f t="shared" si="32"/>
        <v/>
      </c>
      <c r="T69" s="15" t="str">
        <f t="shared" si="33"/>
        <v/>
      </c>
      <c r="U69" s="15" t="str">
        <f t="shared" si="34"/>
        <v/>
      </c>
      <c r="V69" s="15" t="str">
        <f t="shared" si="35"/>
        <v/>
      </c>
      <c r="W69" s="15" t="str">
        <f t="shared" si="36"/>
        <v/>
      </c>
      <c r="X69" s="5" t="e">
        <f t="shared" si="37"/>
        <v>#DIV/0!</v>
      </c>
      <c r="Y69" s="5" t="e">
        <f t="shared" si="38"/>
        <v>#DIV/0!</v>
      </c>
      <c r="Z69" s="5" t="str">
        <f t="shared" si="39"/>
        <v/>
      </c>
    </row>
    <row r="70" spans="1:26" x14ac:dyDescent="0.25">
      <c r="A70" s="52"/>
      <c r="B70" s="52"/>
      <c r="C70" s="53"/>
      <c r="D70" s="53"/>
      <c r="E70" s="53"/>
      <c r="F70" s="53"/>
      <c r="G70" s="53"/>
      <c r="H70" s="53"/>
      <c r="I70" s="53"/>
      <c r="J70" s="53"/>
      <c r="K70" s="53"/>
      <c r="L70" s="53"/>
      <c r="M70" s="53"/>
      <c r="N70" s="15" t="str">
        <f t="shared" si="27"/>
        <v/>
      </c>
      <c r="O70" s="15" t="str">
        <f t="shared" si="28"/>
        <v/>
      </c>
      <c r="P70" s="15" t="str">
        <f t="shared" si="29"/>
        <v/>
      </c>
      <c r="Q70" s="15" t="str">
        <f t="shared" si="30"/>
        <v/>
      </c>
      <c r="R70" s="15" t="str">
        <f t="shared" si="31"/>
        <v/>
      </c>
      <c r="S70" s="15" t="str">
        <f t="shared" si="32"/>
        <v/>
      </c>
      <c r="T70" s="15" t="str">
        <f t="shared" si="33"/>
        <v/>
      </c>
      <c r="U70" s="15" t="str">
        <f t="shared" si="34"/>
        <v/>
      </c>
      <c r="V70" s="15" t="str">
        <f t="shared" si="35"/>
        <v/>
      </c>
      <c r="W70" s="15" t="str">
        <f t="shared" si="36"/>
        <v/>
      </c>
      <c r="X70" s="5" t="e">
        <f t="shared" si="37"/>
        <v>#DIV/0!</v>
      </c>
      <c r="Y70" s="5" t="e">
        <f t="shared" si="38"/>
        <v>#DIV/0!</v>
      </c>
      <c r="Z70" s="5" t="str">
        <f t="shared" si="39"/>
        <v/>
      </c>
    </row>
    <row r="71" spans="1:26" x14ac:dyDescent="0.25">
      <c r="A71" s="52"/>
      <c r="B71" s="52"/>
      <c r="C71" s="53"/>
      <c r="D71" s="53"/>
      <c r="E71" s="53"/>
      <c r="F71" s="53"/>
      <c r="G71" s="53"/>
      <c r="H71" s="53"/>
      <c r="I71" s="53"/>
      <c r="J71" s="53"/>
      <c r="K71" s="53"/>
      <c r="L71" s="53"/>
      <c r="M71" s="53"/>
      <c r="N71" s="15" t="str">
        <f t="shared" si="27"/>
        <v/>
      </c>
      <c r="O71" s="15" t="str">
        <f t="shared" si="28"/>
        <v/>
      </c>
      <c r="P71" s="15" t="str">
        <f t="shared" si="29"/>
        <v/>
      </c>
      <c r="Q71" s="15" t="str">
        <f t="shared" si="30"/>
        <v/>
      </c>
      <c r="R71" s="15" t="str">
        <f t="shared" si="31"/>
        <v/>
      </c>
      <c r="S71" s="15" t="str">
        <f t="shared" si="32"/>
        <v/>
      </c>
      <c r="T71" s="15" t="str">
        <f t="shared" si="33"/>
        <v/>
      </c>
      <c r="U71" s="15" t="str">
        <f t="shared" si="34"/>
        <v/>
      </c>
      <c r="V71" s="15" t="str">
        <f t="shared" si="35"/>
        <v/>
      </c>
      <c r="W71" s="15" t="str">
        <f t="shared" si="36"/>
        <v/>
      </c>
      <c r="X71" s="5" t="e">
        <f t="shared" si="37"/>
        <v>#DIV/0!</v>
      </c>
      <c r="Y71" s="5" t="e">
        <f t="shared" si="38"/>
        <v>#DIV/0!</v>
      </c>
      <c r="Z71" s="5" t="str">
        <f t="shared" si="39"/>
        <v/>
      </c>
    </row>
    <row r="72" spans="1:26" x14ac:dyDescent="0.25">
      <c r="A72" s="52"/>
      <c r="B72" s="52"/>
      <c r="C72" s="53"/>
      <c r="D72" s="53"/>
      <c r="E72" s="53"/>
      <c r="F72" s="53"/>
      <c r="G72" s="53"/>
      <c r="H72" s="53"/>
      <c r="I72" s="53"/>
      <c r="J72" s="53"/>
      <c r="K72" s="53"/>
      <c r="L72" s="53"/>
      <c r="M72" s="53"/>
      <c r="N72" s="15" t="str">
        <f t="shared" si="27"/>
        <v/>
      </c>
      <c r="O72" s="15" t="str">
        <f t="shared" si="28"/>
        <v/>
      </c>
      <c r="P72" s="15" t="str">
        <f t="shared" si="29"/>
        <v/>
      </c>
      <c r="Q72" s="15" t="str">
        <f t="shared" si="30"/>
        <v/>
      </c>
      <c r="R72" s="15" t="str">
        <f t="shared" si="31"/>
        <v/>
      </c>
      <c r="S72" s="15" t="str">
        <f t="shared" si="32"/>
        <v/>
      </c>
      <c r="T72" s="15" t="str">
        <f t="shared" si="33"/>
        <v/>
      </c>
      <c r="U72" s="15" t="str">
        <f t="shared" si="34"/>
        <v/>
      </c>
      <c r="V72" s="15" t="str">
        <f t="shared" si="35"/>
        <v/>
      </c>
      <c r="W72" s="15" t="str">
        <f t="shared" si="36"/>
        <v/>
      </c>
      <c r="X72" s="5" t="e">
        <f t="shared" si="37"/>
        <v>#DIV/0!</v>
      </c>
      <c r="Y72" s="5" t="e">
        <f t="shared" si="38"/>
        <v>#DIV/0!</v>
      </c>
      <c r="Z72" s="5" t="str">
        <f t="shared" si="39"/>
        <v/>
      </c>
    </row>
    <row r="73" spans="1:26" x14ac:dyDescent="0.25">
      <c r="A73" s="52"/>
      <c r="B73" s="52"/>
      <c r="C73" s="53"/>
      <c r="D73" s="53"/>
      <c r="E73" s="53"/>
      <c r="F73" s="53"/>
      <c r="G73" s="53"/>
      <c r="H73" s="53"/>
      <c r="I73" s="53"/>
      <c r="J73" s="53"/>
      <c r="K73" s="53"/>
      <c r="L73" s="53"/>
      <c r="M73" s="53"/>
      <c r="N73" s="15" t="str">
        <f t="shared" si="27"/>
        <v/>
      </c>
      <c r="O73" s="15" t="str">
        <f t="shared" si="28"/>
        <v/>
      </c>
      <c r="P73" s="15" t="str">
        <f t="shared" si="29"/>
        <v/>
      </c>
      <c r="Q73" s="15" t="str">
        <f t="shared" si="30"/>
        <v/>
      </c>
      <c r="R73" s="15" t="str">
        <f t="shared" si="31"/>
        <v/>
      </c>
      <c r="S73" s="15" t="str">
        <f t="shared" si="32"/>
        <v/>
      </c>
      <c r="T73" s="15" t="str">
        <f t="shared" si="33"/>
        <v/>
      </c>
      <c r="U73" s="15" t="str">
        <f t="shared" si="34"/>
        <v/>
      </c>
      <c r="V73" s="15" t="str">
        <f t="shared" si="35"/>
        <v/>
      </c>
      <c r="W73" s="15" t="str">
        <f t="shared" si="36"/>
        <v/>
      </c>
      <c r="X73" s="5" t="e">
        <f t="shared" si="37"/>
        <v>#DIV/0!</v>
      </c>
      <c r="Y73" s="5" t="e">
        <f t="shared" si="38"/>
        <v>#DIV/0!</v>
      </c>
      <c r="Z73" s="5" t="str">
        <f t="shared" si="39"/>
        <v/>
      </c>
    </row>
    <row r="74" spans="1:26" x14ac:dyDescent="0.25">
      <c r="A74" s="52"/>
      <c r="B74" s="52"/>
      <c r="C74" s="53"/>
      <c r="D74" s="53"/>
      <c r="E74" s="53"/>
      <c r="F74" s="53"/>
      <c r="G74" s="53"/>
      <c r="H74" s="53"/>
      <c r="I74" s="53"/>
      <c r="J74" s="53"/>
      <c r="K74" s="53"/>
      <c r="L74" s="53"/>
      <c r="M74" s="53"/>
      <c r="N74" s="15" t="str">
        <f t="shared" si="27"/>
        <v/>
      </c>
      <c r="O74" s="15" t="str">
        <f t="shared" si="28"/>
        <v/>
      </c>
      <c r="P74" s="15" t="str">
        <f t="shared" si="29"/>
        <v/>
      </c>
      <c r="Q74" s="15" t="str">
        <f t="shared" si="30"/>
        <v/>
      </c>
      <c r="R74" s="15" t="str">
        <f t="shared" si="31"/>
        <v/>
      </c>
      <c r="S74" s="15" t="str">
        <f t="shared" si="32"/>
        <v/>
      </c>
      <c r="T74" s="15" t="str">
        <f t="shared" si="33"/>
        <v/>
      </c>
      <c r="U74" s="15" t="str">
        <f t="shared" si="34"/>
        <v/>
      </c>
      <c r="V74" s="15" t="str">
        <f t="shared" si="35"/>
        <v/>
      </c>
      <c r="W74" s="15" t="str">
        <f t="shared" si="36"/>
        <v/>
      </c>
      <c r="X74" s="5" t="e">
        <f t="shared" si="37"/>
        <v>#DIV/0!</v>
      </c>
      <c r="Y74" s="5" t="e">
        <f t="shared" si="38"/>
        <v>#DIV/0!</v>
      </c>
      <c r="Z74" s="5" t="str">
        <f t="shared" si="39"/>
        <v/>
      </c>
    </row>
    <row r="75" spans="1:26" x14ac:dyDescent="0.25">
      <c r="A75" s="52"/>
      <c r="B75" s="52"/>
      <c r="C75" s="53"/>
      <c r="D75" s="53"/>
      <c r="E75" s="53"/>
      <c r="F75" s="53"/>
      <c r="G75" s="53"/>
      <c r="H75" s="53"/>
      <c r="I75" s="53"/>
      <c r="J75" s="53"/>
      <c r="K75" s="53"/>
      <c r="L75" s="53"/>
      <c r="M75" s="53"/>
      <c r="N75" s="15" t="str">
        <f t="shared" si="27"/>
        <v/>
      </c>
      <c r="O75" s="15" t="str">
        <f t="shared" si="28"/>
        <v/>
      </c>
      <c r="P75" s="15" t="str">
        <f t="shared" si="29"/>
        <v/>
      </c>
      <c r="Q75" s="15" t="str">
        <f t="shared" si="30"/>
        <v/>
      </c>
      <c r="R75" s="15" t="str">
        <f t="shared" si="31"/>
        <v/>
      </c>
      <c r="S75" s="15" t="str">
        <f t="shared" si="32"/>
        <v/>
      </c>
      <c r="T75" s="15" t="str">
        <f t="shared" si="33"/>
        <v/>
      </c>
      <c r="U75" s="15" t="str">
        <f t="shared" si="34"/>
        <v/>
      </c>
      <c r="V75" s="15" t="str">
        <f t="shared" si="35"/>
        <v/>
      </c>
      <c r="W75" s="15" t="str">
        <f t="shared" si="36"/>
        <v/>
      </c>
      <c r="X75" s="5" t="e">
        <f t="shared" si="37"/>
        <v>#DIV/0!</v>
      </c>
      <c r="Y75" s="5" t="e">
        <f t="shared" si="38"/>
        <v>#DIV/0!</v>
      </c>
      <c r="Z75" s="5" t="str">
        <f t="shared" si="39"/>
        <v/>
      </c>
    </row>
    <row r="76" spans="1:26" x14ac:dyDescent="0.25">
      <c r="A76" s="52"/>
      <c r="B76" s="52"/>
      <c r="C76" s="53"/>
      <c r="D76" s="53"/>
      <c r="E76" s="53"/>
      <c r="F76" s="53"/>
      <c r="G76" s="53"/>
      <c r="H76" s="53"/>
      <c r="I76" s="53"/>
      <c r="J76" s="53"/>
      <c r="K76" s="53"/>
      <c r="L76" s="53"/>
      <c r="M76" s="53"/>
      <c r="N76" s="15" t="str">
        <f t="shared" si="27"/>
        <v/>
      </c>
      <c r="O76" s="15" t="str">
        <f t="shared" si="28"/>
        <v/>
      </c>
      <c r="P76" s="15" t="str">
        <f t="shared" si="29"/>
        <v/>
      </c>
      <c r="Q76" s="15" t="str">
        <f t="shared" si="30"/>
        <v/>
      </c>
      <c r="R76" s="15" t="str">
        <f t="shared" si="31"/>
        <v/>
      </c>
      <c r="S76" s="15" t="str">
        <f t="shared" si="32"/>
        <v/>
      </c>
      <c r="T76" s="15" t="str">
        <f t="shared" si="33"/>
        <v/>
      </c>
      <c r="U76" s="15" t="str">
        <f t="shared" si="34"/>
        <v/>
      </c>
      <c r="V76" s="15" t="str">
        <f t="shared" si="35"/>
        <v/>
      </c>
      <c r="W76" s="15" t="str">
        <f t="shared" si="36"/>
        <v/>
      </c>
      <c r="X76" s="5" t="e">
        <f t="shared" si="37"/>
        <v>#DIV/0!</v>
      </c>
      <c r="Y76" s="5" t="e">
        <f t="shared" si="38"/>
        <v>#DIV/0!</v>
      </c>
      <c r="Z76" s="5" t="str">
        <f t="shared" si="39"/>
        <v/>
      </c>
    </row>
    <row r="77" spans="1:26" x14ac:dyDescent="0.25">
      <c r="A77" s="52"/>
      <c r="B77" s="52"/>
      <c r="C77" s="53"/>
      <c r="D77" s="53"/>
      <c r="E77" s="53"/>
      <c r="F77" s="53"/>
      <c r="G77" s="53"/>
      <c r="H77" s="53"/>
      <c r="I77" s="53"/>
      <c r="J77" s="53"/>
      <c r="K77" s="53"/>
      <c r="L77" s="53"/>
      <c r="M77" s="53"/>
      <c r="N77" s="15" t="str">
        <f t="shared" si="27"/>
        <v/>
      </c>
      <c r="O77" s="15" t="str">
        <f t="shared" si="28"/>
        <v/>
      </c>
      <c r="P77" s="15" t="str">
        <f t="shared" si="29"/>
        <v/>
      </c>
      <c r="Q77" s="15" t="str">
        <f t="shared" si="30"/>
        <v/>
      </c>
      <c r="R77" s="15" t="str">
        <f t="shared" si="31"/>
        <v/>
      </c>
      <c r="S77" s="15" t="str">
        <f t="shared" si="32"/>
        <v/>
      </c>
      <c r="T77" s="15" t="str">
        <f t="shared" si="33"/>
        <v/>
      </c>
      <c r="U77" s="15" t="str">
        <f t="shared" si="34"/>
        <v/>
      </c>
      <c r="V77" s="15" t="str">
        <f t="shared" si="35"/>
        <v/>
      </c>
      <c r="W77" s="15" t="str">
        <f t="shared" si="36"/>
        <v/>
      </c>
      <c r="X77" s="5" t="e">
        <f t="shared" si="37"/>
        <v>#DIV/0!</v>
      </c>
      <c r="Y77" s="5" t="e">
        <f t="shared" si="38"/>
        <v>#DIV/0!</v>
      </c>
      <c r="Z77" s="5" t="str">
        <f t="shared" si="39"/>
        <v/>
      </c>
    </row>
    <row r="78" spans="1:26" x14ac:dyDescent="0.25">
      <c r="A78" s="52"/>
      <c r="B78" s="52"/>
      <c r="C78" s="53"/>
      <c r="D78" s="53"/>
      <c r="E78" s="53"/>
      <c r="F78" s="53"/>
      <c r="G78" s="53"/>
      <c r="H78" s="53"/>
      <c r="I78" s="53"/>
      <c r="J78" s="53"/>
      <c r="K78" s="53"/>
      <c r="L78" s="53"/>
      <c r="M78" s="53"/>
      <c r="N78" s="15" t="str">
        <f t="shared" si="27"/>
        <v/>
      </c>
      <c r="O78" s="15" t="str">
        <f t="shared" si="28"/>
        <v/>
      </c>
      <c r="P78" s="15" t="str">
        <f t="shared" si="29"/>
        <v/>
      </c>
      <c r="Q78" s="15" t="str">
        <f t="shared" si="30"/>
        <v/>
      </c>
      <c r="R78" s="15" t="str">
        <f t="shared" si="31"/>
        <v/>
      </c>
      <c r="S78" s="15" t="str">
        <f t="shared" si="32"/>
        <v/>
      </c>
      <c r="T78" s="15" t="str">
        <f t="shared" si="33"/>
        <v/>
      </c>
      <c r="U78" s="15" t="str">
        <f t="shared" si="34"/>
        <v/>
      </c>
      <c r="V78" s="15" t="str">
        <f t="shared" si="35"/>
        <v/>
      </c>
      <c r="W78" s="15" t="str">
        <f t="shared" si="36"/>
        <v/>
      </c>
      <c r="X78" s="5" t="e">
        <f t="shared" si="37"/>
        <v>#DIV/0!</v>
      </c>
      <c r="Y78" s="5" t="e">
        <f t="shared" si="38"/>
        <v>#DIV/0!</v>
      </c>
      <c r="Z78" s="5" t="str">
        <f t="shared" si="39"/>
        <v/>
      </c>
    </row>
    <row r="79" spans="1:26" x14ac:dyDescent="0.25">
      <c r="A79" s="52"/>
      <c r="B79" s="52"/>
      <c r="C79" s="53"/>
      <c r="D79" s="53"/>
      <c r="E79" s="53"/>
      <c r="F79" s="53"/>
      <c r="G79" s="53"/>
      <c r="H79" s="53"/>
      <c r="I79" s="53"/>
      <c r="J79" s="53"/>
      <c r="K79" s="53"/>
      <c r="L79" s="53"/>
      <c r="M79" s="53"/>
      <c r="N79" s="15" t="str">
        <f t="shared" si="27"/>
        <v/>
      </c>
      <c r="O79" s="15" t="str">
        <f t="shared" si="28"/>
        <v/>
      </c>
      <c r="P79" s="15" t="str">
        <f t="shared" si="29"/>
        <v/>
      </c>
      <c r="Q79" s="15" t="str">
        <f t="shared" si="30"/>
        <v/>
      </c>
      <c r="R79" s="15" t="str">
        <f t="shared" si="31"/>
        <v/>
      </c>
      <c r="S79" s="15" t="str">
        <f t="shared" si="32"/>
        <v/>
      </c>
      <c r="T79" s="15" t="str">
        <f t="shared" si="33"/>
        <v/>
      </c>
      <c r="U79" s="15" t="str">
        <f t="shared" si="34"/>
        <v/>
      </c>
      <c r="V79" s="15" t="str">
        <f t="shared" si="35"/>
        <v/>
      </c>
      <c r="W79" s="15" t="str">
        <f t="shared" si="36"/>
        <v/>
      </c>
      <c r="X79" s="5" t="e">
        <f t="shared" si="37"/>
        <v>#DIV/0!</v>
      </c>
      <c r="Y79" s="5" t="e">
        <f t="shared" si="38"/>
        <v>#DIV/0!</v>
      </c>
      <c r="Z79" s="5" t="str">
        <f t="shared" si="39"/>
        <v/>
      </c>
    </row>
    <row r="80" spans="1:26" x14ac:dyDescent="0.25">
      <c r="A80" s="52"/>
      <c r="B80" s="52"/>
      <c r="C80" s="53"/>
      <c r="D80" s="53"/>
      <c r="E80" s="53"/>
      <c r="F80" s="53"/>
      <c r="G80" s="53"/>
      <c r="H80" s="53"/>
      <c r="I80" s="53"/>
      <c r="J80" s="53"/>
      <c r="K80" s="53"/>
      <c r="L80" s="53"/>
      <c r="M80" s="53"/>
      <c r="N80" s="15" t="str">
        <f t="shared" si="27"/>
        <v/>
      </c>
      <c r="O80" s="15" t="str">
        <f t="shared" si="28"/>
        <v/>
      </c>
      <c r="P80" s="15" t="str">
        <f t="shared" si="29"/>
        <v/>
      </c>
      <c r="Q80" s="15" t="str">
        <f t="shared" si="30"/>
        <v/>
      </c>
      <c r="R80" s="15" t="str">
        <f t="shared" si="31"/>
        <v/>
      </c>
      <c r="S80" s="15" t="str">
        <f t="shared" si="32"/>
        <v/>
      </c>
      <c r="T80" s="15" t="str">
        <f t="shared" si="33"/>
        <v/>
      </c>
      <c r="U80" s="15" t="str">
        <f t="shared" si="34"/>
        <v/>
      </c>
      <c r="V80" s="15" t="str">
        <f t="shared" si="35"/>
        <v/>
      </c>
      <c r="W80" s="15" t="str">
        <f t="shared" si="36"/>
        <v/>
      </c>
      <c r="X80" s="5" t="e">
        <f t="shared" si="37"/>
        <v>#DIV/0!</v>
      </c>
      <c r="Y80" s="5" t="e">
        <f t="shared" si="38"/>
        <v>#DIV/0!</v>
      </c>
      <c r="Z80" s="5" t="str">
        <f t="shared" si="39"/>
        <v/>
      </c>
    </row>
    <row r="81" spans="1:26" x14ac:dyDescent="0.25">
      <c r="A81" s="52"/>
      <c r="B81" s="52"/>
      <c r="C81" s="53"/>
      <c r="D81" s="53"/>
      <c r="E81" s="53"/>
      <c r="F81" s="53"/>
      <c r="G81" s="53"/>
      <c r="H81" s="53"/>
      <c r="I81" s="53"/>
      <c r="J81" s="53"/>
      <c r="K81" s="53"/>
      <c r="L81" s="53"/>
      <c r="M81" s="53"/>
      <c r="N81" s="15" t="str">
        <f t="shared" si="27"/>
        <v/>
      </c>
      <c r="O81" s="15" t="str">
        <f t="shared" si="28"/>
        <v/>
      </c>
      <c r="P81" s="15" t="str">
        <f t="shared" si="29"/>
        <v/>
      </c>
      <c r="Q81" s="15" t="str">
        <f t="shared" si="30"/>
        <v/>
      </c>
      <c r="R81" s="15" t="str">
        <f t="shared" si="31"/>
        <v/>
      </c>
      <c r="S81" s="15" t="str">
        <f t="shared" si="32"/>
        <v/>
      </c>
      <c r="T81" s="15" t="str">
        <f t="shared" si="33"/>
        <v/>
      </c>
      <c r="U81" s="15" t="str">
        <f t="shared" si="34"/>
        <v/>
      </c>
      <c r="V81" s="15" t="str">
        <f t="shared" si="35"/>
        <v/>
      </c>
      <c r="W81" s="15" t="str">
        <f t="shared" si="36"/>
        <v/>
      </c>
      <c r="X81" s="5" t="e">
        <f t="shared" si="37"/>
        <v>#DIV/0!</v>
      </c>
      <c r="Y81" s="5" t="e">
        <f t="shared" si="38"/>
        <v>#DIV/0!</v>
      </c>
      <c r="Z81" s="5" t="str">
        <f t="shared" si="39"/>
        <v/>
      </c>
    </row>
    <row r="82" spans="1:26" x14ac:dyDescent="0.25">
      <c r="A82" s="52"/>
      <c r="B82" s="52"/>
      <c r="C82" s="53"/>
      <c r="D82" s="53"/>
      <c r="E82" s="53"/>
      <c r="F82" s="53"/>
      <c r="G82" s="53"/>
      <c r="H82" s="53"/>
      <c r="I82" s="53"/>
      <c r="J82" s="53"/>
      <c r="K82" s="53"/>
      <c r="L82" s="53"/>
      <c r="M82" s="53"/>
      <c r="N82" s="15" t="str">
        <f t="shared" si="27"/>
        <v/>
      </c>
      <c r="O82" s="15" t="str">
        <f t="shared" si="28"/>
        <v/>
      </c>
      <c r="P82" s="15" t="str">
        <f t="shared" si="29"/>
        <v/>
      </c>
      <c r="Q82" s="15" t="str">
        <f t="shared" si="30"/>
        <v/>
      </c>
      <c r="R82" s="15" t="str">
        <f t="shared" si="31"/>
        <v/>
      </c>
      <c r="S82" s="15" t="str">
        <f t="shared" si="32"/>
        <v/>
      </c>
      <c r="T82" s="15" t="str">
        <f t="shared" si="33"/>
        <v/>
      </c>
      <c r="U82" s="15" t="str">
        <f t="shared" si="34"/>
        <v/>
      </c>
      <c r="V82" s="15" t="str">
        <f t="shared" si="35"/>
        <v/>
      </c>
      <c r="W82" s="15" t="str">
        <f t="shared" si="36"/>
        <v/>
      </c>
      <c r="X82" s="5" t="e">
        <f t="shared" si="37"/>
        <v>#DIV/0!</v>
      </c>
      <c r="Y82" s="5" t="e">
        <f t="shared" si="38"/>
        <v>#DIV/0!</v>
      </c>
      <c r="Z82" s="5" t="str">
        <f t="shared" si="39"/>
        <v/>
      </c>
    </row>
    <row r="83" spans="1:26" x14ac:dyDescent="0.25">
      <c r="A83" s="52"/>
      <c r="B83" s="52"/>
      <c r="C83" s="53"/>
      <c r="D83" s="53"/>
      <c r="E83" s="53"/>
      <c r="F83" s="53"/>
      <c r="G83" s="53"/>
      <c r="H83" s="53"/>
      <c r="I83" s="53"/>
      <c r="J83" s="53"/>
      <c r="K83" s="53"/>
      <c r="L83" s="53"/>
      <c r="M83" s="53"/>
      <c r="N83" s="15" t="str">
        <f t="shared" si="27"/>
        <v/>
      </c>
      <c r="O83" s="15" t="str">
        <f t="shared" si="28"/>
        <v/>
      </c>
      <c r="P83" s="15" t="str">
        <f t="shared" si="29"/>
        <v/>
      </c>
      <c r="Q83" s="15" t="str">
        <f t="shared" si="30"/>
        <v/>
      </c>
      <c r="R83" s="15" t="str">
        <f t="shared" si="31"/>
        <v/>
      </c>
      <c r="S83" s="15" t="str">
        <f t="shared" si="32"/>
        <v/>
      </c>
      <c r="T83" s="15" t="str">
        <f t="shared" si="33"/>
        <v/>
      </c>
      <c r="U83" s="15" t="str">
        <f t="shared" si="34"/>
        <v/>
      </c>
      <c r="V83" s="15" t="str">
        <f t="shared" si="35"/>
        <v/>
      </c>
      <c r="W83" s="15" t="str">
        <f t="shared" si="36"/>
        <v/>
      </c>
      <c r="X83" s="5" t="e">
        <f t="shared" si="37"/>
        <v>#DIV/0!</v>
      </c>
      <c r="Y83" s="5" t="e">
        <f t="shared" si="38"/>
        <v>#DIV/0!</v>
      </c>
      <c r="Z83" s="5" t="str">
        <f t="shared" si="39"/>
        <v/>
      </c>
    </row>
    <row r="84" spans="1:26" x14ac:dyDescent="0.25">
      <c r="A84" s="52"/>
      <c r="B84" s="52"/>
      <c r="C84" s="53"/>
      <c r="D84" s="53"/>
      <c r="E84" s="53"/>
      <c r="F84" s="53"/>
      <c r="G84" s="53"/>
      <c r="H84" s="53"/>
      <c r="I84" s="53"/>
      <c r="J84" s="53"/>
      <c r="K84" s="53"/>
      <c r="L84" s="53"/>
      <c r="M84" s="53"/>
      <c r="N84" s="15" t="str">
        <f t="shared" si="27"/>
        <v/>
      </c>
      <c r="O84" s="15" t="str">
        <f t="shared" si="28"/>
        <v/>
      </c>
      <c r="P84" s="15" t="str">
        <f t="shared" si="29"/>
        <v/>
      </c>
      <c r="Q84" s="15" t="str">
        <f t="shared" si="30"/>
        <v/>
      </c>
      <c r="R84" s="15" t="str">
        <f t="shared" si="31"/>
        <v/>
      </c>
      <c r="S84" s="15" t="str">
        <f t="shared" si="32"/>
        <v/>
      </c>
      <c r="T84" s="15" t="str">
        <f t="shared" si="33"/>
        <v/>
      </c>
      <c r="U84" s="15" t="str">
        <f t="shared" si="34"/>
        <v/>
      </c>
      <c r="V84" s="15" t="str">
        <f t="shared" si="35"/>
        <v/>
      </c>
      <c r="W84" s="15" t="str">
        <f t="shared" si="36"/>
        <v/>
      </c>
      <c r="X84" s="5" t="e">
        <f t="shared" si="37"/>
        <v>#DIV/0!</v>
      </c>
      <c r="Y84" s="5" t="e">
        <f t="shared" si="38"/>
        <v>#DIV/0!</v>
      </c>
      <c r="Z84" s="5" t="str">
        <f t="shared" si="39"/>
        <v/>
      </c>
    </row>
    <row r="85" spans="1:26" x14ac:dyDescent="0.25">
      <c r="A85" s="52"/>
      <c r="B85" s="52"/>
      <c r="C85" s="53"/>
      <c r="D85" s="53"/>
      <c r="E85" s="53"/>
      <c r="F85" s="53"/>
      <c r="G85" s="53"/>
      <c r="H85" s="53"/>
      <c r="I85" s="53"/>
      <c r="J85" s="53"/>
      <c r="K85" s="53"/>
      <c r="L85" s="53"/>
      <c r="M85" s="53"/>
      <c r="N85" s="15" t="str">
        <f t="shared" si="27"/>
        <v/>
      </c>
      <c r="O85" s="15" t="str">
        <f t="shared" si="28"/>
        <v/>
      </c>
      <c r="P85" s="15" t="str">
        <f t="shared" si="29"/>
        <v/>
      </c>
      <c r="Q85" s="15" t="str">
        <f t="shared" si="30"/>
        <v/>
      </c>
      <c r="R85" s="15" t="str">
        <f t="shared" si="31"/>
        <v/>
      </c>
      <c r="S85" s="15" t="str">
        <f t="shared" si="32"/>
        <v/>
      </c>
      <c r="T85" s="15" t="str">
        <f t="shared" si="33"/>
        <v/>
      </c>
      <c r="U85" s="15" t="str">
        <f t="shared" si="34"/>
        <v/>
      </c>
      <c r="V85" s="15" t="str">
        <f t="shared" si="35"/>
        <v/>
      </c>
      <c r="W85" s="15" t="str">
        <f t="shared" si="36"/>
        <v/>
      </c>
      <c r="X85" s="5" t="e">
        <f t="shared" si="37"/>
        <v>#DIV/0!</v>
      </c>
      <c r="Y85" s="5" t="e">
        <f t="shared" si="38"/>
        <v>#DIV/0!</v>
      </c>
      <c r="Z85" s="5" t="str">
        <f t="shared" si="39"/>
        <v/>
      </c>
    </row>
    <row r="86" spans="1:26" x14ac:dyDescent="0.25">
      <c r="A86" s="52"/>
      <c r="B86" s="52"/>
      <c r="C86" s="53"/>
      <c r="D86" s="53"/>
      <c r="E86" s="53"/>
      <c r="F86" s="53"/>
      <c r="G86" s="53"/>
      <c r="H86" s="53"/>
      <c r="I86" s="53"/>
      <c r="J86" s="53"/>
      <c r="K86" s="53"/>
      <c r="L86" s="53"/>
      <c r="M86" s="53"/>
      <c r="N86" s="15" t="str">
        <f t="shared" si="27"/>
        <v/>
      </c>
      <c r="O86" s="15" t="str">
        <f t="shared" si="28"/>
        <v/>
      </c>
      <c r="P86" s="15" t="str">
        <f t="shared" si="29"/>
        <v/>
      </c>
      <c r="Q86" s="15" t="str">
        <f t="shared" si="30"/>
        <v/>
      </c>
      <c r="R86" s="15" t="str">
        <f t="shared" si="31"/>
        <v/>
      </c>
      <c r="S86" s="15" t="str">
        <f t="shared" si="32"/>
        <v/>
      </c>
      <c r="T86" s="15" t="str">
        <f t="shared" si="33"/>
        <v/>
      </c>
      <c r="U86" s="15" t="str">
        <f t="shared" si="34"/>
        <v/>
      </c>
      <c r="V86" s="15" t="str">
        <f t="shared" si="35"/>
        <v/>
      </c>
      <c r="W86" s="15" t="str">
        <f t="shared" si="36"/>
        <v/>
      </c>
      <c r="X86" s="5" t="e">
        <f t="shared" si="37"/>
        <v>#DIV/0!</v>
      </c>
      <c r="Y86" s="5" t="e">
        <f t="shared" si="38"/>
        <v>#DIV/0!</v>
      </c>
      <c r="Z86" s="5" t="str">
        <f t="shared" si="39"/>
        <v/>
      </c>
    </row>
    <row r="87" spans="1:26" x14ac:dyDescent="0.25">
      <c r="A87" s="52"/>
      <c r="B87" s="52"/>
      <c r="C87" s="53"/>
      <c r="D87" s="53"/>
      <c r="E87" s="53"/>
      <c r="F87" s="53"/>
      <c r="G87" s="53"/>
      <c r="H87" s="53"/>
      <c r="I87" s="53"/>
      <c r="J87" s="53"/>
      <c r="K87" s="53"/>
      <c r="L87" s="53"/>
      <c r="M87" s="53"/>
      <c r="N87" s="15" t="str">
        <f t="shared" si="27"/>
        <v/>
      </c>
      <c r="O87" s="15" t="str">
        <f t="shared" si="28"/>
        <v/>
      </c>
      <c r="P87" s="15" t="str">
        <f t="shared" si="29"/>
        <v/>
      </c>
      <c r="Q87" s="15" t="str">
        <f t="shared" si="30"/>
        <v/>
      </c>
      <c r="R87" s="15" t="str">
        <f t="shared" si="31"/>
        <v/>
      </c>
      <c r="S87" s="15" t="str">
        <f t="shared" si="32"/>
        <v/>
      </c>
      <c r="T87" s="15" t="str">
        <f t="shared" si="33"/>
        <v/>
      </c>
      <c r="U87" s="15" t="str">
        <f t="shared" si="34"/>
        <v/>
      </c>
      <c r="V87" s="15" t="str">
        <f t="shared" si="35"/>
        <v/>
      </c>
      <c r="W87" s="15" t="str">
        <f t="shared" si="36"/>
        <v/>
      </c>
      <c r="X87" s="5" t="e">
        <f t="shared" si="37"/>
        <v>#DIV/0!</v>
      </c>
      <c r="Y87" s="5" t="e">
        <f t="shared" si="38"/>
        <v>#DIV/0!</v>
      </c>
      <c r="Z87" s="5" t="str">
        <f t="shared" si="39"/>
        <v/>
      </c>
    </row>
    <row r="88" spans="1:26" x14ac:dyDescent="0.25">
      <c r="A88" s="52"/>
      <c r="B88" s="52"/>
      <c r="C88" s="53"/>
      <c r="D88" s="53"/>
      <c r="E88" s="53"/>
      <c r="F88" s="53"/>
      <c r="G88" s="53"/>
      <c r="H88" s="53"/>
      <c r="I88" s="53"/>
      <c r="J88" s="53"/>
      <c r="K88" s="53"/>
      <c r="L88" s="53"/>
      <c r="M88" s="53"/>
      <c r="N88" s="15" t="str">
        <f t="shared" si="27"/>
        <v/>
      </c>
      <c r="O88" s="15" t="str">
        <f t="shared" si="28"/>
        <v/>
      </c>
      <c r="P88" s="15" t="str">
        <f t="shared" si="29"/>
        <v/>
      </c>
      <c r="Q88" s="15" t="str">
        <f t="shared" si="30"/>
        <v/>
      </c>
      <c r="R88" s="15" t="str">
        <f t="shared" si="31"/>
        <v/>
      </c>
      <c r="S88" s="15" t="str">
        <f t="shared" si="32"/>
        <v/>
      </c>
      <c r="T88" s="15" t="str">
        <f t="shared" si="33"/>
        <v/>
      </c>
      <c r="U88" s="15" t="str">
        <f t="shared" si="34"/>
        <v/>
      </c>
      <c r="V88" s="15" t="str">
        <f t="shared" si="35"/>
        <v/>
      </c>
      <c r="W88" s="15" t="str">
        <f t="shared" si="36"/>
        <v/>
      </c>
      <c r="X88" s="5" t="e">
        <f t="shared" si="37"/>
        <v>#DIV/0!</v>
      </c>
      <c r="Y88" s="5" t="e">
        <f t="shared" si="38"/>
        <v>#DIV/0!</v>
      </c>
      <c r="Z88" s="5" t="str">
        <f t="shared" si="39"/>
        <v/>
      </c>
    </row>
    <row r="89" spans="1:26" x14ac:dyDescent="0.25">
      <c r="A89" s="52"/>
      <c r="B89" s="52"/>
      <c r="C89" s="53"/>
      <c r="D89" s="53"/>
      <c r="E89" s="53"/>
      <c r="F89" s="53"/>
      <c r="G89" s="53"/>
      <c r="H89" s="53"/>
      <c r="I89" s="53"/>
      <c r="J89" s="53"/>
      <c r="K89" s="53"/>
      <c r="L89" s="53"/>
      <c r="M89" s="53"/>
      <c r="N89" s="15" t="str">
        <f t="shared" si="27"/>
        <v/>
      </c>
      <c r="O89" s="15" t="str">
        <f t="shared" si="28"/>
        <v/>
      </c>
      <c r="P89" s="15" t="str">
        <f t="shared" si="29"/>
        <v/>
      </c>
      <c r="Q89" s="15" t="str">
        <f t="shared" si="30"/>
        <v/>
      </c>
      <c r="R89" s="15" t="str">
        <f t="shared" si="31"/>
        <v/>
      </c>
      <c r="S89" s="15" t="str">
        <f t="shared" si="32"/>
        <v/>
      </c>
      <c r="T89" s="15" t="str">
        <f t="shared" si="33"/>
        <v/>
      </c>
      <c r="U89" s="15" t="str">
        <f t="shared" si="34"/>
        <v/>
      </c>
      <c r="V89" s="15" t="str">
        <f t="shared" si="35"/>
        <v/>
      </c>
      <c r="W89" s="15" t="str">
        <f t="shared" si="36"/>
        <v/>
      </c>
      <c r="X89" s="5" t="e">
        <f t="shared" si="37"/>
        <v>#DIV/0!</v>
      </c>
      <c r="Y89" s="5" t="e">
        <f t="shared" si="38"/>
        <v>#DIV/0!</v>
      </c>
      <c r="Z89" s="5" t="str">
        <f t="shared" si="39"/>
        <v/>
      </c>
    </row>
    <row r="90" spans="1:26" x14ac:dyDescent="0.25">
      <c r="A90" s="52"/>
      <c r="B90" s="52"/>
      <c r="C90" s="53"/>
      <c r="D90" s="53"/>
      <c r="E90" s="53"/>
      <c r="F90" s="53"/>
      <c r="G90" s="53"/>
      <c r="H90" s="53"/>
      <c r="I90" s="53"/>
      <c r="J90" s="53"/>
      <c r="K90" s="53"/>
      <c r="L90" s="53"/>
      <c r="M90" s="53"/>
      <c r="N90" s="15" t="str">
        <f t="shared" si="27"/>
        <v/>
      </c>
      <c r="O90" s="15" t="str">
        <f t="shared" si="28"/>
        <v/>
      </c>
      <c r="P90" s="15" t="str">
        <f t="shared" si="29"/>
        <v/>
      </c>
      <c r="Q90" s="15" t="str">
        <f t="shared" si="30"/>
        <v/>
      </c>
      <c r="R90" s="15" t="str">
        <f t="shared" si="31"/>
        <v/>
      </c>
      <c r="S90" s="15" t="str">
        <f t="shared" si="32"/>
        <v/>
      </c>
      <c r="T90" s="15" t="str">
        <f t="shared" si="33"/>
        <v/>
      </c>
      <c r="U90" s="15" t="str">
        <f t="shared" si="34"/>
        <v/>
      </c>
      <c r="V90" s="15" t="str">
        <f t="shared" si="35"/>
        <v/>
      </c>
      <c r="W90" s="15" t="str">
        <f t="shared" si="36"/>
        <v/>
      </c>
      <c r="X90" s="5" t="e">
        <f t="shared" si="37"/>
        <v>#DIV/0!</v>
      </c>
      <c r="Y90" s="5" t="e">
        <f t="shared" si="38"/>
        <v>#DIV/0!</v>
      </c>
      <c r="Z90" s="5" t="str">
        <f t="shared" si="39"/>
        <v/>
      </c>
    </row>
    <row r="91" spans="1:26" x14ac:dyDescent="0.25">
      <c r="A91" s="52"/>
      <c r="B91" s="52"/>
      <c r="C91" s="53"/>
      <c r="D91" s="53"/>
      <c r="E91" s="53"/>
      <c r="F91" s="53"/>
      <c r="G91" s="53"/>
      <c r="H91" s="53"/>
      <c r="I91" s="53"/>
      <c r="J91" s="53"/>
      <c r="K91" s="53"/>
      <c r="L91" s="53"/>
      <c r="M91" s="53"/>
      <c r="N91" s="15" t="str">
        <f t="shared" si="27"/>
        <v/>
      </c>
      <c r="O91" s="15" t="str">
        <f t="shared" si="28"/>
        <v/>
      </c>
      <c r="P91" s="15" t="str">
        <f t="shared" si="29"/>
        <v/>
      </c>
      <c r="Q91" s="15" t="str">
        <f t="shared" si="30"/>
        <v/>
      </c>
      <c r="R91" s="15" t="str">
        <f t="shared" si="31"/>
        <v/>
      </c>
      <c r="S91" s="15" t="str">
        <f t="shared" si="32"/>
        <v/>
      </c>
      <c r="T91" s="15" t="str">
        <f t="shared" si="33"/>
        <v/>
      </c>
      <c r="U91" s="15" t="str">
        <f t="shared" si="34"/>
        <v/>
      </c>
      <c r="V91" s="15" t="str">
        <f t="shared" si="35"/>
        <v/>
      </c>
      <c r="W91" s="15" t="str">
        <f t="shared" si="36"/>
        <v/>
      </c>
      <c r="X91" s="5" t="e">
        <f t="shared" si="37"/>
        <v>#DIV/0!</v>
      </c>
      <c r="Y91" s="5" t="e">
        <f t="shared" si="38"/>
        <v>#DIV/0!</v>
      </c>
      <c r="Z91" s="5" t="str">
        <f t="shared" si="39"/>
        <v/>
      </c>
    </row>
    <row r="92" spans="1:26" x14ac:dyDescent="0.25">
      <c r="A92" s="52"/>
      <c r="B92" s="52"/>
      <c r="C92" s="53"/>
      <c r="D92" s="53"/>
      <c r="E92" s="53"/>
      <c r="F92" s="53"/>
      <c r="G92" s="53"/>
      <c r="H92" s="53"/>
      <c r="I92" s="53"/>
      <c r="J92" s="53"/>
      <c r="K92" s="53"/>
      <c r="L92" s="53"/>
      <c r="M92" s="53"/>
      <c r="N92" s="15" t="str">
        <f t="shared" si="27"/>
        <v/>
      </c>
      <c r="O92" s="15" t="str">
        <f t="shared" si="28"/>
        <v/>
      </c>
      <c r="P92" s="15" t="str">
        <f t="shared" si="29"/>
        <v/>
      </c>
      <c r="Q92" s="15" t="str">
        <f t="shared" si="30"/>
        <v/>
      </c>
      <c r="R92" s="15" t="str">
        <f t="shared" si="31"/>
        <v/>
      </c>
      <c r="S92" s="15" t="str">
        <f t="shared" si="32"/>
        <v/>
      </c>
      <c r="T92" s="15" t="str">
        <f t="shared" si="33"/>
        <v/>
      </c>
      <c r="U92" s="15" t="str">
        <f t="shared" si="34"/>
        <v/>
      </c>
      <c r="V92" s="15" t="str">
        <f t="shared" si="35"/>
        <v/>
      </c>
      <c r="W92" s="15" t="str">
        <f t="shared" si="36"/>
        <v/>
      </c>
      <c r="X92" s="5" t="e">
        <f t="shared" si="37"/>
        <v>#DIV/0!</v>
      </c>
      <c r="Y92" s="5" t="e">
        <f t="shared" si="38"/>
        <v>#DIV/0!</v>
      </c>
      <c r="Z92" s="5" t="str">
        <f t="shared" si="39"/>
        <v/>
      </c>
    </row>
    <row r="93" spans="1:26" x14ac:dyDescent="0.25">
      <c r="A93" s="52"/>
      <c r="B93" s="52"/>
      <c r="C93" s="53"/>
      <c r="D93" s="53"/>
      <c r="E93" s="53"/>
      <c r="F93" s="53"/>
      <c r="G93" s="53"/>
      <c r="H93" s="53"/>
      <c r="I93" s="53"/>
      <c r="J93" s="53"/>
      <c r="K93" s="53"/>
      <c r="L93" s="53"/>
      <c r="M93" s="53"/>
      <c r="N93" s="15" t="str">
        <f t="shared" si="27"/>
        <v/>
      </c>
      <c r="O93" s="15" t="str">
        <f t="shared" si="28"/>
        <v/>
      </c>
      <c r="P93" s="15" t="str">
        <f t="shared" si="29"/>
        <v/>
      </c>
      <c r="Q93" s="15" t="str">
        <f t="shared" si="30"/>
        <v/>
      </c>
      <c r="R93" s="15" t="str">
        <f t="shared" si="31"/>
        <v/>
      </c>
      <c r="S93" s="15" t="str">
        <f t="shared" si="32"/>
        <v/>
      </c>
      <c r="T93" s="15" t="str">
        <f t="shared" si="33"/>
        <v/>
      </c>
      <c r="U93" s="15" t="str">
        <f t="shared" si="34"/>
        <v/>
      </c>
      <c r="V93" s="15" t="str">
        <f t="shared" si="35"/>
        <v/>
      </c>
      <c r="W93" s="15" t="str">
        <f t="shared" si="36"/>
        <v/>
      </c>
      <c r="X93" s="5" t="e">
        <f t="shared" si="37"/>
        <v>#DIV/0!</v>
      </c>
      <c r="Y93" s="5" t="e">
        <f t="shared" si="38"/>
        <v>#DIV/0!</v>
      </c>
      <c r="Z93" s="5" t="str">
        <f t="shared" si="39"/>
        <v/>
      </c>
    </row>
    <row r="94" spans="1:26" x14ac:dyDescent="0.25">
      <c r="A94" s="52"/>
      <c r="B94" s="52"/>
      <c r="C94" s="53"/>
      <c r="D94" s="53"/>
      <c r="E94" s="53"/>
      <c r="F94" s="53"/>
      <c r="G94" s="53"/>
      <c r="H94" s="53"/>
      <c r="I94" s="53"/>
      <c r="J94" s="53"/>
      <c r="K94" s="53"/>
      <c r="L94" s="53"/>
      <c r="M94" s="53"/>
      <c r="N94" s="15" t="str">
        <f t="shared" si="27"/>
        <v/>
      </c>
      <c r="O94" s="15" t="str">
        <f t="shared" si="28"/>
        <v/>
      </c>
      <c r="P94" s="15" t="str">
        <f t="shared" si="29"/>
        <v/>
      </c>
      <c r="Q94" s="15" t="str">
        <f t="shared" si="30"/>
        <v/>
      </c>
      <c r="R94" s="15" t="str">
        <f t="shared" si="31"/>
        <v/>
      </c>
      <c r="S94" s="15" t="str">
        <f t="shared" si="32"/>
        <v/>
      </c>
      <c r="T94" s="15" t="str">
        <f t="shared" si="33"/>
        <v/>
      </c>
      <c r="U94" s="15" t="str">
        <f t="shared" si="34"/>
        <v/>
      </c>
      <c r="V94" s="15" t="str">
        <f t="shared" si="35"/>
        <v/>
      </c>
      <c r="W94" s="15" t="str">
        <f t="shared" si="36"/>
        <v/>
      </c>
      <c r="X94" s="5" t="e">
        <f t="shared" si="37"/>
        <v>#DIV/0!</v>
      </c>
      <c r="Y94" s="5" t="e">
        <f t="shared" si="38"/>
        <v>#DIV/0!</v>
      </c>
      <c r="Z94" s="5" t="str">
        <f t="shared" si="39"/>
        <v/>
      </c>
    </row>
    <row r="95" spans="1:26" x14ac:dyDescent="0.25">
      <c r="A95" s="52"/>
      <c r="B95" s="52"/>
      <c r="C95" s="53"/>
      <c r="D95" s="53"/>
      <c r="E95" s="53"/>
      <c r="F95" s="53"/>
      <c r="G95" s="53"/>
      <c r="H95" s="53"/>
      <c r="I95" s="53"/>
      <c r="J95" s="53"/>
      <c r="K95" s="53"/>
      <c r="L95" s="53"/>
      <c r="M95" s="53"/>
      <c r="N95" s="15" t="str">
        <f t="shared" si="27"/>
        <v/>
      </c>
      <c r="O95" s="15" t="str">
        <f t="shared" si="28"/>
        <v/>
      </c>
      <c r="P95" s="15" t="str">
        <f t="shared" si="29"/>
        <v/>
      </c>
      <c r="Q95" s="15" t="str">
        <f t="shared" si="30"/>
        <v/>
      </c>
      <c r="R95" s="15" t="str">
        <f t="shared" si="31"/>
        <v/>
      </c>
      <c r="S95" s="15" t="str">
        <f t="shared" si="32"/>
        <v/>
      </c>
      <c r="T95" s="15" t="str">
        <f t="shared" si="33"/>
        <v/>
      </c>
      <c r="U95" s="15" t="str">
        <f t="shared" si="34"/>
        <v/>
      </c>
      <c r="V95" s="15" t="str">
        <f t="shared" si="35"/>
        <v/>
      </c>
      <c r="W95" s="15" t="str">
        <f t="shared" si="36"/>
        <v/>
      </c>
      <c r="X95" s="5" t="e">
        <f t="shared" si="37"/>
        <v>#DIV/0!</v>
      </c>
      <c r="Y95" s="5" t="e">
        <f t="shared" si="38"/>
        <v>#DIV/0!</v>
      </c>
      <c r="Z95" s="5" t="str">
        <f t="shared" si="39"/>
        <v/>
      </c>
    </row>
    <row r="96" spans="1:26" x14ac:dyDescent="0.25">
      <c r="A96" s="52"/>
      <c r="B96" s="52"/>
      <c r="C96" s="53"/>
      <c r="D96" s="53"/>
      <c r="E96" s="53"/>
      <c r="F96" s="53"/>
      <c r="G96" s="53"/>
      <c r="H96" s="53"/>
      <c r="I96" s="53"/>
      <c r="J96" s="53"/>
      <c r="K96" s="53"/>
      <c r="L96" s="53"/>
      <c r="M96" s="53"/>
      <c r="N96" s="15" t="str">
        <f t="shared" si="27"/>
        <v/>
      </c>
      <c r="O96" s="15" t="str">
        <f t="shared" si="28"/>
        <v/>
      </c>
      <c r="P96" s="15" t="str">
        <f t="shared" si="29"/>
        <v/>
      </c>
      <c r="Q96" s="15" t="str">
        <f t="shared" si="30"/>
        <v/>
      </c>
      <c r="R96" s="15" t="str">
        <f t="shared" si="31"/>
        <v/>
      </c>
      <c r="S96" s="15" t="str">
        <f t="shared" si="32"/>
        <v/>
      </c>
      <c r="T96" s="15" t="str">
        <f t="shared" si="33"/>
        <v/>
      </c>
      <c r="U96" s="15" t="str">
        <f t="shared" si="34"/>
        <v/>
      </c>
      <c r="V96" s="15" t="str">
        <f t="shared" si="35"/>
        <v/>
      </c>
      <c r="W96" s="15" t="str">
        <f t="shared" si="36"/>
        <v/>
      </c>
      <c r="X96" s="5" t="e">
        <f t="shared" si="37"/>
        <v>#DIV/0!</v>
      </c>
      <c r="Y96" s="5" t="e">
        <f t="shared" si="38"/>
        <v>#DIV/0!</v>
      </c>
      <c r="Z96" s="5" t="str">
        <f t="shared" si="39"/>
        <v/>
      </c>
    </row>
    <row r="97" spans="1:26" x14ac:dyDescent="0.25">
      <c r="A97" s="52"/>
      <c r="B97" s="52"/>
      <c r="C97" s="53"/>
      <c r="D97" s="53"/>
      <c r="E97" s="53"/>
      <c r="F97" s="53"/>
      <c r="G97" s="53"/>
      <c r="H97" s="53"/>
      <c r="I97" s="53"/>
      <c r="J97" s="53"/>
      <c r="K97" s="53"/>
      <c r="L97" s="53"/>
      <c r="M97" s="53"/>
      <c r="N97" s="15" t="str">
        <f t="shared" si="27"/>
        <v/>
      </c>
      <c r="O97" s="15" t="str">
        <f t="shared" si="28"/>
        <v/>
      </c>
      <c r="P97" s="15" t="str">
        <f t="shared" si="29"/>
        <v/>
      </c>
      <c r="Q97" s="15" t="str">
        <f t="shared" si="30"/>
        <v/>
      </c>
      <c r="R97" s="15" t="str">
        <f t="shared" si="31"/>
        <v/>
      </c>
      <c r="S97" s="15" t="str">
        <f t="shared" si="32"/>
        <v/>
      </c>
      <c r="T97" s="15" t="str">
        <f t="shared" si="33"/>
        <v/>
      </c>
      <c r="U97" s="15" t="str">
        <f t="shared" si="34"/>
        <v/>
      </c>
      <c r="V97" s="15" t="str">
        <f t="shared" si="35"/>
        <v/>
      </c>
      <c r="W97" s="15" t="str">
        <f t="shared" si="36"/>
        <v/>
      </c>
      <c r="X97" s="5" t="e">
        <f t="shared" si="37"/>
        <v>#DIV/0!</v>
      </c>
      <c r="Y97" s="5" t="e">
        <f t="shared" si="38"/>
        <v>#DIV/0!</v>
      </c>
      <c r="Z97" s="5" t="str">
        <f t="shared" si="39"/>
        <v/>
      </c>
    </row>
    <row r="98" spans="1:26" x14ac:dyDescent="0.25">
      <c r="A98" s="52"/>
      <c r="B98" s="52"/>
      <c r="C98" s="53"/>
      <c r="D98" s="53"/>
      <c r="E98" s="53"/>
      <c r="F98" s="53"/>
      <c r="G98" s="53"/>
      <c r="H98" s="53"/>
      <c r="I98" s="53"/>
      <c r="J98" s="53"/>
      <c r="K98" s="53"/>
      <c r="L98" s="53"/>
      <c r="M98" s="53"/>
      <c r="N98" s="15" t="str">
        <f t="shared" si="27"/>
        <v/>
      </c>
      <c r="O98" s="15" t="str">
        <f t="shared" si="28"/>
        <v/>
      </c>
      <c r="P98" s="15" t="str">
        <f t="shared" si="29"/>
        <v/>
      </c>
      <c r="Q98" s="15" t="str">
        <f t="shared" si="30"/>
        <v/>
      </c>
      <c r="R98" s="15" t="str">
        <f t="shared" si="31"/>
        <v/>
      </c>
      <c r="S98" s="15" t="str">
        <f t="shared" si="32"/>
        <v/>
      </c>
      <c r="T98" s="15" t="str">
        <f t="shared" si="33"/>
        <v/>
      </c>
      <c r="U98" s="15" t="str">
        <f t="shared" si="34"/>
        <v/>
      </c>
      <c r="V98" s="15" t="str">
        <f t="shared" si="35"/>
        <v/>
      </c>
      <c r="W98" s="15" t="str">
        <f t="shared" si="36"/>
        <v/>
      </c>
      <c r="X98" s="5" t="e">
        <f t="shared" si="37"/>
        <v>#DIV/0!</v>
      </c>
      <c r="Y98" s="5" t="e">
        <f t="shared" si="38"/>
        <v>#DIV/0!</v>
      </c>
      <c r="Z98" s="5" t="str">
        <f t="shared" si="39"/>
        <v/>
      </c>
    </row>
    <row r="99" spans="1:26" x14ac:dyDescent="0.25">
      <c r="A99" s="52"/>
      <c r="B99" s="52"/>
      <c r="C99" s="53"/>
      <c r="D99" s="53"/>
      <c r="E99" s="53"/>
      <c r="F99" s="53"/>
      <c r="G99" s="53"/>
      <c r="H99" s="53"/>
      <c r="I99" s="53"/>
      <c r="J99" s="53"/>
      <c r="K99" s="53"/>
      <c r="L99" s="53"/>
      <c r="M99" s="53"/>
      <c r="N99" s="15" t="str">
        <f t="shared" si="27"/>
        <v/>
      </c>
      <c r="O99" s="15" t="str">
        <f t="shared" si="28"/>
        <v/>
      </c>
      <c r="P99" s="15" t="str">
        <f t="shared" si="29"/>
        <v/>
      </c>
      <c r="Q99" s="15" t="str">
        <f t="shared" si="30"/>
        <v/>
      </c>
      <c r="R99" s="15" t="str">
        <f t="shared" si="31"/>
        <v/>
      </c>
      <c r="S99" s="15" t="str">
        <f t="shared" si="32"/>
        <v/>
      </c>
      <c r="T99" s="15" t="str">
        <f t="shared" si="33"/>
        <v/>
      </c>
      <c r="U99" s="15" t="str">
        <f t="shared" si="34"/>
        <v/>
      </c>
      <c r="V99" s="15" t="str">
        <f t="shared" si="35"/>
        <v/>
      </c>
      <c r="W99" s="15" t="str">
        <f t="shared" si="36"/>
        <v/>
      </c>
      <c r="X99" s="5" t="e">
        <f t="shared" si="37"/>
        <v>#DIV/0!</v>
      </c>
      <c r="Y99" s="5" t="e">
        <f t="shared" si="38"/>
        <v>#DIV/0!</v>
      </c>
      <c r="Z99" s="5" t="str">
        <f t="shared" si="39"/>
        <v/>
      </c>
    </row>
    <row r="100" spans="1:26" x14ac:dyDescent="0.25">
      <c r="A100" s="52"/>
      <c r="B100" s="52"/>
      <c r="C100" s="53"/>
      <c r="D100" s="53"/>
      <c r="E100" s="53"/>
      <c r="F100" s="53"/>
      <c r="G100" s="53"/>
      <c r="H100" s="53"/>
      <c r="I100" s="53"/>
      <c r="J100" s="53"/>
      <c r="K100" s="53"/>
      <c r="L100" s="53"/>
      <c r="M100" s="53"/>
      <c r="N100" s="15" t="str">
        <f t="shared" si="27"/>
        <v/>
      </c>
      <c r="O100" s="15" t="str">
        <f t="shared" si="28"/>
        <v/>
      </c>
      <c r="P100" s="15" t="str">
        <f t="shared" si="29"/>
        <v/>
      </c>
      <c r="Q100" s="15" t="str">
        <f t="shared" si="30"/>
        <v/>
      </c>
      <c r="R100" s="15" t="str">
        <f t="shared" si="31"/>
        <v/>
      </c>
      <c r="S100" s="15" t="str">
        <f t="shared" si="32"/>
        <v/>
      </c>
      <c r="T100" s="15" t="str">
        <f t="shared" si="33"/>
        <v/>
      </c>
      <c r="U100" s="15" t="str">
        <f t="shared" si="34"/>
        <v/>
      </c>
      <c r="V100" s="15" t="str">
        <f t="shared" si="35"/>
        <v/>
      </c>
      <c r="W100" s="15" t="str">
        <f t="shared" si="36"/>
        <v/>
      </c>
      <c r="X100" s="5" t="e">
        <f t="shared" si="37"/>
        <v>#DIV/0!</v>
      </c>
      <c r="Y100" s="5" t="e">
        <f t="shared" si="38"/>
        <v>#DIV/0!</v>
      </c>
      <c r="Z100" s="5" t="str">
        <f t="shared" si="39"/>
        <v/>
      </c>
    </row>
    <row r="101" spans="1:26" x14ac:dyDescent="0.25">
      <c r="A101" s="52"/>
      <c r="B101" s="52"/>
      <c r="C101" s="53"/>
      <c r="D101" s="53"/>
      <c r="E101" s="53"/>
      <c r="F101" s="53"/>
      <c r="G101" s="53"/>
      <c r="H101" s="53"/>
      <c r="I101" s="53"/>
      <c r="J101" s="53"/>
      <c r="K101" s="53"/>
      <c r="L101" s="53"/>
      <c r="M101" s="53"/>
      <c r="N101" s="15" t="str">
        <f t="shared" si="27"/>
        <v/>
      </c>
      <c r="O101" s="15" t="str">
        <f t="shared" si="28"/>
        <v/>
      </c>
      <c r="P101" s="15" t="str">
        <f t="shared" si="29"/>
        <v/>
      </c>
      <c r="Q101" s="15" t="str">
        <f t="shared" si="30"/>
        <v/>
      </c>
      <c r="R101" s="15" t="str">
        <f t="shared" si="31"/>
        <v/>
      </c>
      <c r="S101" s="15" t="str">
        <f t="shared" si="32"/>
        <v/>
      </c>
      <c r="T101" s="15" t="str">
        <f t="shared" si="33"/>
        <v/>
      </c>
      <c r="U101" s="15" t="str">
        <f t="shared" si="34"/>
        <v/>
      </c>
      <c r="V101" s="15" t="str">
        <f t="shared" si="35"/>
        <v/>
      </c>
      <c r="W101" s="15" t="str">
        <f t="shared" si="36"/>
        <v/>
      </c>
      <c r="X101" s="5" t="e">
        <f t="shared" si="37"/>
        <v>#DIV/0!</v>
      </c>
      <c r="Y101" s="5" t="e">
        <f t="shared" si="38"/>
        <v>#DIV/0!</v>
      </c>
      <c r="Z101" s="5" t="str">
        <f t="shared" si="39"/>
        <v/>
      </c>
    </row>
    <row r="102" spans="1:26" x14ac:dyDescent="0.25">
      <c r="A102" s="52"/>
      <c r="B102" s="52"/>
      <c r="C102" s="53"/>
      <c r="D102" s="53"/>
      <c r="E102" s="53"/>
      <c r="F102" s="53"/>
      <c r="G102" s="53"/>
      <c r="H102" s="53"/>
      <c r="I102" s="53"/>
      <c r="J102" s="53"/>
      <c r="K102" s="53"/>
      <c r="L102" s="53"/>
      <c r="M102" s="53"/>
      <c r="N102" s="15" t="str">
        <f t="shared" si="14"/>
        <v/>
      </c>
      <c r="O102" s="15" t="str">
        <f t="shared" si="15"/>
        <v/>
      </c>
      <c r="P102" s="15" t="str">
        <f t="shared" si="16"/>
        <v/>
      </c>
      <c r="Q102" s="15" t="str">
        <f t="shared" si="17"/>
        <v/>
      </c>
      <c r="R102" s="15" t="str">
        <f t="shared" si="18"/>
        <v/>
      </c>
      <c r="S102" s="15" t="str">
        <f t="shared" si="19"/>
        <v/>
      </c>
      <c r="T102" s="15" t="str">
        <f t="shared" si="20"/>
        <v/>
      </c>
      <c r="U102" s="15" t="str">
        <f t="shared" si="21"/>
        <v/>
      </c>
      <c r="V102" s="15" t="str">
        <f t="shared" si="22"/>
        <v/>
      </c>
      <c r="W102" s="15" t="str">
        <f t="shared" si="23"/>
        <v/>
      </c>
      <c r="X102" s="5" t="e">
        <f t="shared" si="24"/>
        <v>#DIV/0!</v>
      </c>
      <c r="Y102" s="5" t="e">
        <f t="shared" si="25"/>
        <v>#DIV/0!</v>
      </c>
      <c r="Z102" s="5" t="str">
        <f t="shared" si="26"/>
        <v/>
      </c>
    </row>
    <row r="103" spans="1:26" x14ac:dyDescent="0.25">
      <c r="A103" s="52"/>
      <c r="B103" s="52"/>
      <c r="C103" s="53"/>
      <c r="D103" s="53"/>
      <c r="E103" s="53"/>
      <c r="F103" s="53"/>
      <c r="G103" s="53"/>
      <c r="H103" s="53"/>
      <c r="I103" s="53"/>
      <c r="J103" s="53"/>
      <c r="K103" s="53"/>
      <c r="L103" s="53"/>
      <c r="M103" s="53"/>
      <c r="N103" s="15" t="str">
        <f t="shared" si="14"/>
        <v/>
      </c>
      <c r="O103" s="15" t="str">
        <f t="shared" si="15"/>
        <v/>
      </c>
      <c r="P103" s="15" t="str">
        <f t="shared" si="16"/>
        <v/>
      </c>
      <c r="Q103" s="15" t="str">
        <f t="shared" si="17"/>
        <v/>
      </c>
      <c r="R103" s="15" t="str">
        <f t="shared" si="18"/>
        <v/>
      </c>
      <c r="S103" s="15" t="str">
        <f t="shared" si="19"/>
        <v/>
      </c>
      <c r="T103" s="15" t="str">
        <f t="shared" si="20"/>
        <v/>
      </c>
      <c r="U103" s="15" t="str">
        <f t="shared" si="21"/>
        <v/>
      </c>
      <c r="V103" s="15" t="str">
        <f t="shared" si="22"/>
        <v/>
      </c>
      <c r="W103" s="15" t="str">
        <f t="shared" si="23"/>
        <v/>
      </c>
      <c r="X103" s="5" t="e">
        <f t="shared" ref="X103" si="40">AVERAGE(N103:W103)</f>
        <v>#DIV/0!</v>
      </c>
      <c r="Y103" s="5" t="e">
        <f t="shared" ref="Y103" si="41">IF(X103=0,0,IF(X103&lt;0,IF(C103&lt;&gt;"",(N103/X103)-1,(O103/X103)-1),IF(C103&lt;&gt;"",IF(N103&lt;0,((N103/X103)-1)*-1,-99.99999),IF(O103&lt;0,((O103/X103)-1)*-1,-99.99999))))</f>
        <v>#DIV/0!</v>
      </c>
      <c r="Z103" s="5" t="str">
        <f t="shared" si="26"/>
        <v/>
      </c>
    </row>
  </sheetData>
  <autoFilter ref="A3:Z3">
    <sortState ref="A4:Z68">
      <sortCondition ref="B3"/>
    </sortState>
  </autoFilter>
  <mergeCells count="1">
    <mergeCell ref="N1:W1"/>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3"/>
  <sheetViews>
    <sheetView zoomScale="60" zoomScaleNormal="60" workbookViewId="0">
      <pane ySplit="3" topLeftCell="A4" activePane="bottomLeft" state="frozenSplit"/>
      <selection pane="bottomLeft"/>
    </sheetView>
  </sheetViews>
  <sheetFormatPr baseColWidth="10" defaultRowHeight="15" x14ac:dyDescent="0.25"/>
  <cols>
    <col min="1" max="1" width="28" customWidth="1"/>
    <col min="2" max="2" width="20.85546875" customWidth="1"/>
    <col min="3" max="3" width="15.140625" customWidth="1"/>
    <col min="4" max="4" width="14.7109375" bestFit="1" customWidth="1"/>
    <col min="5" max="5" width="15.140625" customWidth="1"/>
    <col min="6" max="6" width="14.42578125" customWidth="1"/>
    <col min="7" max="14" width="14.85546875" customWidth="1"/>
    <col min="15" max="15" width="15.85546875" customWidth="1"/>
    <col min="16" max="16" width="14.7109375" bestFit="1" customWidth="1"/>
    <col min="17" max="17" width="18" customWidth="1"/>
    <col min="18" max="18" width="30.140625" customWidth="1"/>
  </cols>
  <sheetData>
    <row r="1" spans="1:18" x14ac:dyDescent="0.25">
      <c r="A1" s="1"/>
      <c r="B1" s="1"/>
      <c r="C1" s="74"/>
      <c r="D1" s="75"/>
      <c r="E1" s="75"/>
      <c r="F1" s="75"/>
      <c r="G1" s="75"/>
      <c r="H1" s="75"/>
      <c r="I1" s="75"/>
      <c r="J1" s="75"/>
      <c r="K1" s="75"/>
      <c r="L1" s="75"/>
      <c r="M1" s="75"/>
      <c r="N1" s="75"/>
      <c r="O1" s="76"/>
      <c r="P1" s="1"/>
      <c r="Q1" s="1"/>
      <c r="R1" s="1"/>
    </row>
    <row r="2" spans="1:18" x14ac:dyDescent="0.25">
      <c r="A2" s="1"/>
      <c r="B2" s="1"/>
      <c r="C2" s="57">
        <v>2017</v>
      </c>
      <c r="D2" s="37">
        <v>2016</v>
      </c>
      <c r="E2" s="37">
        <v>2015</v>
      </c>
      <c r="F2" s="37">
        <v>2014</v>
      </c>
      <c r="G2" s="37">
        <v>2013</v>
      </c>
      <c r="H2" s="37">
        <v>2012</v>
      </c>
      <c r="I2" s="37">
        <v>2011</v>
      </c>
      <c r="J2" s="37">
        <v>2010</v>
      </c>
      <c r="K2" s="37">
        <v>2009</v>
      </c>
      <c r="L2" s="37">
        <v>2008</v>
      </c>
      <c r="M2" s="37">
        <v>2007</v>
      </c>
      <c r="N2" s="37">
        <v>2006</v>
      </c>
      <c r="O2" s="58">
        <v>2005</v>
      </c>
      <c r="P2" s="1"/>
      <c r="Q2" s="1"/>
      <c r="R2" s="1"/>
    </row>
    <row r="3" spans="1:18" x14ac:dyDescent="0.25">
      <c r="A3" s="1" t="s">
        <v>0</v>
      </c>
      <c r="B3" s="1" t="s">
        <v>1</v>
      </c>
      <c r="C3" s="57" t="s">
        <v>168</v>
      </c>
      <c r="D3" s="37" t="s">
        <v>111</v>
      </c>
      <c r="E3" s="37" t="s">
        <v>112</v>
      </c>
      <c r="F3" s="37" t="s">
        <v>101</v>
      </c>
      <c r="G3" s="37" t="s">
        <v>102</v>
      </c>
      <c r="H3" s="37" t="s">
        <v>103</v>
      </c>
      <c r="I3" s="37" t="s">
        <v>104</v>
      </c>
      <c r="J3" s="37" t="s">
        <v>105</v>
      </c>
      <c r="K3" s="37" t="s">
        <v>106</v>
      </c>
      <c r="L3" s="37" t="s">
        <v>107</v>
      </c>
      <c r="M3" s="37" t="s">
        <v>108</v>
      </c>
      <c r="N3" s="37" t="s">
        <v>109</v>
      </c>
      <c r="O3" s="58" t="s">
        <v>110</v>
      </c>
      <c r="P3" s="1" t="s">
        <v>113</v>
      </c>
      <c r="Q3" s="1" t="s">
        <v>157</v>
      </c>
      <c r="R3" s="1" t="s">
        <v>115</v>
      </c>
    </row>
    <row r="4" spans="1:18" x14ac:dyDescent="0.25">
      <c r="A4" t="s">
        <v>80</v>
      </c>
      <c r="B4" t="s">
        <v>164</v>
      </c>
      <c r="C4" s="78">
        <f>IF(VLOOKUP(A4,Ergebnis_je_Aktie_verwässert!A$3:AJ$103,6,FALSE)&gt;0,IF(VLOOKUP(A4,Schlußkurse!A$5:AU$105,35,FALSE) &gt;0,VLOOKUP(A4,Schlußkurse!A$5:AU$105,35,FALSE) /VLOOKUP(A4,Ergebnis_je_Aktie_verwässert!A$3:AJ$103,6,FALSE),""),"")</f>
        <v>15.382445642201834</v>
      </c>
      <c r="D4" s="79">
        <f>IF(VLOOKUP(A4,Ergebnis_je_Aktie_verwässert!A$3:AJ$103,7,FALSE)&gt;0,IF(VLOOKUP(A4,Schlußkurse!A$5:AU$105,36,FALSE) &gt;0,VLOOKUP(A4,Schlußkurse!A$5:AU$105,36,FALSE)/VLOOKUP(A4,Ergebnis_je_Aktie_verwässert!A$3:AJ$103,7,FALSE),""),"")</f>
        <v>17.196785384615385</v>
      </c>
      <c r="E4" s="79">
        <f>IF(VLOOKUP(A4,Ergebnis_je_Aktie_verwässert!A$3:AJ$103,8,FALSE)&gt;0,IF(VLOOKUP(A4,Schlußkurse!A$5:AU$105,37,FALSE) &gt;0,VLOOKUP(A4,Schlußkurse!A$5:AU$105,37,FALSE)/VLOOKUP(A4,Ergebnis_je_Aktie_verwässert!A$3:AJ$103,8,FALSE),""),"")</f>
        <v>19.165714285714284</v>
      </c>
      <c r="F4" s="79">
        <f>IF(VLOOKUP(A4,Ergebnis_je_Aktie_verwässert!A$3:AJ$103,9,FALSE)&gt;0,IF(VLOOKUP(A4,Schlußkurse!A$5:AU$105,38,FALSE) &gt;0,VLOOKUP(A4,Schlußkurse!A$5:AU$105,38,FALSE)/VLOOKUP(A4,Ergebnis_je_Aktie_verwässert!A$3:AJ$103,9,FALSE),""),"")</f>
        <v>22.664181818181813</v>
      </c>
      <c r="G4" s="79">
        <f>IF(VLOOKUP(A4,Ergebnis_je_Aktie_verwässert!A$3:AJ$103,10,FALSE)&gt;0,IF(VLOOKUP(A4,Schlußkurse!A$5:AU$105,39,FALSE) &gt;0,VLOOKUP(A4,Schlußkurse!A$5:AU$105,39,FALSE)/VLOOKUP(A4,Ergebnis_je_Aktie_verwässert!A$3:AJ$103,10,FALSE),""),"")</f>
        <v>22.519714285714286</v>
      </c>
      <c r="H4" s="79">
        <f>IF(VLOOKUP(A4,Ergebnis_je_Aktie_verwässert!A$3:AJ$103,11,FALSE)&gt;0,IF(VLOOKUP(A4,Schlußkurse!A$5:AU$105,40,FALSE) &gt;0,VLOOKUP(A4,Schlußkurse!A$5:AU$105,40,FALSE)/VLOOKUP(A4,Ergebnis_je_Aktie_verwässert!A$3:AJ$103,11,FALSE),""),"")</f>
        <v>14.414493110236219</v>
      </c>
      <c r="I4" s="79">
        <f>IF(VLOOKUP(A4,Ergebnis_je_Aktie_verwässert!A$3:AJ$103,12,FALSE)&gt;0,IF(VLOOKUP(A4,Schlußkurse!A$5:AU$105,41,FALSE) &gt;0,VLOOKUP(A4,Schlußkurse!A$5:AU$105,41,FALSE)/VLOOKUP(A4,Ergebnis_je_Aktie_verwässert!A$3:AJ$103,12,FALSE),""),"")</f>
        <v>16.910863662622763</v>
      </c>
      <c r="J4" s="79">
        <f>IF(VLOOKUP(A4,Ergebnis_je_Aktie_verwässert!A$3:AJ$103,13,FALSE)&gt;0,IF(VLOOKUP(A4,Schlußkurse!A$5:AU$105,42,FALSE) &gt;0,VLOOKUP(A4,Schlußkurse!A$5:AU$105,42,FALSE)/VLOOKUP(A4,Ergebnis_je_Aktie_verwässert!A$3:AJ$103,13,FALSE),""),"")</f>
        <v>18.718054703135419</v>
      </c>
      <c r="K4" s="79">
        <f>IF(VLOOKUP(A4,Ergebnis_je_Aktie_verwässert!A$3:AJ$103,14,FALSE)&gt;0,IF(VLOOKUP(A4,Schlußkurse!A$5:AU$105,43,FALSE) &gt;0,VLOOKUP(A4,Schlußkurse!A$5:AU$105,43,FALSE)/VLOOKUP(A4,Ergebnis_je_Aktie_verwässert!A$3:AJ$103,14,FALSE),""),"")</f>
        <v>12.794347469220247</v>
      </c>
      <c r="L4" s="79">
        <f>IF(VLOOKUP(A4,Ergebnis_je_Aktie_verwässert!A$3:AJ$103,15,FALSE)&gt;0,IF(VLOOKUP(A4,Schlußkurse!A$5:AU$105,44,FALSE) &gt;0,VLOOKUP(A4,Schlußkurse!A$5:AU$105,44,FALSE)/VLOOKUP(A4,Ergebnis_je_Aktie_verwässert!A$3:AJ$103,15,FALSE),""),"")</f>
        <v>17.398738892686257</v>
      </c>
      <c r="M4" s="79">
        <f>IF(VLOOKUP(A4,Ergebnis_je_Aktie_verwässert!A$3:AJ$103,16,FALSE)&gt;0,IF(VLOOKUP(A4,Schlußkurse!A$5:AU$105,45,FALSE) &gt;0,VLOOKUP(A4,Schlußkurse!A$5:AU$105,45,FALSE)/VLOOKUP(A4,Ergebnis_je_Aktie_verwässert!A$3:AJ$103,16,FALSE),""),"")</f>
        <v>16.291829246935201</v>
      </c>
      <c r="N4" s="79">
        <f>IF(VLOOKUP(A4,Ergebnis_je_Aktie_verwässert!A$3:AJ$103,17,FALSE)&gt;0,IF(VLOOKUP(A4,Schlußkurse!A$5:AU$105,46,FALSE) &gt;0,VLOOKUP(A4,Schlußkurse!A$5:AU$105,46,FALSE)/VLOOKUP(A4,Ergebnis_je_Aktie_verwässert!A$3:AJ$103,17,FALSE),""),"")</f>
        <v>19.59425196850394</v>
      </c>
      <c r="O4" s="80">
        <f>IF(VLOOKUP(A4,Ergebnis_je_Aktie_verwässert!A$3:AJ$103,18,FALSE)&gt;0,IF(VLOOKUP(A4,Schlußkurse!A$5:AU$105,47,FALSE) &gt;0,VLOOKUP(A4,Schlußkurse!A$5:AU$105,47,FALSE)/VLOOKUP(A4,Ergebnis_je_Aktie_verwässert!A$3:AJ$103,18,FALSE),""),"")</f>
        <v>17.28247960848287</v>
      </c>
      <c r="P4" s="3">
        <f t="shared" ref="P4:P35" si="0">MEDIAN(C4:O4)</f>
        <v>17.28247960848287</v>
      </c>
      <c r="Q4" s="3">
        <f ca="1">VLOOKUP(A4,Schlußkurse!A$5:AU$105,35,FALSE)/VLOOKUP(A4,Ergebnis_je_Aktie_verwässert!A$3:AK$103,23,FALSE)</f>
        <v>18.92956900931414</v>
      </c>
      <c r="R4" s="5">
        <f t="shared" ref="R4:R35" ca="1" si="1">(Q4/P4)-1</f>
        <v>9.5303997929950812E-2</v>
      </c>
    </row>
    <row r="5" spans="1:18" x14ac:dyDescent="0.25">
      <c r="A5" t="s">
        <v>2</v>
      </c>
      <c r="B5" t="s">
        <v>3</v>
      </c>
      <c r="C5" s="78">
        <f>IF(VLOOKUP(A5,Ergebnis_je_Aktie_verwässert!A$3:AJ$103,6,FALSE)&gt;0,IF(VLOOKUP(A5,Schlußkurse!A$5:AU$105,35,FALSE) &gt;0,VLOOKUP(A5,Schlußkurse!A$5:AU$105,35,FALSE) /VLOOKUP(A5,Ergebnis_je_Aktie_verwässert!A$3:AJ$103,6,FALSE),""),"")</f>
        <v>19.702161877394637</v>
      </c>
      <c r="D5" s="79">
        <f>IF(VLOOKUP(A5,Ergebnis_je_Aktie_verwässert!A$3:AJ$103,7,FALSE)&gt;0,IF(VLOOKUP(A5,Schlußkurse!A$5:AU$105,36,FALSE) &gt;0,VLOOKUP(A5,Schlußkurse!A$5:AU$105,36,FALSE)/VLOOKUP(A5,Ergebnis_je_Aktie_verwässert!A$3:AJ$103,7,FALSE),""),"")</f>
        <v>22.85450777777778</v>
      </c>
      <c r="E5" s="79">
        <f>IF(VLOOKUP(A5,Ergebnis_je_Aktie_verwässert!A$3:AJ$103,8,FALSE)&gt;0,IF(VLOOKUP(A5,Schlußkurse!A$5:AU$105,37,FALSE) &gt;0,VLOOKUP(A5,Schlußkurse!A$5:AU$105,37,FALSE)/VLOOKUP(A5,Ergebnis_je_Aktie_verwässert!A$3:AJ$103,8,FALSE),""),"")</f>
        <v>16.021132758620688</v>
      </c>
      <c r="F5" s="79">
        <f>IF(VLOOKUP(A5,Ergebnis_je_Aktie_verwässert!A$3:AJ$103,9,FALSE)&gt;0,IF(VLOOKUP(A5,Schlußkurse!A$5:AU$105,38,FALSE) &gt;0,VLOOKUP(A5,Schlußkurse!A$5:AU$105,38,FALSE)/VLOOKUP(A5,Ergebnis_je_Aktie_verwässert!A$3:AJ$103,9,FALSE),""),"")</f>
        <v>18.551647331786544</v>
      </c>
      <c r="G5" s="79">
        <f>IF(VLOOKUP(A5,Ergebnis_je_Aktie_verwässert!A$3:AJ$103,10,FALSE)&gt;0,IF(VLOOKUP(A5,Schlußkurse!A$5:AU$105,39,FALSE) &gt;0,VLOOKUP(A5,Schlußkurse!A$5:AU$105,39,FALSE)/VLOOKUP(A5,Ergebnis_je_Aktie_verwässert!A$3:AJ$103,10,FALSE),""),"")</f>
        <v>16.958618918918919</v>
      </c>
      <c r="H5" s="79">
        <f>IF(VLOOKUP(A5,Ergebnis_je_Aktie_verwässert!A$3:AJ$103,11,FALSE)&gt;0,IF(VLOOKUP(A5,Schlußkurse!A$5:AU$105,40,FALSE) &gt;0,VLOOKUP(A5,Schlußkurse!A$5:AU$105,40,FALSE)/VLOOKUP(A5,Ergebnis_je_Aktie_verwässert!A$3:AJ$103,11,FALSE),""),"")</f>
        <v>14.703308483290488</v>
      </c>
      <c r="I5" s="79">
        <f>IF(VLOOKUP(A5,Ergebnis_je_Aktie_verwässert!A$3:AJ$103,12,FALSE)&gt;0,IF(VLOOKUP(A5,Schlußkurse!A$5:AU$105,41,FALSE) &gt;0,VLOOKUP(A5,Schlußkurse!A$5:AU$105,41,FALSE)/VLOOKUP(A5,Ergebnis_je_Aktie_verwässert!A$3:AJ$103,12,FALSE),""),"")</f>
        <v>15.558990740740743</v>
      </c>
      <c r="J5" s="79">
        <f>IF(VLOOKUP(A5,Ergebnis_je_Aktie_verwässert!A$3:AJ$103,13,FALSE)&gt;0,IF(VLOOKUP(A5,Schlußkurse!A$5:AU$105,42,FALSE) &gt;0,VLOOKUP(A5,Schlußkurse!A$5:AU$105,42,FALSE)/VLOOKUP(A5,Ergebnis_je_Aktie_verwässert!A$3:AJ$103,13,FALSE),""),"")</f>
        <v>12.801361502347419</v>
      </c>
      <c r="K5" s="79">
        <f>IF(VLOOKUP(A5,Ergebnis_je_Aktie_verwässert!A$3:AJ$103,14,FALSE)&gt;0,IF(VLOOKUP(A5,Schlußkurse!A$5:AU$105,43,FALSE) &gt;0,VLOOKUP(A5,Schlußkurse!A$5:AU$105,43,FALSE)/VLOOKUP(A5,Ergebnis_je_Aktie_verwässert!A$3:AJ$103,14,FALSE),""),"")</f>
        <v>13.330672086720869</v>
      </c>
      <c r="L5" s="79">
        <f>IF(VLOOKUP(A5,Ergebnis_je_Aktie_verwässert!A$3:AJ$103,15,FALSE)&gt;0,IF(VLOOKUP(A5,Schlußkurse!A$5:AU$105,44,FALSE) &gt;0,VLOOKUP(A5,Schlußkurse!A$5:AU$105,44,FALSE)/VLOOKUP(A5,Ergebnis_je_Aktie_verwässert!A$3:AJ$103,15,FALSE),""),"")</f>
        <v>15.262069637883009</v>
      </c>
      <c r="M5" s="79">
        <f>IF(VLOOKUP(A5,Ergebnis_je_Aktie_verwässert!A$3:AJ$103,16,FALSE)&gt;0,IF(VLOOKUP(A5,Schlußkurse!A$5:AU$105,45,FALSE) &gt;0,VLOOKUP(A5,Schlußkurse!A$5:AU$105,45,FALSE)/VLOOKUP(A5,Ergebnis_je_Aktie_verwässert!A$3:AJ$103,16,FALSE),""),"")</f>
        <v>20.517500000000002</v>
      </c>
      <c r="N5" s="79">
        <f>IF(VLOOKUP(A5,Ergebnis_je_Aktie_verwässert!A$3:AJ$103,17,FALSE)&gt;0,IF(VLOOKUP(A5,Schlußkurse!A$5:AU$105,46,FALSE) &gt;0,VLOOKUP(A5,Schlußkurse!A$5:AU$105,46,FALSE)/VLOOKUP(A5,Ergebnis_je_Aktie_verwässert!A$3:AJ$103,17,FALSE),""),"")</f>
        <v>17.285213815789472</v>
      </c>
      <c r="O5" s="80">
        <f>IF(VLOOKUP(A5,Ergebnis_je_Aktie_verwässert!A$3:AJ$103,18,FALSE)&gt;0,IF(VLOOKUP(A5,Schlußkurse!A$5:AU$105,47,FALSE) &gt;0,VLOOKUP(A5,Schlußkurse!A$5:AU$105,47,FALSE)/VLOOKUP(A5,Ergebnis_je_Aktie_verwässert!A$3:AJ$103,18,FALSE),""),"")</f>
        <v>19.180190839694657</v>
      </c>
      <c r="P5" s="3">
        <f t="shared" si="0"/>
        <v>16.958618918918919</v>
      </c>
      <c r="Q5" s="3">
        <f ca="1">VLOOKUP(A5,Schlußkurse!A$5:AU$105,35,FALSE)/VLOOKUP(A5,Ergebnis_je_Aktie_verwässert!A$3:AK$103,23,FALSE)</f>
        <v>19.189542137452058</v>
      </c>
      <c r="R5" s="5">
        <f t="shared" ca="1" si="1"/>
        <v>0.13155099652863456</v>
      </c>
    </row>
    <row r="6" spans="1:18" x14ac:dyDescent="0.25">
      <c r="A6" t="s">
        <v>4</v>
      </c>
      <c r="B6" t="s">
        <v>5</v>
      </c>
      <c r="C6" s="78">
        <f>IF(VLOOKUP(A6,Ergebnis_je_Aktie_verwässert!A$3:AJ$103,6,FALSE)&gt;0,IF(VLOOKUP(A6,Schlußkurse!A$5:AU$105,35,FALSE) &gt;0,VLOOKUP(A6,Schlußkurse!A$5:AU$105,35,FALSE) /VLOOKUP(A6,Ergebnis_je_Aktie_verwässert!A$3:AJ$103,6,FALSE),""),"")</f>
        <v>17.316129032258065</v>
      </c>
      <c r="D6" s="79">
        <f>IF(VLOOKUP(A6,Ergebnis_je_Aktie_verwässert!A$3:AJ$103,7,FALSE)&gt;0,IF(VLOOKUP(A6,Schlußkurse!A$5:AU$105,36,FALSE) &gt;0,VLOOKUP(A6,Schlußkurse!A$5:AU$105,36,FALSE)/VLOOKUP(A6,Ergebnis_je_Aktie_verwässert!A$3:AJ$103,7,FALSE),""),"")</f>
        <v>18.383561643835616</v>
      </c>
      <c r="E6" s="79">
        <f>IF(VLOOKUP(A6,Ergebnis_je_Aktie_verwässert!A$3:AJ$103,8,FALSE)&gt;0,IF(VLOOKUP(A6,Schlußkurse!A$5:AU$105,37,FALSE) &gt;0,VLOOKUP(A6,Schlußkurse!A$5:AU$105,37,FALSE)/VLOOKUP(A6,Ergebnis_je_Aktie_verwässert!A$3:AJ$103,8,FALSE),""),"")</f>
        <v>20.141791044776117</v>
      </c>
      <c r="F6" s="79">
        <f>IF(VLOOKUP(A6,Ergebnis_je_Aktie_verwässert!A$3:AJ$103,9,FALSE)&gt;0,IF(VLOOKUP(A6,Schlußkurse!A$5:AU$105,38,FALSE) &gt;0,VLOOKUP(A6,Schlußkurse!A$5:AU$105,38,FALSE)/VLOOKUP(A6,Ergebnis_je_Aktie_verwässert!A$3:AJ$103,9,FALSE),""),"")</f>
        <v>23.052728954671597</v>
      </c>
      <c r="G6" s="79">
        <f>IF(VLOOKUP(A6,Ergebnis_je_Aktie_verwässert!A$3:AJ$103,10,FALSE)&gt;0,IF(VLOOKUP(A6,Schlußkurse!A$5:AU$105,39,FALSE) &gt;0,VLOOKUP(A6,Schlußkurse!A$5:AU$105,39,FALSE)/VLOOKUP(A6,Ergebnis_je_Aktie_verwässert!A$3:AJ$103,10,FALSE),""),"")</f>
        <v>14.23047177107502</v>
      </c>
      <c r="H6" s="79">
        <f>IF(VLOOKUP(A6,Ergebnis_je_Aktie_verwässert!A$3:AJ$103,11,FALSE)&gt;0,IF(VLOOKUP(A6,Schlußkurse!A$5:AU$105,40,FALSE) &gt;0,VLOOKUP(A6,Schlußkurse!A$5:AU$105,40,FALSE)/VLOOKUP(A6,Ergebnis_je_Aktie_verwässert!A$3:AJ$103,11,FALSE),""),"")</f>
        <v>14.265232974910393</v>
      </c>
      <c r="I6" s="79">
        <f>IF(VLOOKUP(A6,Ergebnis_je_Aktie_verwässert!A$3:AJ$103,12,FALSE)&gt;0,IF(VLOOKUP(A6,Schlußkurse!A$5:AU$105,41,FALSE) &gt;0,VLOOKUP(A6,Schlußkurse!A$5:AU$105,41,FALSE)/VLOOKUP(A6,Ergebnis_je_Aktie_verwässert!A$3:AJ$103,12,FALSE),""),"")</f>
        <v>12.477231329690346</v>
      </c>
      <c r="J6" s="79">
        <f>IF(VLOOKUP(A6,Ergebnis_je_Aktie_verwässert!A$3:AJ$103,13,FALSE)&gt;0,IF(VLOOKUP(A6,Schlußkurse!A$5:AU$105,42,FALSE) &gt;0,VLOOKUP(A6,Schlußkurse!A$5:AU$105,42,FALSE)/VLOOKUP(A6,Ergebnis_je_Aktie_verwässert!A$3:AJ$103,13,FALSE),""),"")</f>
        <v>17.388724035608309</v>
      </c>
      <c r="K6" s="79">
        <f>IF(VLOOKUP(A6,Ergebnis_je_Aktie_verwässert!A$3:AJ$103,14,FALSE)&gt;0,IF(VLOOKUP(A6,Schlußkurse!A$5:AU$105,43,FALSE) &gt;0,VLOOKUP(A6,Schlußkurse!A$5:AU$105,43,FALSE)/VLOOKUP(A6,Ergebnis_je_Aktie_verwässert!A$3:AJ$103,14,FALSE),""),"")</f>
        <v>18.015521064301552</v>
      </c>
      <c r="L6" s="79">
        <f>IF(VLOOKUP(A6,Ergebnis_je_Aktie_verwässert!A$3:AJ$103,15,FALSE)&gt;0,IF(VLOOKUP(A6,Schlußkurse!A$5:AU$105,44,FALSE) &gt;0,VLOOKUP(A6,Schlußkurse!A$5:AU$105,44,FALSE)/VLOOKUP(A6,Ergebnis_je_Aktie_verwässert!A$3:AJ$103,15,FALSE),""),"")</f>
        <v>19.120234604105569</v>
      </c>
      <c r="M6" s="79">
        <f>IF(VLOOKUP(A6,Ergebnis_je_Aktie_verwässert!A$3:AJ$103,16,FALSE)&gt;0,IF(VLOOKUP(A6,Schlußkurse!A$5:AU$105,45,FALSE) &gt;0,VLOOKUP(A6,Schlußkurse!A$5:AU$105,45,FALSE)/VLOOKUP(A6,Ergebnis_je_Aktie_verwässert!A$3:AJ$103,16,FALSE),""),"")</f>
        <v>19.578853046594983</v>
      </c>
      <c r="N6" s="79">
        <f>IF(VLOOKUP(A6,Ergebnis_je_Aktie_verwässert!A$3:AJ$103,17,FALSE)&gt;0,IF(VLOOKUP(A6,Schlußkurse!A$5:AU$105,46,FALSE) &gt;0,VLOOKUP(A6,Schlußkurse!A$5:AU$105,46,FALSE)/VLOOKUP(A6,Ergebnis_je_Aktie_verwässert!A$3:AJ$103,17,FALSE),""),"")</f>
        <v>21.80110497237569</v>
      </c>
      <c r="O6" s="80">
        <f>IF(VLOOKUP(A6,Ergebnis_je_Aktie_verwässert!A$3:AJ$103,18,FALSE)&gt;0,IF(VLOOKUP(A6,Schlußkurse!A$5:AU$105,47,FALSE) &gt;0,VLOOKUP(A6,Schlußkurse!A$5:AU$105,47,FALSE)/VLOOKUP(A6,Ergebnis_je_Aktie_verwässert!A$3:AJ$103,18,FALSE),""),"")</f>
        <v>19.508196721311478</v>
      </c>
      <c r="P6" s="3">
        <f t="shared" si="0"/>
        <v>18.383561643835616</v>
      </c>
      <c r="Q6" s="3">
        <f ca="1">VLOOKUP(A6,Schlußkurse!A$5:AU$105,35,FALSE)/VLOOKUP(A6,Ergebnis_je_Aktie_verwässert!A$3:AK$103,23,FALSE)</f>
        <v>19.439884113954609</v>
      </c>
      <c r="R6" s="5">
        <f t="shared" ca="1" si="1"/>
        <v>5.7460164171897476E-2</v>
      </c>
    </row>
    <row r="7" spans="1:18" x14ac:dyDescent="0.25">
      <c r="A7" t="s">
        <v>6</v>
      </c>
      <c r="B7" t="s">
        <v>7</v>
      </c>
      <c r="C7" s="78">
        <f>IF(VLOOKUP(A7,Ergebnis_je_Aktie_verwässert!A$3:AJ$103,6,FALSE)&gt;0,IF(VLOOKUP(A7,Schlußkurse!A$5:AU$105,35,FALSE) &gt;0,VLOOKUP(A7,Schlußkurse!A$5:AU$105,35,FALSE) /VLOOKUP(A7,Ergebnis_je_Aktie_verwässert!A$3:AJ$103,6,FALSE),""),"")</f>
        <v>19.212598425196852</v>
      </c>
      <c r="D7" s="79">
        <f>IF(VLOOKUP(A7,Ergebnis_je_Aktie_verwässert!A$3:AJ$103,7,FALSE)&gt;0,IF(VLOOKUP(A7,Schlußkurse!A$5:AU$105,36,FALSE) &gt;0,VLOOKUP(A7,Schlußkurse!A$5:AU$105,36,FALSE)/VLOOKUP(A7,Ergebnis_je_Aktie_verwässert!A$3:AJ$103,7,FALSE),""),"")</f>
        <v>20.619718309859156</v>
      </c>
      <c r="E7" s="79">
        <f>IF(VLOOKUP(A7,Ergebnis_je_Aktie_verwässert!A$3:AJ$103,8,FALSE)&gt;0,IF(VLOOKUP(A7,Schlußkurse!A$5:AU$105,37,FALSE) &gt;0,VLOOKUP(A7,Schlußkurse!A$5:AU$105,37,FALSE)/VLOOKUP(A7,Ergebnis_je_Aktie_verwässert!A$3:AJ$103,8,FALSE),""),"")</f>
        <v>21.906906906906908</v>
      </c>
      <c r="F7" s="79">
        <f>IF(VLOOKUP(A7,Ergebnis_je_Aktie_verwässert!A$3:AJ$103,9,FALSE)&gt;0,IF(VLOOKUP(A7,Schlußkurse!A$5:AU$105,38,FALSE) &gt;0,VLOOKUP(A7,Schlußkurse!A$5:AU$105,38,FALSE)/VLOOKUP(A7,Ergebnis_je_Aktie_verwässert!A$3:AJ$103,9,FALSE),""),"")</f>
        <v>38.321596244131456</v>
      </c>
      <c r="G7" s="79">
        <f>IF(VLOOKUP(A7,Ergebnis_je_Aktie_verwässert!A$3:AJ$103,10,FALSE)&gt;0,IF(VLOOKUP(A7,Schlußkurse!A$5:AU$105,39,FALSE) &gt;0,VLOOKUP(A7,Schlußkurse!A$5:AU$105,39,FALSE)/VLOOKUP(A7,Ergebnis_je_Aktie_verwässert!A$3:AJ$103,10,FALSE),""),"")</f>
        <v>22.558667676003029</v>
      </c>
      <c r="H7" s="79">
        <f>IF(VLOOKUP(A7,Ergebnis_je_Aktie_verwässert!A$3:AJ$103,11,FALSE)&gt;0,IF(VLOOKUP(A7,Schlußkurse!A$5:AU$105,40,FALSE) &gt;0,VLOOKUP(A7,Schlußkurse!A$5:AU$105,40,FALSE)/VLOOKUP(A7,Ergebnis_je_Aktie_verwässert!A$3:AJ$103,11,FALSE),""),"")</f>
        <v>16.265060240963855</v>
      </c>
      <c r="I7" s="79">
        <f>IF(VLOOKUP(A7,Ergebnis_je_Aktie_verwässert!A$3:AJ$103,12,FALSE)&gt;0,IF(VLOOKUP(A7,Schlußkurse!A$5:AU$105,41,FALSE) &gt;0,VLOOKUP(A7,Schlußkurse!A$5:AU$105,41,FALSE)/VLOOKUP(A7,Ergebnis_je_Aktie_verwässert!A$3:AJ$103,12,FALSE),""),"")</f>
        <v>18.496621621621621</v>
      </c>
      <c r="J7" s="79">
        <f>IF(VLOOKUP(A7,Ergebnis_je_Aktie_verwässert!A$3:AJ$103,13,FALSE)&gt;0,IF(VLOOKUP(A7,Schlußkurse!A$5:AU$105,42,FALSE) &gt;0,VLOOKUP(A7,Schlußkurse!A$5:AU$105,42,FALSE)/VLOOKUP(A7,Ergebnis_je_Aktie_verwässert!A$3:AJ$103,13,FALSE),""),"")</f>
        <v>23.568075117370896</v>
      </c>
      <c r="K7" s="79">
        <f>IF(VLOOKUP(A7,Ergebnis_je_Aktie_verwässert!A$3:AJ$103,14,FALSE)&gt;0,IF(VLOOKUP(A7,Schlußkurse!A$5:AU$105,43,FALSE) &gt;0,VLOOKUP(A7,Schlußkurse!A$5:AU$105,43,FALSE)/VLOOKUP(A7,Ergebnis_je_Aktie_verwässert!A$3:AJ$103,14,FALSE),""),"")</f>
        <v>14.295532646048109</v>
      </c>
      <c r="L7" s="79">
        <f>IF(VLOOKUP(A7,Ergebnis_je_Aktie_verwässert!A$3:AJ$103,15,FALSE)&gt;0,IF(VLOOKUP(A7,Schlußkurse!A$5:AU$105,44,FALSE) &gt;0,VLOOKUP(A7,Schlußkurse!A$5:AU$105,44,FALSE)/VLOOKUP(A7,Ergebnis_je_Aktie_verwässert!A$3:AJ$103,15,FALSE),""),"")</f>
        <v>21.311475409836067</v>
      </c>
      <c r="M7" s="79">
        <f>IF(VLOOKUP(A7,Ergebnis_je_Aktie_verwässert!A$3:AJ$103,16,FALSE)&gt;0,IF(VLOOKUP(A7,Schlußkurse!A$5:AU$105,45,FALSE) &gt;0,VLOOKUP(A7,Schlußkurse!A$5:AU$105,45,FALSE)/VLOOKUP(A7,Ergebnis_je_Aktie_verwässert!A$3:AJ$103,16,FALSE),""),"")</f>
        <v>15.688405797101449</v>
      </c>
      <c r="N7" s="79">
        <f>IF(VLOOKUP(A7,Ergebnis_je_Aktie_verwässert!A$3:AJ$103,17,FALSE)&gt;0,IF(VLOOKUP(A7,Schlußkurse!A$5:AU$105,46,FALSE) &gt;0,VLOOKUP(A7,Schlußkurse!A$5:AU$105,46,FALSE)/VLOOKUP(A7,Ergebnis_je_Aktie_verwässert!A$3:AJ$103,17,FALSE),""),"")</f>
        <v>16.652542372881356</v>
      </c>
      <c r="O7" s="80">
        <f>IF(VLOOKUP(A7,Ergebnis_je_Aktie_verwässert!A$3:AJ$103,18,FALSE)&gt;0,IF(VLOOKUP(A7,Schlußkurse!A$5:AU$105,47,FALSE) &gt;0,VLOOKUP(A7,Schlußkurse!A$5:AU$105,47,FALSE)/VLOOKUP(A7,Ergebnis_je_Aktie_verwässert!A$3:AJ$103,18,FALSE),""),"")</f>
        <v>14.583333333333334</v>
      </c>
      <c r="P7" s="3">
        <f t="shared" si="0"/>
        <v>19.212598425196852</v>
      </c>
      <c r="Q7" s="3">
        <f ca="1">VLOOKUP(A7,Schlußkurse!A$5:AU$105,35,FALSE)/VLOOKUP(A7,Ergebnis_je_Aktie_verwässert!A$3:AK$103,23,FALSE)</f>
        <v>21.500603766195621</v>
      </c>
      <c r="R7" s="5">
        <f t="shared" ca="1" si="1"/>
        <v>0.11908880258477206</v>
      </c>
    </row>
    <row r="8" spans="1:18" x14ac:dyDescent="0.25">
      <c r="A8" t="s">
        <v>8</v>
      </c>
      <c r="B8" t="s">
        <v>9</v>
      </c>
      <c r="C8" s="78">
        <f>IF(VLOOKUP(A8,Ergebnis_je_Aktie_verwässert!A$3:AJ$103,6,FALSE)&gt;0,IF(VLOOKUP(A8,Schlußkurse!A$5:AU$105,35,FALSE) &gt;0,VLOOKUP(A8,Schlußkurse!A$5:AU$105,35,FALSE) /VLOOKUP(A8,Ergebnis_je_Aktie_verwässert!A$3:AJ$103,6,FALSE),""),"")</f>
        <v>23.403614457831328</v>
      </c>
      <c r="D8" s="79">
        <f>IF(VLOOKUP(A8,Ergebnis_je_Aktie_verwässert!A$3:AJ$103,7,FALSE)&gt;0,IF(VLOOKUP(A8,Schlußkurse!A$5:AU$105,36,FALSE) &gt;0,VLOOKUP(A8,Schlußkurse!A$5:AU$105,36,FALSE)/VLOOKUP(A8,Ergebnis_je_Aktie_verwässert!A$3:AJ$103,7,FALSE),""),"")</f>
        <v>25.728476821192054</v>
      </c>
      <c r="E8" s="79">
        <f>IF(VLOOKUP(A8,Ergebnis_je_Aktie_verwässert!A$3:AJ$103,8,FALSE)&gt;0,IF(VLOOKUP(A8,Schlußkurse!A$5:AU$105,37,FALSE) &gt;0,VLOOKUP(A8,Schlußkurse!A$5:AU$105,37,FALSE)/VLOOKUP(A8,Ergebnis_je_Aktie_verwässert!A$3:AJ$103,8,FALSE),""),"")</f>
        <v>24.25179856115108</v>
      </c>
      <c r="F8" s="79">
        <f>IF(VLOOKUP(A8,Ergebnis_je_Aktie_verwässert!A$3:AJ$103,9,FALSE)&gt;0,IF(VLOOKUP(A8,Schlußkurse!A$5:AU$105,38,FALSE) &gt;0,VLOOKUP(A8,Schlußkurse!A$5:AU$105,38,FALSE)/VLOOKUP(A8,Ergebnis_je_Aktie_verwässert!A$3:AJ$103,9,FALSE),""),"")</f>
        <v>31.878787878787879</v>
      </c>
      <c r="G8" s="79">
        <f>IF(VLOOKUP(A8,Ergebnis_je_Aktie_verwässert!A$3:AJ$103,10,FALSE)&gt;0,IF(VLOOKUP(A8,Schlußkurse!A$5:AU$105,39,FALSE) &gt;0,VLOOKUP(A8,Schlußkurse!A$5:AU$105,39,FALSE)/VLOOKUP(A8,Ergebnis_je_Aktie_verwässert!A$3:AJ$103,10,FALSE),""),"")</f>
        <v>26.557939914163089</v>
      </c>
      <c r="H8" s="79">
        <f>IF(VLOOKUP(A8,Ergebnis_je_Aktie_verwässert!A$3:AJ$103,11,FALSE)&gt;0,IF(VLOOKUP(A8,Schlußkurse!A$5:AU$105,40,FALSE) &gt;0,VLOOKUP(A8,Schlußkurse!A$5:AU$105,40,FALSE)/VLOOKUP(A8,Ergebnis_je_Aktie_verwässert!A$3:AJ$103,11,FALSE),""),"")</f>
        <v>21.067307692307693</v>
      </c>
      <c r="I8" s="79">
        <f>IF(VLOOKUP(A8,Ergebnis_je_Aktie_verwässert!A$3:AJ$103,12,FALSE)&gt;0,IF(VLOOKUP(A8,Schlußkurse!A$5:AU$105,41,FALSE) &gt;0,VLOOKUP(A8,Schlußkurse!A$5:AU$105,41,FALSE)/VLOOKUP(A8,Ergebnis_je_Aktie_verwässert!A$3:AJ$103,12,FALSE),""),"")</f>
        <v>22.205882352941174</v>
      </c>
      <c r="J8" s="79">
        <f>IF(VLOOKUP(A8,Ergebnis_je_Aktie_verwässert!A$3:AJ$103,13,FALSE)&gt;0,IF(VLOOKUP(A8,Schlußkurse!A$5:AU$105,42,FALSE) &gt;0,VLOOKUP(A8,Schlußkurse!A$5:AU$105,42,FALSE)/VLOOKUP(A8,Ergebnis_je_Aktie_verwässert!A$3:AJ$103,13,FALSE),""),"")</f>
        <v>24.961956521739129</v>
      </c>
      <c r="K8" s="79">
        <f>IF(VLOOKUP(A8,Ergebnis_je_Aktie_verwässert!A$3:AJ$103,14,FALSE)&gt;0,IF(VLOOKUP(A8,Schlußkurse!A$5:AU$105,43,FALSE) &gt;0,VLOOKUP(A8,Schlußkurse!A$5:AU$105,43,FALSE)/VLOOKUP(A8,Ergebnis_je_Aktie_verwässert!A$3:AJ$103,14,FALSE),""),"")</f>
        <v>25.454545454545457</v>
      </c>
      <c r="L8" s="79">
        <f>IF(VLOOKUP(A8,Ergebnis_je_Aktie_verwässert!A$3:AJ$103,15,FALSE)&gt;0,IF(VLOOKUP(A8,Schlußkurse!A$5:AU$105,44,FALSE) &gt;0,VLOOKUP(A8,Schlußkurse!A$5:AU$105,44,FALSE)/VLOOKUP(A8,Ergebnis_je_Aktie_verwässert!A$3:AJ$103,15,FALSE),""),"")</f>
        <v>24.200913242009133</v>
      </c>
      <c r="M8" s="79">
        <f>IF(VLOOKUP(A8,Ergebnis_je_Aktie_verwässert!A$3:AJ$103,16,FALSE)&gt;0,IF(VLOOKUP(A8,Schlußkurse!A$5:AU$105,45,FALSE) &gt;0,VLOOKUP(A8,Schlußkurse!A$5:AU$105,45,FALSE)/VLOOKUP(A8,Ergebnis_je_Aktie_verwässert!A$3:AJ$103,16,FALSE),""),"")</f>
        <v>23.169811320754715</v>
      </c>
      <c r="N8" s="79">
        <f>IF(VLOOKUP(A8,Ergebnis_je_Aktie_verwässert!A$3:AJ$103,17,FALSE)&gt;0,IF(VLOOKUP(A8,Schlußkurse!A$5:AU$105,46,FALSE) &gt;0,VLOOKUP(A8,Schlußkurse!A$5:AU$105,46,FALSE)/VLOOKUP(A8,Ergebnis_je_Aktie_verwässert!A$3:AJ$103,17,FALSE),""),"")</f>
        <v>20.51284023668639</v>
      </c>
      <c r="O8" s="80">
        <f>IF(VLOOKUP(A8,Ergebnis_je_Aktie_verwässert!A$3:AJ$103,18,FALSE)&gt;0,IF(VLOOKUP(A8,Schlußkurse!A$5:AU$105,47,FALSE) &gt;0,VLOOKUP(A8,Schlußkurse!A$5:AU$105,47,FALSE)/VLOOKUP(A8,Ergebnis_je_Aktie_verwässert!A$3:AJ$103,18,FALSE),""),"")</f>
        <v>19.678137931034485</v>
      </c>
      <c r="P8" s="3">
        <f t="shared" si="0"/>
        <v>24.200913242009133</v>
      </c>
      <c r="Q8" s="3">
        <f ca="1">VLOOKUP(A8,Schlußkurse!A$5:AU$105,35,FALSE)/VLOOKUP(A8,Ergebnis_je_Aktie_verwässert!A$3:AK$103,23,FALSE)</f>
        <v>27.155172413793107</v>
      </c>
      <c r="R8" s="5">
        <f t="shared" ca="1" si="1"/>
        <v>0.12207221860767747</v>
      </c>
    </row>
    <row r="9" spans="1:18" x14ac:dyDescent="0.25">
      <c r="A9" t="s">
        <v>10</v>
      </c>
      <c r="B9" t="s">
        <v>11</v>
      </c>
      <c r="C9" s="78">
        <f>IF(VLOOKUP(A9,Ergebnis_je_Aktie_verwässert!A$3:AJ$103,6,FALSE)&gt;0,IF(VLOOKUP(A9,Schlußkurse!A$5:AU$105,35,FALSE)&gt;0,VLOOKUP(A9,Schlußkurse!A$5:AU$105,35,FALSE)/VLOOKUP(A9,Ergebnis_je_Aktie_verwässert!A$3:AJ$103,6,FALSE),""),"")</f>
        <v>13.442396313364057</v>
      </c>
      <c r="D9" s="79">
        <f>IF(VLOOKUP(A9,Ergebnis_je_Aktie_verwässert!A$3:AJ$103,7,FALSE)&gt;0,IF(VLOOKUP(A9,Schlußkurse!A$5:AU$105,36,FALSE)&gt;0,VLOOKUP(A9,Schlußkurse!A$5:AU$105,36,FALSE)/VLOOKUP(A9,Ergebnis_je_Aktie_verwässert!A$3:AJ$103,7,FALSE),""),"")</f>
        <v>14.512437810945276</v>
      </c>
      <c r="E9" s="79">
        <f>IF(VLOOKUP(A9,Ergebnis_je_Aktie_verwässert!A$3:AJ$103,8,FALSE)&gt;0,IF(VLOOKUP(A9,Schlußkurse!A$5:AU$105,37,FALSE)&gt;0,VLOOKUP(A9,Schlußkurse!A$5:AU$105,37,FALSE)/VLOOKUP(A9,Ergebnis_je_Aktie_verwässert!A$3:AJ$103,8,FALSE),""),"")</f>
        <v>15.025</v>
      </c>
      <c r="F9" s="79">
        <f>IF(VLOOKUP(A9,Ergebnis_je_Aktie_verwässert!A$3:AJ$103,9,FALSE)&gt;0,IF(VLOOKUP(A9,Schlußkurse!A$5:AU$105,38,FALSE)&gt;0,VLOOKUP(A9,Schlußkurse!A$5:AU$105,38,FALSE)/VLOOKUP(A9,Ergebnis_je_Aktie_verwässert!A$3:AJ$103,9,FALSE),""),"")</f>
        <v>16.158536585365855</v>
      </c>
      <c r="G9" s="79">
        <f>IF(VLOOKUP(A9,Ergebnis_je_Aktie_verwässert!A$3:AJ$103,10,FALSE)&gt;0,IF(VLOOKUP(A9,Schlußkurse!A$5:AU$105,39,FALSE)&gt;0,VLOOKUP(A9,Schlußkurse!A$5:AU$105,39,FALSE)/VLOOKUP(A9,Ergebnis_je_Aktie_verwässert!A$3:AJ$103,10,FALSE),""),"")</f>
        <v>10.000000000000002</v>
      </c>
      <c r="H9" s="79">
        <f>IF(VLOOKUP(A9,Ergebnis_je_Aktie_verwässert!A$3:AJ$103,11,FALSE)&gt;0,IF(VLOOKUP(A9,Schlußkurse!A$5:AU$105,40,FALSE)&gt;0,VLOOKUP(A9,Schlußkurse!A$5:AU$105,40,FALSE)/VLOOKUP(A9,Ergebnis_je_Aktie_verwässert!A$3:AJ$103,11,FALSE),""),"")</f>
        <v>9</v>
      </c>
      <c r="I9" s="79">
        <f>IF(VLOOKUP(A9,Ergebnis_je_Aktie_verwässert!A$3:AJ$103,12,FALSE)&gt;0,IF(VLOOKUP(A9,Schlußkurse!A$5:AU$105,41,FALSE)&gt;0,VLOOKUP(A9,Schlußkurse!A$5:AU$105,41,FALSE)/VLOOKUP(A9,Ergebnis_je_Aktie_verwässert!A$3:AJ$103,12,FALSE),""),"")</f>
        <v>13.229166666666666</v>
      </c>
      <c r="J9" s="79">
        <f>IF(VLOOKUP(A9,Ergebnis_je_Aktie_verwässert!A$3:AJ$103,13,FALSE)&gt;0,IF(VLOOKUP(A9,Schlußkurse!A$5:AU$105,42,FALSE)&gt;0,VLOOKUP(A9,Schlußkurse!A$5:AU$105,42,FALSE)/VLOOKUP(A9,Ergebnis_je_Aktie_verwässert!A$3:AJ$103,13,FALSE),""),"")</f>
        <v>6.4214285714285708</v>
      </c>
      <c r="K9" s="79">
        <f>IF(VLOOKUP(A9,Ergebnis_je_Aktie_verwässert!A$3:AJ$103,14,FALSE)&gt;0,IF(VLOOKUP(A9,Schlußkurse!A$5:AU$105,43,FALSE)&gt;0,VLOOKUP(A9,Schlußkurse!A$5:AU$105,43,FALSE)/VLOOKUP(A9,Ergebnis_je_Aktie_verwässert!A$3:AJ$103,14,FALSE),""),"")</f>
        <v>22.471698113207545</v>
      </c>
      <c r="L9" s="79" t="str">
        <f>IF(VLOOKUP(A9,Ergebnis_je_Aktie_verwässert!A$3:AJ$103,15,FALSE)&gt;0,IF(VLOOKUP(A9,Schlußkurse!A$5:AU$105,44,FALSE)&gt;0,VLOOKUP(A9,Schlußkurse!A$5:AU$105,44,FALSE)/VLOOKUP(A9,Ergebnis_je_Aktie_verwässert!A$3:AJ$103,15,FALSE),""),"")</f>
        <v/>
      </c>
      <c r="M9" s="79">
        <f>IF(VLOOKUP(A9,Ergebnis_je_Aktie_verwässert!A$3:AJ$103,16,FALSE)&gt;0,IF(VLOOKUP(A9,Schlußkurse!A$5:AU$105,45,FALSE)&gt;0,VLOOKUP(A9,Schlußkurse!A$5:AU$105,45,FALSE)/VLOOKUP(A9,Ergebnis_je_Aktie_verwässert!A$3:AJ$103,16,FALSE),""),"")</f>
        <v>19.860869565217392</v>
      </c>
      <c r="N9" s="79">
        <f>IF(VLOOKUP(A9,Ergebnis_je_Aktie_verwässert!A$3:AJ$103,17,FALSE)&gt;0,IF(VLOOKUP(A9,Schlußkurse!A$5:AU$105,46,FALSE)&gt;0,VLOOKUP(A9,Schlußkurse!A$5:AU$105,46,FALSE)/VLOOKUP(A9,Ergebnis_je_Aktie_verwässert!A$3:AJ$103,17,FALSE),""),"")</f>
        <v>12.799999999999999</v>
      </c>
      <c r="O9" s="80">
        <f>IF(VLOOKUP(A9,Ergebnis_je_Aktie_verwässert!A$3:AJ$103,18,FALSE)&gt;0,IF(VLOOKUP(A9,Schlußkurse!A$5:AU$105,47,FALSE)&gt;0,VLOOKUP(A9,Schlußkurse!A$5:AU$105,47,FALSE)/VLOOKUP(A9,Ergebnis_je_Aktie_verwässert!A$3:AJ$103,18,FALSE),""),"")</f>
        <v>8.4924623115577891</v>
      </c>
      <c r="P9" s="3">
        <f t="shared" si="0"/>
        <v>13.335781490015361</v>
      </c>
      <c r="Q9" s="3">
        <f ca="1">VLOOKUP(A9,Schlußkurse!A$5:AU$105,35,FALSE)/VLOOKUP(A9,Ergebnis_je_Aktie_verwässert!A$3:AK$103,23,FALSE)</f>
        <v>15.589204596063066</v>
      </c>
      <c r="R9" s="5">
        <f t="shared" ca="1" si="1"/>
        <v>0.16897570702810838</v>
      </c>
    </row>
    <row r="10" spans="1:18" x14ac:dyDescent="0.25">
      <c r="A10" t="s">
        <v>12</v>
      </c>
      <c r="B10" t="s">
        <v>13</v>
      </c>
      <c r="C10" s="78">
        <f>IF(VLOOKUP(A10,Ergebnis_je_Aktie_verwässert!A$3:AJ$103,6,FALSE)&gt;0,IF(VLOOKUP(A10,Schlußkurse!A$5:AU$105,35,FALSE)&gt;0,VLOOKUP(A10,Schlußkurse!A$5:AU$105,35,FALSE)/VLOOKUP(A10,Ergebnis_je_Aktie_verwässert!A$3:AJ$103,6,FALSE),""),"")</f>
        <v>17.934782608695652</v>
      </c>
      <c r="D10" s="79">
        <f>IF(VLOOKUP(A10,Ergebnis_je_Aktie_verwässert!A$3:AJ$103,7,FALSE)&gt;0,IF(VLOOKUP(A10,Schlußkurse!A$5:AU$105,36,FALSE)&gt;0,VLOOKUP(A10,Schlußkurse!A$5:AU$105,36,FALSE)/VLOOKUP(A10,Ergebnis_je_Aktie_verwässert!A$3:AJ$103,7,FALSE),""),"")</f>
        <v>22.297297297297298</v>
      </c>
      <c r="E10" s="79">
        <f>IF(VLOOKUP(A10,Ergebnis_je_Aktie_verwässert!A$3:AJ$103,8,FALSE)&gt;0,IF(VLOOKUP(A10,Schlußkurse!A$5:AU$105,37,FALSE)&gt;0,VLOOKUP(A10,Schlußkurse!A$5:AU$105,37,FALSE)/VLOOKUP(A10,Ergebnis_je_Aktie_verwässert!A$3:AJ$103,8,FALSE),""),"")</f>
        <v>21.370967741935484</v>
      </c>
      <c r="F10" s="79">
        <f>IF(VLOOKUP(A10,Ergebnis_je_Aktie_verwässert!A$3:AJ$103,9,FALSE)&gt;0,IF(VLOOKUP(A10,Schlußkurse!A$5:AU$105,38,FALSE)&gt;0,VLOOKUP(A10,Schlußkurse!A$5:AU$105,38,FALSE)/VLOOKUP(A10,Ergebnis_je_Aktie_verwässert!A$3:AJ$103,9,FALSE),""),"")</f>
        <v>23.452830188679243</v>
      </c>
      <c r="G10" s="79">
        <f>IF(VLOOKUP(A10,Ergebnis_je_Aktie_verwässert!A$3:AJ$103,10,FALSE)&gt;0,IF(VLOOKUP(A10,Schlußkurse!A$5:AU$105,39,FALSE)&gt;0,VLOOKUP(A10,Schlußkurse!A$5:AU$105,39,FALSE)/VLOOKUP(A10,Ergebnis_je_Aktie_verwässert!A$3:AJ$103,10,FALSE),""),"")</f>
        <v>13.642857142857144</v>
      </c>
      <c r="H10" s="79">
        <f>IF(VLOOKUP(A10,Ergebnis_je_Aktie_verwässert!A$3:AJ$103,11,FALSE)&gt;0,IF(VLOOKUP(A10,Schlußkurse!A$5:AU$105,40,FALSE)&gt;0,VLOOKUP(A10,Schlußkurse!A$5:AU$105,40,FALSE)/VLOOKUP(A10,Ergebnis_je_Aktie_verwässert!A$3:AJ$103,11,FALSE),""),"")</f>
        <v>15.28448275862069</v>
      </c>
      <c r="I10" s="79">
        <f>IF(VLOOKUP(A10,Ergebnis_je_Aktie_verwässert!A$3:AJ$103,12,FALSE)&gt;0,IF(VLOOKUP(A10,Schlußkurse!A$5:AU$105,41,FALSE)&gt;0,VLOOKUP(A10,Schlußkurse!A$5:AU$105,41,FALSE)/VLOOKUP(A10,Ergebnis_je_Aktie_verwässert!A$3:AJ$103,12,FALSE),""),"")</f>
        <v>14.410447761194028</v>
      </c>
      <c r="J10" s="79">
        <f>IF(VLOOKUP(A10,Ergebnis_je_Aktie_verwässert!A$3:AJ$103,13,FALSE)&gt;0,IF(VLOOKUP(A10,Schlußkurse!A$5:AU$105,42,FALSE)&gt;0,VLOOKUP(A10,Schlußkurse!A$5:AU$105,42,FALSE)/VLOOKUP(A10,Ergebnis_je_Aktie_verwässert!A$3:AJ$103,13,FALSE),""),"")</f>
        <v>13.025316455696201</v>
      </c>
      <c r="K10" s="79">
        <f>IF(VLOOKUP(A10,Ergebnis_je_Aktie_verwässert!A$3:AJ$103,14,FALSE)&gt;0,IF(VLOOKUP(A10,Schlußkurse!A$5:AU$105,43,FALSE)&gt;0,VLOOKUP(A10,Schlußkurse!A$5:AU$105,43,FALSE)/VLOOKUP(A10,Ergebnis_je_Aktie_verwässert!A$3:AJ$103,14,FALSE),""),"")</f>
        <v>13.782051282051281</v>
      </c>
      <c r="L10" s="79">
        <f>IF(VLOOKUP(A10,Ergebnis_je_Aktie_verwässert!A$3:AJ$103,15,FALSE)&gt;0,IF(VLOOKUP(A10,Schlußkurse!A$5:AU$105,44,FALSE)&gt;0,VLOOKUP(A10,Schlußkurse!A$5:AU$105,44,FALSE)/VLOOKUP(A10,Ergebnis_je_Aktie_verwässert!A$3:AJ$103,15,FALSE),""),"")</f>
        <v>19.256410256410255</v>
      </c>
      <c r="M10" s="79">
        <f>IF(VLOOKUP(A10,Ergebnis_je_Aktie_verwässert!A$3:AJ$103,16,FALSE)&gt;0,IF(VLOOKUP(A10,Schlußkurse!A$5:AU$105,45,FALSE)&gt;0,VLOOKUP(A10,Schlußkurse!A$5:AU$105,45,FALSE)/VLOOKUP(A10,Ergebnis_je_Aktie_verwässert!A$3:AJ$103,16,FALSE),""),"")</f>
        <v>20.057971014492754</v>
      </c>
      <c r="N10" s="79">
        <f>IF(VLOOKUP(A10,Ergebnis_je_Aktie_verwässert!A$3:AJ$103,17,FALSE)&gt;0,IF(VLOOKUP(A10,Schlußkurse!A$5:AU$105,46,FALSE)&gt;0,VLOOKUP(A10,Schlußkurse!A$5:AU$105,46,FALSE)/VLOOKUP(A10,Ergebnis_je_Aktie_verwässert!A$3:AJ$103,17,FALSE),""),"")</f>
        <v>15.644444444444444</v>
      </c>
      <c r="O10" s="80">
        <f>IF(VLOOKUP(A10,Ergebnis_je_Aktie_verwässert!A$3:AJ$103,18,FALSE)&gt;0,IF(VLOOKUP(A10,Schlußkurse!A$5:AU$105,47,FALSE)&gt;0,VLOOKUP(A10,Schlußkurse!A$5:AU$105,47,FALSE)/VLOOKUP(A10,Ergebnis_je_Aktie_verwässert!A$3:AJ$103,18,FALSE),""),"")</f>
        <v>15.416666666666664</v>
      </c>
      <c r="P10" s="3">
        <f t="shared" si="0"/>
        <v>15.644444444444444</v>
      </c>
      <c r="Q10" s="3">
        <f ca="1">VLOOKUP(A10,Schlußkurse!A$5:AU$105,35,FALSE)/VLOOKUP(A10,Ergebnis_je_Aktie_verwässert!A$3:AK$103,23,FALSE)</f>
        <v>24.974772956609481</v>
      </c>
      <c r="R10" s="5">
        <f t="shared" ca="1" si="1"/>
        <v>0.59639883955600381</v>
      </c>
    </row>
    <row r="11" spans="1:18" x14ac:dyDescent="0.25">
      <c r="A11" t="s">
        <v>14</v>
      </c>
      <c r="B11" t="s">
        <v>15</v>
      </c>
      <c r="C11" s="78">
        <f>IF(VLOOKUP(A11,Ergebnis_je_Aktie_verwässert!A$3:AJ$103,6,FALSE)&gt;0,IF(VLOOKUP(A11,Schlußkurse!A$5:AU$105,35,FALSE)&gt;0,VLOOKUP(A11,Schlußkurse!A$5:AU$105,35,FALSE)/VLOOKUP(A11,Ergebnis_je_Aktie_verwässert!A$3:AJ$103,6,FALSE),""),"")</f>
        <v>17.594871794871796</v>
      </c>
      <c r="D11" s="79">
        <f>IF(VLOOKUP(A11,Ergebnis_je_Aktie_verwässert!A$3:AJ$103,7,FALSE)&gt;0,IF(VLOOKUP(A11,Schlußkurse!A$5:AU$105,36,FALSE)&gt;0,VLOOKUP(A11,Schlußkurse!A$5:AU$105,36,FALSE)/VLOOKUP(A11,Ergebnis_je_Aktie_verwässert!A$3:AJ$103,7,FALSE),""),"")</f>
        <v>19.061111111111114</v>
      </c>
      <c r="E11" s="79">
        <f>IF(VLOOKUP(A11,Ergebnis_je_Aktie_verwässert!A$3:AJ$103,8,FALSE)&gt;0,IF(VLOOKUP(A11,Schlußkurse!A$5:AU$105,37,FALSE)&gt;0,VLOOKUP(A11,Schlußkurse!A$5:AU$105,37,FALSE)/VLOOKUP(A11,Ergebnis_je_Aktie_verwässert!A$3:AJ$103,8,FALSE),""),"")</f>
        <v>18.733118971061092</v>
      </c>
      <c r="F11" s="79">
        <f>IF(VLOOKUP(A11,Ergebnis_je_Aktie_verwässert!A$3:AJ$103,9,FALSE)&gt;0,IF(VLOOKUP(A11,Schlußkurse!A$5:AU$105,38,FALSE)&gt;0,VLOOKUP(A11,Schlußkurse!A$5:AU$105,38,FALSE)/VLOOKUP(A11,Ergebnis_je_Aktie_verwässert!A$3:AJ$103,9,FALSE),""),"")</f>
        <v>22.740875912408757</v>
      </c>
      <c r="G11" s="79">
        <f>IF(VLOOKUP(A11,Ergebnis_je_Aktie_verwässert!A$3:AJ$103,10,FALSE)&gt;0,IF(VLOOKUP(A11,Schlußkurse!A$5:AU$105,39,FALSE)&gt;0,VLOOKUP(A11,Schlußkurse!A$5:AU$105,39,FALSE)/VLOOKUP(A11,Ergebnis_je_Aktie_verwässert!A$3:AJ$103,10,FALSE),""),"")</f>
        <v>21.830935251798561</v>
      </c>
      <c r="H11" s="79">
        <f>IF(VLOOKUP(A11,Ergebnis_je_Aktie_verwässert!A$3:AJ$103,11,FALSE)&gt;0,IF(VLOOKUP(A11,Schlußkurse!A$5:AU$105,40,FALSE)&gt;0,VLOOKUP(A11,Schlußkurse!A$5:AU$105,40,FALSE)/VLOOKUP(A11,Ergebnis_je_Aktie_verwässert!A$3:AJ$103,11,FALSE),""),"")</f>
        <v>17.236286919831223</v>
      </c>
      <c r="I11" s="79">
        <f>IF(VLOOKUP(A11,Ergebnis_je_Aktie_verwässert!A$3:AJ$103,12,FALSE)&gt;0,IF(VLOOKUP(A11,Schlußkurse!A$5:AU$105,41,FALSE)&gt;0,VLOOKUP(A11,Schlußkurse!A$5:AU$105,41,FALSE)/VLOOKUP(A11,Ergebnis_je_Aktie_verwässert!A$3:AJ$103,12,FALSE),""),"")</f>
        <v>15.425101214574898</v>
      </c>
      <c r="J11" s="79">
        <f>IF(VLOOKUP(A11,Ergebnis_je_Aktie_verwässert!A$3:AJ$103,13,FALSE)&gt;0,IF(VLOOKUP(A11,Schlußkurse!A$5:AU$105,42,FALSE)&gt;0,VLOOKUP(A11,Schlußkurse!A$5:AU$105,42,FALSE)/VLOOKUP(A11,Ergebnis_je_Aktie_verwässert!A$3:AJ$103,13,FALSE),""),"")</f>
        <v>15.714285714285714</v>
      </c>
      <c r="K11" s="79">
        <f>IF(VLOOKUP(A11,Ergebnis_je_Aktie_verwässert!A$3:AJ$103,14,FALSE)&gt;0,IF(VLOOKUP(A11,Schlußkurse!A$5:AU$105,43,FALSE)&gt;0,VLOOKUP(A11,Schlußkurse!A$5:AU$105,43,FALSE)/VLOOKUP(A11,Ergebnis_je_Aktie_verwässert!A$3:AJ$103,14,FALSE),""),"")</f>
        <v>17.170068027210885</v>
      </c>
      <c r="L11" s="79">
        <f>IF(VLOOKUP(A11,Ergebnis_je_Aktie_verwässert!A$3:AJ$103,15,FALSE)&gt;0,IF(VLOOKUP(A11,Schlußkurse!A$5:AU$105,44,FALSE)&gt;0,VLOOKUP(A11,Schlußkurse!A$5:AU$105,44,FALSE)/VLOOKUP(A11,Ergebnis_je_Aktie_verwässert!A$3:AJ$103,15,FALSE),""),"")</f>
        <v>22.92258064516129</v>
      </c>
      <c r="M11" s="79">
        <f>IF(VLOOKUP(A11,Ergebnis_je_Aktie_verwässert!A$3:AJ$103,16,FALSE)&gt;0,IF(VLOOKUP(A11,Schlußkurse!A$5:AU$105,45,FALSE)&gt;0,VLOOKUP(A11,Schlußkurse!A$5:AU$105,45,FALSE)/VLOOKUP(A11,Ergebnis_je_Aktie_verwässert!A$3:AJ$103,16,FALSE),""),"")</f>
        <v>25.320754716981128</v>
      </c>
      <c r="N11" s="79">
        <f>IF(VLOOKUP(A11,Ergebnis_je_Aktie_verwässert!A$3:AJ$103,17,FALSE)&gt;0,IF(VLOOKUP(A11,Schlußkurse!A$5:AU$105,46,FALSE)&gt;0,VLOOKUP(A11,Schlußkurse!A$5:AU$105,46,FALSE)/VLOOKUP(A11,Ergebnis_je_Aktie_verwässert!A$3:AJ$103,17,FALSE),""),"")</f>
        <v>25.190789473684209</v>
      </c>
      <c r="O11" s="80">
        <f>IF(VLOOKUP(A11,Ergebnis_je_Aktie_verwässert!A$3:AJ$103,18,FALSE)&gt;0,IF(VLOOKUP(A11,Schlußkurse!A$5:AU$105,47,FALSE)&gt;0,VLOOKUP(A11,Schlußkurse!A$5:AU$105,47,FALSE)/VLOOKUP(A11,Ergebnis_je_Aktie_verwässert!A$3:AJ$103,18,FALSE),""),"")</f>
        <v>27.375000000000004</v>
      </c>
      <c r="P11" s="3">
        <f t="shared" si="0"/>
        <v>19.061111111111114</v>
      </c>
      <c r="Q11" s="3">
        <f ca="1">VLOOKUP(A11,Schlußkurse!A$5:AU$105,35,FALSE)/VLOOKUP(A11,Ergebnis_je_Aktie_verwässert!A$3:AK$103,23,FALSE)</f>
        <v>20.945920738014891</v>
      </c>
      <c r="R11" s="5">
        <f t="shared" ca="1" si="1"/>
        <v>9.8882463667350651E-2</v>
      </c>
    </row>
    <row r="12" spans="1:18" x14ac:dyDescent="0.25">
      <c r="A12" t="s">
        <v>16</v>
      </c>
      <c r="B12" t="s">
        <v>17</v>
      </c>
      <c r="C12" s="78">
        <f>IF(VLOOKUP(A12,Ergebnis_je_Aktie_verwässert!A$3:AJ$103,6,FALSE)&gt;0,IF(VLOOKUP(A12,Schlußkurse!A$5:AU$105,35,FALSE)&gt;0,VLOOKUP(A12,Schlußkurse!A$5:AU$105,35,FALSE)/VLOOKUP(A12,Ergebnis_je_Aktie_verwässert!A$3:AJ$103,6,FALSE),""),"")</f>
        <v>12.895502645502646</v>
      </c>
      <c r="D12" s="79">
        <f>IF(VLOOKUP(A12,Ergebnis_je_Aktie_verwässert!A$3:AJ$103,7,FALSE)&gt;0,IF(VLOOKUP(A12,Schlußkurse!A$5:AU$105,36,FALSE)&gt;0,VLOOKUP(A12,Schlußkurse!A$5:AU$105,36,FALSE)/VLOOKUP(A12,Ergebnis_je_Aktie_verwässert!A$3:AJ$103,7,FALSE),""),"")</f>
        <v>13.907275320970042</v>
      </c>
      <c r="E12" s="79">
        <f>IF(VLOOKUP(A12,Ergebnis_je_Aktie_verwässert!A$3:AJ$103,8,FALSE)&gt;0,IF(VLOOKUP(A12,Schlußkurse!A$5:AU$105,37,FALSE)&gt;0,VLOOKUP(A12,Schlußkurse!A$5:AU$105,37,FALSE)/VLOOKUP(A12,Ergebnis_je_Aktie_verwässert!A$3:AJ$103,8,FALSE),""),"")</f>
        <v>12.271781534460338</v>
      </c>
      <c r="F12" s="79">
        <f>IF(VLOOKUP(A12,Ergebnis_je_Aktie_verwässert!A$3:AJ$103,9,FALSE)&gt;0,IF(VLOOKUP(A12,Schlußkurse!A$5:AU$105,38,FALSE)&gt;0,VLOOKUP(A12,Schlußkurse!A$5:AU$105,38,FALSE)/VLOOKUP(A12,Ergebnis_je_Aktie_verwässert!A$3:AJ$103,9,FALSE),""),"")</f>
        <v>14.114104595879558</v>
      </c>
      <c r="G12" s="79">
        <f>IF(VLOOKUP(A12,Ergebnis_je_Aktie_verwässert!A$3:AJ$103,10,FALSE)&gt;0,IF(VLOOKUP(A12,Schlußkurse!A$5:AU$105,39,FALSE)&gt;0,VLOOKUP(A12,Schlußkurse!A$5:AU$105,39,FALSE)/VLOOKUP(A12,Ergebnis_je_Aktie_verwässert!A$3:AJ$103,10,FALSE),""),"")</f>
        <v>15.429423459244532</v>
      </c>
      <c r="H12" s="79">
        <f>IF(VLOOKUP(A12,Ergebnis_je_Aktie_verwässert!A$3:AJ$103,11,FALSE)&gt;0,IF(VLOOKUP(A12,Schlußkurse!A$5:AU$105,40,FALSE)&gt;0,VLOOKUP(A12,Schlußkurse!A$5:AU$105,40,FALSE)/VLOOKUP(A12,Ergebnis_je_Aktie_verwässert!A$3:AJ$103,11,FALSE),""),"")</f>
        <v>13.515873015873016</v>
      </c>
      <c r="I12" s="79">
        <f>IF(VLOOKUP(A12,Ergebnis_je_Aktie_verwässert!A$3:AJ$103,12,FALSE)&gt;0,IF(VLOOKUP(A12,Schlußkurse!A$5:AU$105,41,FALSE)&gt;0,VLOOKUP(A12,Schlußkurse!A$5:AU$105,41,FALSE)/VLOOKUP(A12,Ergebnis_je_Aktie_verwässert!A$3:AJ$103,12,FALSE),""),"")</f>
        <v>11.125000000000002</v>
      </c>
      <c r="J12" s="79">
        <f>IF(VLOOKUP(A12,Ergebnis_je_Aktie_verwässert!A$3:AJ$103,13,FALSE)&gt;0,IF(VLOOKUP(A12,Schlußkurse!A$5:AU$105,42,FALSE)&gt;0,VLOOKUP(A12,Schlußkurse!A$5:AU$105,42,FALSE)/VLOOKUP(A12,Ergebnis_je_Aktie_verwässert!A$3:AJ$103,13,FALSE),""),"")</f>
        <v>14.252252252252251</v>
      </c>
      <c r="K12" s="79">
        <f>IF(VLOOKUP(A12,Ergebnis_je_Aktie_verwässert!A$3:AJ$103,14,FALSE)&gt;0,IF(VLOOKUP(A12,Schlußkurse!A$5:AU$105,43,FALSE)&gt;0,VLOOKUP(A12,Schlußkurse!A$5:AU$105,43,FALSE)/VLOOKUP(A12,Ergebnis_je_Aktie_verwässert!A$3:AJ$103,14,FALSE),""),"")</f>
        <v>25</v>
      </c>
      <c r="L12" s="79">
        <f>IF(VLOOKUP(A12,Ergebnis_je_Aktie_verwässert!A$3:AJ$103,15,FALSE)&gt;0,IF(VLOOKUP(A12,Schlußkurse!A$5:AU$105,44,FALSE)&gt;0,VLOOKUP(A12,Schlußkurse!A$5:AU$105,44,FALSE)/VLOOKUP(A12,Ergebnis_je_Aktie_verwässert!A$3:AJ$103,15,FALSE),""),"")</f>
        <v>47.732673267326732</v>
      </c>
      <c r="M12" s="79">
        <f>IF(VLOOKUP(A12,Ergebnis_je_Aktie_verwässert!A$3:AJ$103,16,FALSE)&gt;0,IF(VLOOKUP(A12,Schlußkurse!A$5:AU$105,45,FALSE)&gt;0,VLOOKUP(A12,Schlußkurse!A$5:AU$105,45,FALSE)/VLOOKUP(A12,Ergebnis_je_Aktie_verwässert!A$3:AJ$103,16,FALSE),""),"")</f>
        <v>17.823834196891191</v>
      </c>
      <c r="N12" s="79">
        <f>IF(VLOOKUP(A12,Ergebnis_je_Aktie_verwässert!A$3:AJ$103,17,FALSE)&gt;0,IF(VLOOKUP(A12,Schlußkurse!A$5:AU$105,46,FALSE)&gt;0,VLOOKUP(A12,Schlußkurse!A$5:AU$105,46,FALSE)/VLOOKUP(A12,Ergebnis_je_Aktie_verwässert!A$3:AJ$103,17,FALSE),""),"")</f>
        <v>19.662576687116562</v>
      </c>
      <c r="O12" s="80">
        <f>IF(VLOOKUP(A12,Ergebnis_je_Aktie_verwässert!A$3:AJ$103,18,FALSE)&gt;0,IF(VLOOKUP(A12,Schlußkurse!A$5:AU$105,47,FALSE)&gt;0,VLOOKUP(A12,Schlußkurse!A$5:AU$105,47,FALSE)/VLOOKUP(A12,Ergebnis_je_Aktie_verwässert!A$3:AJ$103,18,FALSE),""),"")</f>
        <v>24.466942148760332</v>
      </c>
      <c r="P12" s="3">
        <f t="shared" si="0"/>
        <v>14.252252252252251</v>
      </c>
      <c r="Q12" s="3">
        <f ca="1">VLOOKUP(A12,Schlußkurse!A$5:AU$105,35,FALSE)/VLOOKUP(A12,Ergebnis_je_Aktie_verwässert!A$3:AK$103,23,FALSE)</f>
        <v>13.37739559987193</v>
      </c>
      <c r="R12" s="5">
        <f t="shared" ca="1" si="1"/>
        <v>-6.138374741732977E-2</v>
      </c>
    </row>
    <row r="13" spans="1:18" x14ac:dyDescent="0.25">
      <c r="A13" t="s">
        <v>18</v>
      </c>
      <c r="B13" t="s">
        <v>19</v>
      </c>
      <c r="C13" s="78">
        <f>IF(VLOOKUP(A13,Ergebnis_je_Aktie_verwässert!A$3:AJ$103,6,FALSE)&gt;0,IF(VLOOKUP(A13,Schlußkurse!A$5:AU$105,35,FALSE)&gt;0,VLOOKUP(A13,Schlußkurse!A$5:AU$105,35,FALSE)/VLOOKUP(A13,Ergebnis_je_Aktie_verwässert!A$3:AJ$103,6,FALSE),""),"")</f>
        <v>10.414383561643836</v>
      </c>
      <c r="D13" s="79">
        <f>IF(VLOOKUP(A13,Ergebnis_je_Aktie_verwässert!A$3:AJ$103,7,FALSE)&gt;0,IF(VLOOKUP(A13,Schlußkurse!A$5:AU$105,36,FALSE)&gt;0,VLOOKUP(A13,Schlußkurse!A$5:AU$105,36,FALSE)/VLOOKUP(A13,Ergebnis_je_Aktie_verwässert!A$3:AJ$103,7,FALSE),""),"")</f>
        <v>10.343537414965988</v>
      </c>
      <c r="E13" s="79">
        <f>IF(VLOOKUP(A13,Ergebnis_je_Aktie_verwässert!A$3:AJ$103,8,FALSE)&gt;0,IF(VLOOKUP(A13,Schlußkurse!A$5:AU$105,37,FALSE)&gt;0,VLOOKUP(A13,Schlußkurse!A$5:AU$105,37,FALSE)/VLOOKUP(A13,Ergebnis_je_Aktie_verwässert!A$3:AJ$103,8,FALSE),""),"")</f>
        <v>9.672535211267606</v>
      </c>
      <c r="F13" s="79">
        <f>IF(VLOOKUP(A13,Ergebnis_je_Aktie_verwässert!A$3:AJ$103,9,FALSE)&gt;0,IF(VLOOKUP(A13,Schlußkurse!A$5:AU$105,38,FALSE)&gt;0,VLOOKUP(A13,Schlußkurse!A$5:AU$105,38,FALSE)/VLOOKUP(A13,Ergebnis_je_Aktie_verwässert!A$3:AJ$103,9,FALSE),""),"")</f>
        <v>9.5564516129032242</v>
      </c>
      <c r="G13" s="79">
        <f>IF(VLOOKUP(A13,Ergebnis_je_Aktie_verwässert!A$3:AJ$103,10,FALSE)&gt;0,IF(VLOOKUP(A13,Schlußkurse!A$5:AU$105,39,FALSE)&gt;0,VLOOKUP(A13,Schlußkurse!A$5:AU$105,39,FALSE)/VLOOKUP(A13,Ergebnis_je_Aktie_verwässert!A$3:AJ$103,10,FALSE),""),"")</f>
        <v>8.0306513409961671</v>
      </c>
      <c r="H13" s="79">
        <f>IF(VLOOKUP(A13,Ergebnis_je_Aktie_verwässert!A$3:AJ$103,11,FALSE)&gt;0,IF(VLOOKUP(A13,Schlußkurse!A$5:AU$105,40,FALSE)&gt;0,VLOOKUP(A13,Schlußkurse!A$5:AU$105,40,FALSE)/VLOOKUP(A13,Ergebnis_je_Aktie_verwässert!A$3:AJ$103,11,FALSE),""),"")</f>
        <v>6.5176366843033504</v>
      </c>
      <c r="I13" s="79">
        <f>IF(VLOOKUP(A13,Ergebnis_je_Aktie_verwässert!A$3:AJ$103,12,FALSE)&gt;0,IF(VLOOKUP(A13,Schlußkurse!A$5:AU$105,41,FALSE)&gt;0,VLOOKUP(A13,Schlußkurse!A$5:AU$105,41,FALSE)/VLOOKUP(A13,Ergebnis_je_Aktie_verwässert!A$3:AJ$103,12,FALSE),""),"")</f>
        <v>16.228102189781023</v>
      </c>
      <c r="J13" s="79">
        <f>IF(VLOOKUP(A13,Ergebnis_je_Aktie_verwässert!A$3:AJ$103,13,FALSE)&gt;0,IF(VLOOKUP(A13,Schlußkurse!A$5:AU$105,42,FALSE)&gt;0,VLOOKUP(A13,Schlußkurse!A$5:AU$105,42,FALSE)/VLOOKUP(A13,Ergebnis_je_Aktie_verwässert!A$3:AJ$103,13,FALSE),""),"")</f>
        <v>7.837230215827339</v>
      </c>
      <c r="K13" s="79">
        <f>IF(VLOOKUP(A13,Ergebnis_je_Aktie_verwässert!A$3:AJ$103,14,FALSE)&gt;0,IF(VLOOKUP(A13,Schlußkurse!A$5:AU$105,43,FALSE)&gt;0,VLOOKUP(A13,Schlußkurse!A$5:AU$105,43,FALSE)/VLOOKUP(A13,Ergebnis_je_Aktie_verwässert!A$3:AJ$103,14,FALSE),""),"")</f>
        <v>7.8947368421052628</v>
      </c>
      <c r="L13" s="79" t="str">
        <f>IF(VLOOKUP(A13,Ergebnis_je_Aktie_verwässert!A$3:AJ$103,15,FALSE)&gt;0,IF(VLOOKUP(A13,Schlußkurse!A$5:AU$105,44,FALSE)&gt;0,VLOOKUP(A13,Schlußkurse!A$5:AU$105,44,FALSE)/VLOOKUP(A13,Ergebnis_je_Aktie_verwässert!A$3:AJ$103,15,FALSE),""),"")</f>
        <v/>
      </c>
      <c r="M13" s="79">
        <f>IF(VLOOKUP(A13,Ergebnis_je_Aktie_verwässert!A$3:AJ$103,16,FALSE)&gt;0,IF(VLOOKUP(A13,Schlußkurse!A$5:AU$105,45,FALSE)&gt;0,VLOOKUP(A13,Schlußkurse!A$5:AU$105,45,FALSE)/VLOOKUP(A13,Ergebnis_je_Aktie_verwässert!A$3:AJ$103,16,FALSE),""),"")</f>
        <v>8.7385657820440414</v>
      </c>
      <c r="N13" s="79">
        <f>IF(VLOOKUP(A13,Ergebnis_je_Aktie_verwässert!A$3:AJ$103,17,FALSE)&gt;0,IF(VLOOKUP(A13,Schlußkurse!A$5:AU$105,46,FALSE)&gt;0,VLOOKUP(A13,Schlußkurse!A$5:AU$105,46,FALSE)/VLOOKUP(A13,Ergebnis_je_Aktie_verwässert!A$3:AJ$103,17,FALSE),""),"")</f>
        <v>7.6245530393325378</v>
      </c>
      <c r="O13" s="80">
        <f>IF(VLOOKUP(A13,Ergebnis_je_Aktie_verwässert!A$3:AJ$103,18,FALSE)&gt;0,IF(VLOOKUP(A13,Schlußkurse!A$5:AU$105,47,FALSE)&gt;0,VLOOKUP(A13,Schlußkurse!A$5:AU$105,47,FALSE)/VLOOKUP(A13,Ergebnis_je_Aktie_verwässert!A$3:AJ$103,18,FALSE),""),"")</f>
        <v>8.6832740213523127</v>
      </c>
      <c r="P13" s="3">
        <f t="shared" si="0"/>
        <v>8.7109199016981762</v>
      </c>
      <c r="Q13" s="3">
        <f ca="1">VLOOKUP(A13,Schlußkurse!A$5:AU$105,35,FALSE)/VLOOKUP(A13,Ergebnis_je_Aktie_verwässert!A$3:AK$103,23,FALSE)</f>
        <v>10.581480765513243</v>
      </c>
      <c r="R13" s="5">
        <f t="shared" ca="1" si="1"/>
        <v>0.21473746572395935</v>
      </c>
    </row>
    <row r="14" spans="1:18" x14ac:dyDescent="0.25">
      <c r="A14" t="s">
        <v>20</v>
      </c>
      <c r="B14" t="s">
        <v>21</v>
      </c>
      <c r="C14" s="78">
        <f>IF(VLOOKUP(A14,Ergebnis_je_Aktie_verwässert!A$3:AJ$103,6,FALSE)&gt;0,IF(VLOOKUP(A14,Schlußkurse!A$5:AU$105,35,FALSE)&gt;0,VLOOKUP(A14,Schlußkurse!A$5:AU$105,35,FALSE)/VLOOKUP(A14,Ergebnis_je_Aktie_verwässert!A$3:AJ$103,6,FALSE),""),"")</f>
        <v>10.508982035928144</v>
      </c>
      <c r="D14" s="79">
        <f>IF(VLOOKUP(A14,Ergebnis_je_Aktie_verwässert!A$3:AJ$103,7,FALSE)&gt;0,IF(VLOOKUP(A14,Schlußkurse!A$5:AU$105,36,FALSE)&gt;0,VLOOKUP(A14,Schlußkurse!A$5:AU$105,36,FALSE)/VLOOKUP(A14,Ergebnis_je_Aktie_verwässert!A$3:AJ$103,7,FALSE),""),"")</f>
        <v>10.446428571428571</v>
      </c>
      <c r="E14" s="79">
        <f>IF(VLOOKUP(A14,Ergebnis_je_Aktie_verwässert!A$3:AJ$103,8,FALSE)&gt;0,IF(VLOOKUP(A14,Schlußkurse!A$5:AU$105,37,FALSE)&gt;0,VLOOKUP(A14,Schlußkurse!A$5:AU$105,37,FALSE)/VLOOKUP(A14,Ergebnis_je_Aktie_verwässert!A$3:AJ$103,8,FALSE),""),"")</f>
        <v>9.75</v>
      </c>
      <c r="F14" s="79">
        <f>IF(VLOOKUP(A14,Ergebnis_je_Aktie_verwässert!A$3:AJ$103,9,FALSE)&gt;0,IF(VLOOKUP(A14,Schlußkurse!A$5:AU$105,38,FALSE)&gt;0,VLOOKUP(A14,Schlußkurse!A$5:AU$105,38,FALSE)/VLOOKUP(A14,Ergebnis_je_Aktie_verwässert!A$3:AJ$103,9,FALSE),""),"")</f>
        <v>8.7465865647187346</v>
      </c>
      <c r="G14" s="79">
        <f>IF(VLOOKUP(A14,Ergebnis_je_Aktie_verwässert!A$3:AJ$103,10,FALSE)&gt;0,IF(VLOOKUP(A14,Schlußkurse!A$5:AU$105,39,FALSE)&gt;0,VLOOKUP(A14,Schlußkurse!A$5:AU$105,39,FALSE)/VLOOKUP(A14,Ergebnis_je_Aktie_verwässert!A$3:AJ$103,10,FALSE),""),"")</f>
        <v>7.3513513513513518</v>
      </c>
      <c r="H14" s="79">
        <f>IF(VLOOKUP(A14,Ergebnis_je_Aktie_verwässert!A$3:AJ$103,11,FALSE)&gt;0,IF(VLOOKUP(A14,Schlußkurse!A$5:AU$105,40,FALSE)&gt;0,VLOOKUP(A14,Schlußkurse!A$5:AU$105,40,FALSE)/VLOOKUP(A14,Ergebnis_je_Aktie_verwässert!A$3:AJ$103,11,FALSE),""),"")</f>
        <v>5.2714126807563959</v>
      </c>
      <c r="I14" s="79">
        <f>IF(VLOOKUP(A14,Ergebnis_je_Aktie_verwässert!A$3:AJ$103,12,FALSE)&gt;0,IF(VLOOKUP(A14,Schlußkurse!A$5:AU$105,41,FALSE)&gt;0,VLOOKUP(A14,Schlußkurse!A$5:AU$105,41,FALSE)/VLOOKUP(A14,Ergebnis_je_Aktie_verwässert!A$3:AJ$103,12,FALSE),""),"")</f>
        <v>28.794416243654823</v>
      </c>
      <c r="J14" s="79">
        <f>IF(VLOOKUP(A14,Ergebnis_je_Aktie_verwässert!A$3:AJ$103,13,FALSE)&gt;0,IF(VLOOKUP(A14,Schlußkurse!A$5:AU$105,42,FALSE)&gt;0,VLOOKUP(A14,Schlußkurse!A$5:AU$105,42,FALSE)/VLOOKUP(A14,Ergebnis_je_Aktie_verwässert!A$3:AJ$103,13,FALSE),""),"")</f>
        <v>8.320826952526799</v>
      </c>
      <c r="K14" s="79">
        <f>IF(VLOOKUP(A14,Ergebnis_je_Aktie_verwässert!A$3:AJ$103,14,FALSE)&gt;0,IF(VLOOKUP(A14,Schlußkurse!A$5:AU$105,43,FALSE)&gt;0,VLOOKUP(A14,Schlußkurse!A$5:AU$105,43,FALSE)/VLOOKUP(A14,Ergebnis_je_Aktie_verwässert!A$3:AJ$103,14,FALSE),""),"")</f>
        <v>8.5714285714285712</v>
      </c>
      <c r="L14" s="79">
        <f>IF(VLOOKUP(A14,Ergebnis_je_Aktie_verwässert!A$3:AJ$103,15,FALSE)&gt;0,IF(VLOOKUP(A14,Schlußkurse!A$5:AU$105,44,FALSE)&gt;0,VLOOKUP(A14,Schlußkurse!A$5:AU$105,44,FALSE)/VLOOKUP(A14,Ergebnis_je_Aktie_verwässert!A$3:AJ$103,15,FALSE),""),"")</f>
        <v>17.77272727272727</v>
      </c>
      <c r="M14" s="79">
        <f>IF(VLOOKUP(A14,Ergebnis_je_Aktie_verwässert!A$3:AJ$103,16,FALSE)&gt;0,IF(VLOOKUP(A14,Schlußkurse!A$5:AU$105,45,FALSE)&gt;0,VLOOKUP(A14,Schlußkurse!A$5:AU$105,45,FALSE)/VLOOKUP(A14,Ergebnis_je_Aktie_verwässert!A$3:AJ$103,16,FALSE),""),"")</f>
        <v>7.2860335195530723</v>
      </c>
      <c r="N14" s="79">
        <f>IF(VLOOKUP(A14,Ergebnis_je_Aktie_verwässert!A$3:AJ$103,17,FALSE)&gt;0,IF(VLOOKUP(A14,Schlußkurse!A$5:AU$105,46,FALSE)&gt;0,VLOOKUP(A14,Schlußkurse!A$5:AU$105,46,FALSE)/VLOOKUP(A14,Ergebnis_je_Aktie_verwässert!A$3:AJ$103,17,FALSE),""),"")</f>
        <v>7.5648148148148149</v>
      </c>
      <c r="O14" s="80">
        <f>IF(VLOOKUP(A14,Ergebnis_je_Aktie_verwässert!A$3:AJ$103,18,FALSE)&gt;0,IF(VLOOKUP(A14,Schlußkurse!A$5:AU$105,47,FALSE)&gt;0,VLOOKUP(A14,Schlußkurse!A$5:AU$105,47,FALSE)/VLOOKUP(A14,Ergebnis_je_Aktie_verwässert!A$3:AJ$103,18,FALSE),""),"")</f>
        <v>7.7307692307692317</v>
      </c>
      <c r="P14" s="3">
        <f t="shared" si="0"/>
        <v>8.5714285714285712</v>
      </c>
      <c r="Q14" s="3">
        <f ca="1">VLOOKUP(A14,Schlußkurse!A$5:AU$105,35,FALSE)/VLOOKUP(A14,Ergebnis_je_Aktie_verwässert!A$3:AK$103,23,FALSE)</f>
        <v>10.364853336833125</v>
      </c>
      <c r="R14" s="5">
        <f t="shared" ca="1" si="1"/>
        <v>0.20923288929719797</v>
      </c>
    </row>
    <row r="15" spans="1:18" x14ac:dyDescent="0.25">
      <c r="A15" t="s">
        <v>22</v>
      </c>
      <c r="B15" t="s">
        <v>23</v>
      </c>
      <c r="C15" s="78">
        <f>IF(VLOOKUP(A15,Ergebnis_je_Aktie_verwässert!A$3:AJ$103,6,FALSE)&gt;0,IF(VLOOKUP(A15,Schlußkurse!A$5:AU$105,35,FALSE)&gt;0,VLOOKUP(A15,Schlußkurse!A$5:AU$105,35,FALSE)/VLOOKUP(A15,Ergebnis_je_Aktie_verwässert!A$3:AJ$103,6,FALSE),""),"")</f>
        <v>14.138095238095238</v>
      </c>
      <c r="D15" s="79">
        <f>IF(VLOOKUP(A15,Ergebnis_je_Aktie_verwässert!A$3:AJ$103,7,FALSE)&gt;0,IF(VLOOKUP(A15,Schlußkurse!A$5:AU$105,36,FALSE)&gt;0,VLOOKUP(A15,Schlußkurse!A$5:AU$105,36,FALSE)/VLOOKUP(A15,Ergebnis_je_Aktie_verwässert!A$3:AJ$103,7,FALSE),""),"")</f>
        <v>15.626315789473683</v>
      </c>
      <c r="E15" s="79">
        <f>IF(VLOOKUP(A15,Ergebnis_je_Aktie_verwässert!A$3:AJ$103,8,FALSE)&gt;0,IF(VLOOKUP(A15,Schlußkurse!A$5:AU$105,37,FALSE)&gt;0,VLOOKUP(A15,Schlußkurse!A$5:AU$105,37,FALSE)/VLOOKUP(A15,Ergebnis_je_Aktie_verwässert!A$3:AJ$103,8,FALSE),""),"")</f>
        <v>13.783037475345166</v>
      </c>
      <c r="F15" s="79">
        <f>IF(VLOOKUP(A15,Ergebnis_je_Aktie_verwässert!A$3:AJ$103,9,FALSE)&gt;0,IF(VLOOKUP(A15,Schlußkurse!A$5:AU$105,38,FALSE)&gt;0,VLOOKUP(A15,Schlußkurse!A$5:AU$105,38,FALSE)/VLOOKUP(A15,Ergebnis_je_Aktie_verwässert!A$3:AJ$103,9,FALSE),""),"")</f>
        <v>13.8375</v>
      </c>
      <c r="G15" s="79">
        <f>IF(VLOOKUP(A15,Ergebnis_je_Aktie_verwässert!A$3:AJ$103,10,FALSE)&gt;0,IF(VLOOKUP(A15,Schlußkurse!A$5:AU$105,39,FALSE)&gt;0,VLOOKUP(A15,Schlußkurse!A$5:AU$105,39,FALSE)/VLOOKUP(A15,Ergebnis_je_Aktie_verwässert!A$3:AJ$103,10,FALSE),""),"")</f>
        <v>13.500948766603418</v>
      </c>
      <c r="H15" s="79">
        <f>IF(VLOOKUP(A15,Ergebnis_je_Aktie_verwässert!A$3:AJ$103,11,FALSE)&gt;0,IF(VLOOKUP(A15,Schlußkurse!A$5:AU$105,40,FALSE)&gt;0,VLOOKUP(A15,Schlußkurse!A$5:AU$105,40,FALSE)/VLOOKUP(A15,Ergebnis_je_Aktie_verwässert!A$3:AJ$103,11,FALSE),""),"")</f>
        <v>10.148775894538607</v>
      </c>
      <c r="I15" s="79">
        <f>IF(VLOOKUP(A15,Ergebnis_je_Aktie_verwässert!A$3:AJ$103,12,FALSE)&gt;0,IF(VLOOKUP(A15,Schlußkurse!A$5:AU$105,41,FALSE)&gt;0,VLOOKUP(A15,Schlußkurse!A$5:AU$105,41,FALSE)/VLOOKUP(A15,Ergebnis_je_Aktie_verwässert!A$3:AJ$103,12,FALSE),""),"")</f>
        <v>8.8707280832095101</v>
      </c>
      <c r="J15" s="79">
        <f>IF(VLOOKUP(A15,Ergebnis_je_Aktie_verwässert!A$3:AJ$103,13,FALSE)&gt;0,IF(VLOOKUP(A15,Schlußkurse!A$5:AU$105,42,FALSE)&gt;0,VLOOKUP(A15,Schlußkurse!A$5:AU$105,42,FALSE)/VLOOKUP(A15,Ergebnis_je_Aktie_verwässert!A$3:AJ$103,13,FALSE),""),"")</f>
        <v>8.762096774193548</v>
      </c>
      <c r="K15" s="79">
        <f>IF(VLOOKUP(A15,Ergebnis_je_Aktie_verwässert!A$3:AJ$103,14,FALSE)&gt;0,IF(VLOOKUP(A15,Schlußkurse!A$5:AU$105,43,FALSE)&gt;0,VLOOKUP(A15,Schlußkurse!A$5:AU$105,43,FALSE)/VLOOKUP(A15,Ergebnis_je_Aktie_verwässert!A$3:AJ$103,14,FALSE),""),"")</f>
        <v>18.006493506493506</v>
      </c>
      <c r="L15" s="79">
        <f>IF(VLOOKUP(A15,Ergebnis_je_Aktie_verwässert!A$3:AJ$103,15,FALSE)&gt;0,IF(VLOOKUP(A15,Schlußkurse!A$5:AU$105,44,FALSE)&gt;0,VLOOKUP(A15,Schlußkurse!A$5:AU$105,44,FALSE)/VLOOKUP(A15,Ergebnis_je_Aktie_verwässert!A$3:AJ$103,15,FALSE),""),"")</f>
        <v>16.199680511182109</v>
      </c>
      <c r="M15" s="79">
        <f>IF(VLOOKUP(A15,Ergebnis_je_Aktie_verwässert!A$3:AJ$103,16,FALSE)&gt;0,IF(VLOOKUP(A15,Schlußkurse!A$5:AU$105,45,FALSE)&gt;0,VLOOKUP(A15,Schlußkurse!A$5:AU$105,45,FALSE)/VLOOKUP(A15,Ergebnis_je_Aktie_verwässert!A$3:AJ$103,16,FALSE),""),"")</f>
        <v>8.8762019230769216</v>
      </c>
      <c r="N15" s="79">
        <f>IF(VLOOKUP(A15,Ergebnis_je_Aktie_verwässert!A$3:AJ$103,17,FALSE)&gt;0,IF(VLOOKUP(A15,Schlußkurse!A$5:AU$105,46,FALSE)&gt;0,VLOOKUP(A15,Schlußkurse!A$5:AU$105,46,FALSE)/VLOOKUP(A15,Ergebnis_je_Aktie_verwässert!A$3:AJ$103,17,FALSE),""),"")</f>
        <v>10.142633228840124</v>
      </c>
      <c r="O15" s="80">
        <f>IF(VLOOKUP(A15,Ergebnis_je_Aktie_verwässert!A$3:AJ$103,18,FALSE)&gt;0,IF(VLOOKUP(A15,Schlußkurse!A$5:AU$105,47,FALSE)&gt;0,VLOOKUP(A15,Schlußkurse!A$5:AU$105,47,FALSE)/VLOOKUP(A15,Ergebnis_je_Aktie_verwässert!A$3:AJ$103,18,FALSE),""),"")</f>
        <v>9.2334494773519165</v>
      </c>
      <c r="P15" s="3">
        <f t="shared" si="0"/>
        <v>13.500948766603418</v>
      </c>
      <c r="Q15" s="3">
        <f ca="1">VLOOKUP(A15,Schlußkurse!A$5:AU$105,35,FALSE)/VLOOKUP(A15,Ergebnis_je_Aktie_verwässert!A$3:AK$103,23,FALSE)</f>
        <v>16.858143276237339</v>
      </c>
      <c r="R15" s="5">
        <f t="shared" ca="1" si="1"/>
        <v>0.24866359895672185</v>
      </c>
    </row>
    <row r="16" spans="1:18" x14ac:dyDescent="0.25">
      <c r="A16" t="s">
        <v>24</v>
      </c>
      <c r="B16" t="s">
        <v>25</v>
      </c>
      <c r="C16" s="78">
        <f>IF(VLOOKUP(A16,Ergebnis_je_Aktie_verwässert!A$3:AJ$103,6,FALSE)&gt;0,IF(VLOOKUP(A16,Schlußkurse!A$5:AU$105,35,FALSE)&gt;0,VLOOKUP(A16,Schlußkurse!A$5:AU$105,35,FALSE)/VLOOKUP(A16,Ergebnis_je_Aktie_verwässert!A$3:AJ$103,6,FALSE),""),"")</f>
        <v>18.016759776536311</v>
      </c>
      <c r="D16" s="79">
        <f>IF(VLOOKUP(A16,Ergebnis_je_Aktie_verwässert!A$3:AJ$103,7,FALSE)&gt;0,IF(VLOOKUP(A16,Schlußkurse!A$5:AU$105,36,FALSE)&gt;0,VLOOKUP(A16,Schlußkurse!A$5:AU$105,36,FALSE)/VLOOKUP(A16,Ergebnis_je_Aktie_verwässert!A$3:AJ$103,7,FALSE),""),"")</f>
        <v>20.541401273885349</v>
      </c>
      <c r="E16" s="79">
        <f>IF(VLOOKUP(A16,Ergebnis_je_Aktie_verwässert!A$3:AJ$103,8,FALSE)&gt;0,IF(VLOOKUP(A16,Schlußkurse!A$5:AU$105,37,FALSE)&gt;0,VLOOKUP(A16,Schlußkurse!A$5:AU$105,37,FALSE)/VLOOKUP(A16,Ergebnis_je_Aktie_verwässert!A$3:AJ$103,8,FALSE),""),"")</f>
        <v>22.332015810276683</v>
      </c>
      <c r="F16" s="79">
        <f>IF(VLOOKUP(A16,Ergebnis_je_Aktie_verwässert!A$3:AJ$103,9,FALSE)&gt;0,IF(VLOOKUP(A16,Schlußkurse!A$5:AU$105,38,FALSE)&gt;0,VLOOKUP(A16,Schlußkurse!A$5:AU$105,38,FALSE)/VLOOKUP(A16,Ergebnis_je_Aktie_verwässert!A$3:AJ$103,9,FALSE),""),"")</f>
        <v>24.625603864734302</v>
      </c>
      <c r="G16" s="79">
        <f>IF(VLOOKUP(A16,Ergebnis_je_Aktie_verwässert!A$3:AJ$103,10,FALSE)&gt;0,IF(VLOOKUP(A16,Schlußkurse!A$5:AU$105,39,FALSE)&gt;0,VLOOKUP(A16,Schlußkurse!A$5:AU$105,39,FALSE)/VLOOKUP(A16,Ergebnis_je_Aktie_verwässert!A$3:AJ$103,10,FALSE),""),"")</f>
        <v>18.624352331606218</v>
      </c>
      <c r="H16" s="79">
        <f>IF(VLOOKUP(A16,Ergebnis_je_Aktie_verwässert!A$3:AJ$103,11,FALSE)&gt;0,IF(VLOOKUP(A16,Schlußkurse!A$5:AU$105,40,FALSE)&gt;0,VLOOKUP(A16,Schlußkurse!A$5:AU$105,40,FALSE)/VLOOKUP(A16,Ergebnis_je_Aktie_verwässert!A$3:AJ$103,11,FALSE),""),"")</f>
        <v>16.689189189189189</v>
      </c>
      <c r="I16" s="79">
        <f>IF(VLOOKUP(A16,Ergebnis_je_Aktie_verwässert!A$3:AJ$103,12,FALSE)&gt;0,IF(VLOOKUP(A16,Schlußkurse!A$5:AU$105,41,FALSE)&gt;0,VLOOKUP(A16,Schlußkurse!A$5:AU$105,41,FALSE)/VLOOKUP(A16,Ergebnis_je_Aktie_verwässert!A$3:AJ$103,12,FALSE),""),"")</f>
        <v>18.49498327759197</v>
      </c>
      <c r="J16" s="79">
        <f>IF(VLOOKUP(A16,Ergebnis_je_Aktie_verwässert!A$3:AJ$103,13,FALSE)&gt;0,IF(VLOOKUP(A16,Schlußkurse!A$5:AU$105,42,FALSE)&gt;0,VLOOKUP(A16,Schlußkurse!A$5:AU$105,42,FALSE)/VLOOKUP(A16,Ergebnis_je_Aktie_verwässert!A$3:AJ$103,13,FALSE),""),"")</f>
        <v>35.64331210191083</v>
      </c>
      <c r="K16" s="79">
        <f>IF(VLOOKUP(A16,Ergebnis_je_Aktie_verwässert!A$3:AJ$103,14,FALSE)&gt;0,IF(VLOOKUP(A16,Schlußkurse!A$5:AU$105,43,FALSE)&gt;0,VLOOKUP(A16,Schlußkurse!A$5:AU$105,43,FALSE)/VLOOKUP(A16,Ergebnis_je_Aktie_verwässert!A$3:AJ$103,14,FALSE),""),"")</f>
        <v>24.441176470588236</v>
      </c>
      <c r="L16" s="79">
        <f>IF(VLOOKUP(A16,Ergebnis_je_Aktie_verwässert!A$3:AJ$103,15,FALSE)&gt;0,IF(VLOOKUP(A16,Schlußkurse!A$5:AU$105,44,FALSE)&gt;0,VLOOKUP(A16,Schlußkurse!A$5:AU$105,44,FALSE)/VLOOKUP(A16,Ergebnis_je_Aktie_verwässert!A$3:AJ$103,15,FALSE),""),"")</f>
        <v>28.166666666666664</v>
      </c>
      <c r="M16" s="79">
        <f>IF(VLOOKUP(A16,Ergebnis_je_Aktie_verwässert!A$3:AJ$103,16,FALSE)&gt;0,IF(VLOOKUP(A16,Schlußkurse!A$5:AU$105,45,FALSE)&gt;0,VLOOKUP(A16,Schlußkurse!A$5:AU$105,45,FALSE)/VLOOKUP(A16,Ergebnis_je_Aktie_verwässert!A$3:AJ$103,16,FALSE),""),"")</f>
        <v>10.7</v>
      </c>
      <c r="N16" s="79">
        <f>IF(VLOOKUP(A16,Ergebnis_je_Aktie_verwässert!A$3:AJ$103,17,FALSE)&gt;0,IF(VLOOKUP(A16,Schlußkurse!A$5:AU$105,46,FALSE)&gt;0,VLOOKUP(A16,Schlußkurse!A$5:AU$105,46,FALSE)/VLOOKUP(A16,Ergebnis_je_Aktie_verwässert!A$3:AJ$103,17,FALSE),""),"")</f>
        <v>15.896396396396394</v>
      </c>
      <c r="O16" s="80">
        <f>IF(VLOOKUP(A16,Ergebnis_je_Aktie_verwässert!A$3:AJ$103,18,FALSE)&gt;0,IF(VLOOKUP(A16,Schlußkurse!A$5:AU$105,47,FALSE)&gt;0,VLOOKUP(A16,Schlußkurse!A$5:AU$105,47,FALSE)/VLOOKUP(A16,Ergebnis_je_Aktie_verwässert!A$3:AJ$103,18,FALSE),""),"")</f>
        <v>11.388127853881279</v>
      </c>
      <c r="P16" s="3">
        <f t="shared" si="0"/>
        <v>18.624352331606218</v>
      </c>
      <c r="Q16" s="3">
        <f ca="1">VLOOKUP(A16,Schlußkurse!A$5:AU$105,35,FALSE)/VLOOKUP(A16,Ergebnis_je_Aktie_verwässert!A$3:AK$103,23,FALSE)</f>
        <v>23.568340066178113</v>
      </c>
      <c r="R16" s="5">
        <f t="shared" ca="1" si="1"/>
        <v>0.26545823696546833</v>
      </c>
    </row>
    <row r="17" spans="1:18" x14ac:dyDescent="0.25">
      <c r="A17" t="s">
        <v>26</v>
      </c>
      <c r="B17" t="s">
        <v>27</v>
      </c>
      <c r="C17" s="78">
        <f>IF(VLOOKUP(A17,Ergebnis_je_Aktie_verwässert!A$3:AJ$103,6,FALSE)&gt;0,IF(VLOOKUP(A17,Schlußkurse!A$5:AU$105,35,FALSE)&gt;0,VLOOKUP(A17,Schlußkurse!A$5:AU$105,35,FALSE)/VLOOKUP(A17,Ergebnis_je_Aktie_verwässert!A$3:AJ$103,6,FALSE),""),"")</f>
        <v>13.177884615384615</v>
      </c>
      <c r="D17" s="79">
        <f>IF(VLOOKUP(A17,Ergebnis_je_Aktie_verwässert!A$3:AJ$103,7,FALSE)&gt;0,IF(VLOOKUP(A17,Schlußkurse!A$5:AU$105,36,FALSE)&gt;0,VLOOKUP(A17,Schlußkurse!A$5:AU$105,36,FALSE)/VLOOKUP(A17,Ergebnis_je_Aktie_verwässert!A$3:AJ$103,7,FALSE),""),"")</f>
        <v>15.227777777777778</v>
      </c>
      <c r="E17" s="79">
        <f>IF(VLOOKUP(A17,Ergebnis_je_Aktie_verwässert!A$3:AJ$103,8,FALSE)&gt;0,IF(VLOOKUP(A17,Schlußkurse!A$5:AU$105,37,FALSE)&gt;0,VLOOKUP(A17,Schlußkurse!A$5:AU$105,37,FALSE)/VLOOKUP(A17,Ergebnis_je_Aktie_verwässert!A$3:AJ$103,8,FALSE),""),"")</f>
        <v>14.899999999999999</v>
      </c>
      <c r="F17" s="79">
        <f>IF(VLOOKUP(A17,Ergebnis_je_Aktie_verwässert!A$3:AJ$103,9,FALSE)&gt;0,IF(VLOOKUP(A17,Schlußkurse!A$5:AU$105,38,FALSE)&gt;0,VLOOKUP(A17,Schlußkurse!A$5:AU$105,38,FALSE)/VLOOKUP(A17,Ergebnis_je_Aktie_verwässert!A$3:AJ$103,9,FALSE),""),"")</f>
        <v>19.401639344262296</v>
      </c>
      <c r="G17" s="79">
        <f>IF(VLOOKUP(A17,Ergebnis_je_Aktie_verwässert!A$3:AJ$103,10,FALSE)&gt;0,IF(VLOOKUP(A17,Schlußkurse!A$5:AU$105,39,FALSE)&gt;0,VLOOKUP(A17,Schlußkurse!A$5:AU$105,39,FALSE)/VLOOKUP(A17,Ergebnis_je_Aktie_verwässert!A$3:AJ$103,10,FALSE),""),"")</f>
        <v>10.089108910891088</v>
      </c>
      <c r="H17" s="79">
        <f>IF(VLOOKUP(A17,Ergebnis_je_Aktie_verwässert!A$3:AJ$103,11,FALSE)&gt;0,IF(VLOOKUP(A17,Schlußkurse!A$5:AU$105,40,FALSE)&gt;0,VLOOKUP(A17,Schlußkurse!A$5:AU$105,40,FALSE)/VLOOKUP(A17,Ergebnis_je_Aktie_verwässert!A$3:AJ$103,11,FALSE),""),"")</f>
        <v>15.385057471264368</v>
      </c>
      <c r="I17" s="79">
        <f>IF(VLOOKUP(A17,Ergebnis_je_Aktie_verwässert!A$3:AJ$103,12,FALSE)&gt;0,IF(VLOOKUP(A17,Schlußkurse!A$5:AU$105,41,FALSE)&gt;0,VLOOKUP(A17,Schlußkurse!A$5:AU$105,41,FALSE)/VLOOKUP(A17,Ergebnis_je_Aktie_verwässert!A$3:AJ$103,12,FALSE),""),"")</f>
        <v>14.137500000000001</v>
      </c>
      <c r="J17" s="79">
        <f>IF(VLOOKUP(A17,Ergebnis_je_Aktie_verwässert!A$3:AJ$103,13,FALSE)&gt;0,IF(VLOOKUP(A17,Schlußkurse!A$5:AU$105,42,FALSE)&gt;0,VLOOKUP(A17,Schlußkurse!A$5:AU$105,42,FALSE)/VLOOKUP(A17,Ergebnis_je_Aktie_verwässert!A$3:AJ$103,13,FALSE),""),"")</f>
        <v>8.6755555555555546</v>
      </c>
      <c r="K17" s="79">
        <f>IF(VLOOKUP(A17,Ergebnis_je_Aktie_verwässert!A$3:AJ$103,14,FALSE)&gt;0,IF(VLOOKUP(A17,Schlußkurse!A$5:AU$105,43,FALSE)&gt;0,VLOOKUP(A17,Schlußkurse!A$5:AU$105,43,FALSE)/VLOOKUP(A17,Ergebnis_je_Aktie_verwässert!A$3:AJ$103,14,FALSE),""),"")</f>
        <v>9.2690058479532169</v>
      </c>
      <c r="L17" s="79">
        <f>IF(VLOOKUP(A17,Ergebnis_je_Aktie_verwässert!A$3:AJ$103,15,FALSE)&gt;0,IF(VLOOKUP(A17,Schlußkurse!A$5:AU$105,44,FALSE)&gt;0,VLOOKUP(A17,Schlußkurse!A$5:AU$105,44,FALSE)/VLOOKUP(A17,Ergebnis_je_Aktie_verwässert!A$3:AJ$103,15,FALSE),""),"")</f>
        <v>13.631901840490798</v>
      </c>
      <c r="M17" s="79">
        <f>IF(VLOOKUP(A17,Ergebnis_je_Aktie_verwässert!A$3:AJ$103,16,FALSE)&gt;0,IF(VLOOKUP(A17,Schlußkurse!A$5:AU$105,45,FALSE)&gt;0,VLOOKUP(A17,Schlußkurse!A$5:AU$105,45,FALSE)/VLOOKUP(A17,Ergebnis_je_Aktie_verwässert!A$3:AJ$103,16,FALSE),""),"")</f>
        <v>8.620320855614974</v>
      </c>
      <c r="N17" s="79">
        <f>IF(VLOOKUP(A17,Ergebnis_je_Aktie_verwässert!A$3:AJ$103,17,FALSE)&gt;0,IF(VLOOKUP(A17,Schlußkurse!A$5:AU$105,46,FALSE)&gt;0,VLOOKUP(A17,Schlußkurse!A$5:AU$105,46,FALSE)/VLOOKUP(A17,Ergebnis_je_Aktie_verwässert!A$3:AJ$103,17,FALSE),""),"")</f>
        <v>9.7769230769230777</v>
      </c>
      <c r="O17" s="80">
        <f>IF(VLOOKUP(A17,Ergebnis_je_Aktie_verwässert!A$3:AJ$103,18,FALSE)&gt;0,IF(VLOOKUP(A17,Schlußkurse!A$5:AU$105,47,FALSE)&gt;0,VLOOKUP(A17,Schlußkurse!A$5:AU$105,47,FALSE)/VLOOKUP(A17,Ergebnis_je_Aktie_verwässert!A$3:AJ$103,18,FALSE),""),"")</f>
        <v>15.23076923076923</v>
      </c>
      <c r="P17" s="3">
        <f t="shared" si="0"/>
        <v>13.631901840490798</v>
      </c>
      <c r="Q17" s="3">
        <f ca="1">VLOOKUP(A17,Schlußkurse!A$5:AU$105,35,FALSE)/VLOOKUP(A17,Ergebnis_je_Aktie_verwässert!A$3:AK$103,23,FALSE)</f>
        <v>16.43504330446369</v>
      </c>
      <c r="R17" s="5">
        <f t="shared" ca="1" si="1"/>
        <v>0.20563098948135972</v>
      </c>
    </row>
    <row r="18" spans="1:18" x14ac:dyDescent="0.25">
      <c r="A18" t="s">
        <v>28</v>
      </c>
      <c r="B18" t="s">
        <v>29</v>
      </c>
      <c r="C18" s="78">
        <f>IF(VLOOKUP(A18,Ergebnis_je_Aktie_verwässert!A$3:AJ$103,6,FALSE)&gt;0,IF(VLOOKUP(A18,Schlußkurse!A$5:AU$105,35,FALSE)&gt;0,VLOOKUP(A18,Schlußkurse!A$5:AU$105,35,FALSE)/VLOOKUP(A18,Ergebnis_je_Aktie_verwässert!A$3:AJ$103,6,FALSE),""),"")</f>
        <v>18.879765395894427</v>
      </c>
      <c r="D18" s="79">
        <f>IF(VLOOKUP(A18,Ergebnis_je_Aktie_verwässert!A$3:AJ$103,7,FALSE)&gt;0,IF(VLOOKUP(A18,Schlußkurse!A$5:AU$105,36,FALSE)&gt;0,VLOOKUP(A18,Schlußkurse!A$5:AU$105,36,FALSE)/VLOOKUP(A18,Ergebnis_je_Aktie_verwässert!A$3:AJ$103,7,FALSE),""),"")</f>
        <v>20.309148264984227</v>
      </c>
      <c r="E18" s="79">
        <f>IF(VLOOKUP(A18,Ergebnis_je_Aktie_verwässert!A$3:AJ$103,8,FALSE)&gt;0,IF(VLOOKUP(A18,Schlußkurse!A$5:AU$105,37,FALSE)&gt;0,VLOOKUP(A18,Schlußkurse!A$5:AU$105,37,FALSE)/VLOOKUP(A18,Ergebnis_je_Aktie_verwässert!A$3:AJ$103,8,FALSE),""),"")</f>
        <v>18.972125435540072</v>
      </c>
      <c r="F18" s="79">
        <f>IF(VLOOKUP(A18,Ergebnis_je_Aktie_verwässert!A$3:AJ$103,9,FALSE)&gt;0,IF(VLOOKUP(A18,Schlußkurse!A$5:AU$105,38,FALSE)&gt;0,VLOOKUP(A18,Schlußkurse!A$5:AU$105,38,FALSE)/VLOOKUP(A18,Ergebnis_je_Aktie_verwässert!A$3:AJ$103,9,FALSE),""),"")</f>
        <v>27.829787234042556</v>
      </c>
      <c r="G18" s="79">
        <f>IF(VLOOKUP(A18,Ergebnis_je_Aktie_verwässert!A$3:AJ$103,10,FALSE)&gt;0,IF(VLOOKUP(A18,Schlußkurse!A$5:AU$105,39,FALSE)&gt;0,VLOOKUP(A18,Schlußkurse!A$5:AU$105,39,FALSE)/VLOOKUP(A18,Ergebnis_je_Aktie_verwässert!A$3:AJ$103,10,FALSE),""),"")</f>
        <v>20.621900826446282</v>
      </c>
      <c r="H18" s="79">
        <f>IF(VLOOKUP(A18,Ergebnis_je_Aktie_verwässert!A$3:AJ$103,11,FALSE)&gt;0,IF(VLOOKUP(A18,Schlußkurse!A$5:AU$105,40,FALSE)&gt;0,VLOOKUP(A18,Schlußkurse!A$5:AU$105,40,FALSE)/VLOOKUP(A18,Ergebnis_je_Aktie_verwässert!A$3:AJ$103,11,FALSE),""),"")</f>
        <v>17.534296028880867</v>
      </c>
      <c r="I18" s="79">
        <f>IF(VLOOKUP(A18,Ergebnis_je_Aktie_verwässert!A$3:AJ$103,12,FALSE)&gt;0,IF(VLOOKUP(A18,Schlußkurse!A$5:AU$105,41,FALSE)&gt;0,VLOOKUP(A18,Schlußkurse!A$5:AU$105,41,FALSE)/VLOOKUP(A18,Ergebnis_je_Aktie_verwässert!A$3:AJ$103,12,FALSE),""),"")</f>
        <v>16.974729241877256</v>
      </c>
      <c r="J18" s="79">
        <f>IF(VLOOKUP(A18,Ergebnis_je_Aktie_verwässert!A$3:AJ$103,13,FALSE)&gt;0,IF(VLOOKUP(A18,Schlußkurse!A$5:AU$105,42,FALSE)&gt;0,VLOOKUP(A18,Schlußkurse!A$5:AU$105,42,FALSE)/VLOOKUP(A18,Ergebnis_je_Aktie_verwässert!A$3:AJ$103,13,FALSE),""),"")</f>
        <v>14.088815789473683</v>
      </c>
      <c r="K18" s="79">
        <f>IF(VLOOKUP(A18,Ergebnis_je_Aktie_verwässert!A$3:AJ$103,14,FALSE)&gt;0,IF(VLOOKUP(A18,Schlußkurse!A$5:AU$105,43,FALSE)&gt;0,VLOOKUP(A18,Schlußkurse!A$5:AU$105,43,FALSE)/VLOOKUP(A18,Ergebnis_je_Aktie_verwässert!A$3:AJ$103,14,FALSE),""),"")</f>
        <v>16.801556420233464</v>
      </c>
      <c r="L18" s="79">
        <f>IF(VLOOKUP(A18,Ergebnis_je_Aktie_verwässert!A$3:AJ$103,15,FALSE)&gt;0,IF(VLOOKUP(A18,Schlußkurse!A$5:AU$105,44,FALSE)&gt;0,VLOOKUP(A18,Schlußkurse!A$5:AU$105,44,FALSE)/VLOOKUP(A18,Ergebnis_je_Aktie_verwässert!A$3:AJ$103,15,FALSE),""),"")</f>
        <v>22.408759124087588</v>
      </c>
      <c r="M18" s="79">
        <f>IF(VLOOKUP(A18,Ergebnis_je_Aktie_verwässert!A$3:AJ$103,16,FALSE)&gt;0,IF(VLOOKUP(A18,Schlußkurse!A$5:AU$105,45,FALSE)&gt;0,VLOOKUP(A18,Schlußkurse!A$5:AU$105,45,FALSE)/VLOOKUP(A18,Ergebnis_je_Aktie_verwässert!A$3:AJ$103,16,FALSE),""),"")</f>
        <v>31.366120218579233</v>
      </c>
      <c r="N18" s="79">
        <f>IF(VLOOKUP(A18,Ergebnis_je_Aktie_verwässert!A$3:AJ$103,17,FALSE)&gt;0,IF(VLOOKUP(A18,Schlußkurse!A$5:AU$105,46,FALSE)&gt;0,VLOOKUP(A18,Schlußkurse!A$5:AU$105,46,FALSE)/VLOOKUP(A18,Ergebnis_je_Aktie_verwässert!A$3:AJ$103,17,FALSE),""),"")</f>
        <v>15.929602888086643</v>
      </c>
      <c r="O18" s="80">
        <f>IF(VLOOKUP(A18,Ergebnis_je_Aktie_verwässert!A$3:AJ$103,18,FALSE)&gt;0,IF(VLOOKUP(A18,Schlußkurse!A$5:AU$105,47,FALSE)&gt;0,VLOOKUP(A18,Schlußkurse!A$5:AU$105,47,FALSE)/VLOOKUP(A18,Ergebnis_je_Aktie_verwässert!A$3:AJ$103,18,FALSE),""),"")</f>
        <v>11.556122448979593</v>
      </c>
      <c r="P18" s="3">
        <f t="shared" si="0"/>
        <v>18.879765395894427</v>
      </c>
      <c r="Q18" s="3">
        <f ca="1">VLOOKUP(A18,Schlußkurse!A$5:AU$105,35,FALSE)/VLOOKUP(A18,Ergebnis_je_Aktie_verwässert!A$3:AK$103,23,FALSE)</f>
        <v>21.664610207515423</v>
      </c>
      <c r="R18" s="5">
        <f t="shared" ca="1" si="1"/>
        <v>0.14750420639371842</v>
      </c>
    </row>
    <row r="19" spans="1:18" x14ac:dyDescent="0.25">
      <c r="A19" t="s">
        <v>30</v>
      </c>
      <c r="B19" t="s">
        <v>31</v>
      </c>
      <c r="C19" s="78">
        <f>IF(VLOOKUP(A19,Ergebnis_je_Aktie_verwässert!A$3:AJ$103,6,FALSE)&gt;0,IF(VLOOKUP(A19,Schlußkurse!A$5:AU$105,35,FALSE)&gt;0,VLOOKUP(A19,Schlußkurse!A$5:AU$105,35,FALSE)/VLOOKUP(A19,Ergebnis_je_Aktie_verwässert!A$3:AJ$103,6,FALSE),""),"")</f>
        <v>15.077731092436975</v>
      </c>
      <c r="D19" s="79">
        <f>IF(VLOOKUP(A19,Ergebnis_je_Aktie_verwässert!A$3:AJ$103,7,FALSE)&gt;0,IF(VLOOKUP(A19,Schlußkurse!A$5:AU$105,36,FALSE)&gt;0,VLOOKUP(A19,Schlußkurse!A$5:AU$105,36,FALSE)/VLOOKUP(A19,Ergebnis_je_Aktie_verwässert!A$3:AJ$103,7,FALSE),""),"")</f>
        <v>16.311363636363634</v>
      </c>
      <c r="E19" s="79">
        <f>IF(VLOOKUP(A19,Ergebnis_je_Aktie_verwässert!A$3:AJ$103,8,FALSE)&gt;0,IF(VLOOKUP(A19,Schlußkurse!A$5:AU$105,37,FALSE)&gt;0,VLOOKUP(A19,Schlußkurse!A$5:AU$105,37,FALSE)/VLOOKUP(A19,Ergebnis_je_Aktie_verwässert!A$3:AJ$103,8,FALSE),""),"")</f>
        <v>17.412935323383081</v>
      </c>
      <c r="F19" s="79">
        <f>IF(VLOOKUP(A19,Ergebnis_je_Aktie_verwässert!A$3:AJ$103,9,FALSE)&gt;0,IF(VLOOKUP(A19,Schlußkurse!A$5:AU$105,38,FALSE)&gt;0,VLOOKUP(A19,Schlußkurse!A$5:AU$105,38,FALSE)/VLOOKUP(A19,Ergebnis_je_Aktie_verwässert!A$3:AJ$103,9,FALSE),""),"")</f>
        <v>19.389221556886231</v>
      </c>
      <c r="G19" s="79">
        <f>IF(VLOOKUP(A19,Ergebnis_je_Aktie_verwässert!A$3:AJ$103,10,FALSE)&gt;0,IF(VLOOKUP(A19,Schlußkurse!A$5:AU$105,39,FALSE)&gt;0,VLOOKUP(A19,Schlußkurse!A$5:AU$105,39,FALSE)/VLOOKUP(A19,Ergebnis_je_Aktie_verwässert!A$3:AJ$103,10,FALSE),""),"")</f>
        <v>15.224390243902441</v>
      </c>
      <c r="H19" s="79">
        <f>IF(VLOOKUP(A19,Ergebnis_je_Aktie_verwässert!A$3:AJ$103,11,FALSE)&gt;0,IF(VLOOKUP(A19,Schlußkurse!A$5:AU$105,40,FALSE)&gt;0,VLOOKUP(A19,Schlußkurse!A$5:AU$105,40,FALSE)/VLOOKUP(A19,Ergebnis_je_Aktie_verwässert!A$3:AJ$103,11,FALSE),""),"")</f>
        <v>15.51015228426396</v>
      </c>
      <c r="I19" s="79">
        <f>IF(VLOOKUP(A19,Ergebnis_je_Aktie_verwässert!A$3:AJ$103,12,FALSE)&gt;0,IF(VLOOKUP(A19,Schlußkurse!A$5:AU$105,41,FALSE)&gt;0,VLOOKUP(A19,Schlußkurse!A$5:AU$105,41,FALSE)/VLOOKUP(A19,Ergebnis_je_Aktie_verwässert!A$3:AJ$103,12,FALSE),""),"")</f>
        <v>15.791666666666668</v>
      </c>
      <c r="J19" s="79">
        <f>IF(VLOOKUP(A19,Ergebnis_je_Aktie_verwässert!A$3:AJ$103,13,FALSE)&gt;0,IF(VLOOKUP(A19,Schlußkurse!A$5:AU$105,42,FALSE)&gt;0,VLOOKUP(A19,Schlußkurse!A$5:AU$105,42,FALSE)/VLOOKUP(A19,Ergebnis_je_Aktie_verwässert!A$3:AJ$103,13,FALSE),""),"")</f>
        <v>14.003472222222221</v>
      </c>
      <c r="K19" s="79">
        <f>IF(VLOOKUP(A19,Ergebnis_je_Aktie_verwässert!A$3:AJ$103,14,FALSE)&gt;0,IF(VLOOKUP(A19,Schlußkurse!A$5:AU$105,43,FALSE)&gt;0,VLOOKUP(A19,Schlußkurse!A$5:AU$105,43,FALSE)/VLOOKUP(A19,Ergebnis_je_Aktie_verwässert!A$3:AJ$103,14,FALSE),""),"")</f>
        <v>13.235294117647058</v>
      </c>
      <c r="L19" s="79">
        <f>IF(VLOOKUP(A19,Ergebnis_je_Aktie_verwässert!A$3:AJ$103,15,FALSE)&gt;0,IF(VLOOKUP(A19,Schlußkurse!A$5:AU$105,44,FALSE)&gt;0,VLOOKUP(A19,Schlußkurse!A$5:AU$105,44,FALSE)/VLOOKUP(A19,Ergebnis_je_Aktie_verwässert!A$3:AJ$103,15,FALSE),""),"")</f>
        <v>15.97560975609756</v>
      </c>
      <c r="M19" s="79">
        <f>IF(VLOOKUP(A19,Ergebnis_je_Aktie_verwässert!A$3:AJ$103,16,FALSE)&gt;0,IF(VLOOKUP(A19,Schlußkurse!A$5:AU$105,45,FALSE)&gt;0,VLOOKUP(A19,Schlußkurse!A$5:AU$105,45,FALSE)/VLOOKUP(A19,Ergebnis_je_Aktie_verwässert!A$3:AJ$103,16,FALSE),""),"")</f>
        <v>13.740384615384615</v>
      </c>
      <c r="N19" s="79" t="str">
        <f>IF(VLOOKUP(A19,Ergebnis_je_Aktie_verwässert!A$3:AJ$103,17,FALSE)&gt;0,IF(VLOOKUP(A19,Schlußkurse!A$5:AU$105,46,FALSE)&gt;0,VLOOKUP(A19,Schlußkurse!A$5:AU$105,46,FALSE)/VLOOKUP(A19,Ergebnis_je_Aktie_verwässert!A$3:AJ$103,17,FALSE),""),"")</f>
        <v/>
      </c>
      <c r="O19" s="80" t="str">
        <f>IF(VLOOKUP(A19,Ergebnis_je_Aktie_verwässert!A$3:AJ$103,18,FALSE)&gt;0,IF(VLOOKUP(A19,Schlußkurse!A$5:AU$105,47,FALSE)&gt;0,VLOOKUP(A19,Schlußkurse!A$5:AU$105,47,FALSE)/VLOOKUP(A19,Ergebnis_je_Aktie_verwässert!A$3:AJ$103,18,FALSE),""),"")</f>
        <v/>
      </c>
      <c r="P19" s="3">
        <f t="shared" si="0"/>
        <v>15.51015228426396</v>
      </c>
      <c r="Q19" s="3">
        <f ca="1">VLOOKUP(A19,Schlußkurse!A$5:AU$105,35,FALSE)/VLOOKUP(A19,Ergebnis_je_Aktie_verwässert!A$3:AK$103,23,FALSE)</f>
        <v>17.299070676772274</v>
      </c>
      <c r="R19" s="5">
        <f t="shared" ca="1" si="1"/>
        <v>0.11533854469780325</v>
      </c>
    </row>
    <row r="20" spans="1:18" x14ac:dyDescent="0.25">
      <c r="A20" t="s">
        <v>32</v>
      </c>
      <c r="B20" t="s">
        <v>33</v>
      </c>
      <c r="C20" s="78">
        <f>IF(VLOOKUP(A20,Ergebnis_je_Aktie_verwässert!A$3:AJ$103,6,FALSE)&gt;0,IF(VLOOKUP(A20,Schlußkurse!A$5:AU$105,35,FALSE)&gt;0,VLOOKUP(A20,Schlußkurse!A$5:AU$105,35,FALSE)/VLOOKUP(A20,Ergebnis_je_Aktie_verwässert!A$3:AJ$103,6,FALSE),""),"")</f>
        <v>16.266666666666666</v>
      </c>
      <c r="D20" s="79">
        <f>IF(VLOOKUP(A20,Ergebnis_je_Aktie_verwässert!A$3:AJ$103,7,FALSE)&gt;0,IF(VLOOKUP(A20,Schlußkurse!A$5:AU$105,36,FALSE)&gt;0,VLOOKUP(A20,Schlußkurse!A$5:AU$105,36,FALSE)/VLOOKUP(A20,Ergebnis_je_Aktie_verwässert!A$3:AJ$103,7,FALSE),""),"")</f>
        <v>17.524861878453038</v>
      </c>
      <c r="E20" s="79">
        <f>IF(VLOOKUP(A20,Ergebnis_je_Aktie_verwässert!A$3:AJ$103,8,FALSE)&gt;0,IF(VLOOKUP(A20,Schlußkurse!A$5:AU$105,37,FALSE)&gt;0,VLOOKUP(A20,Schlußkurse!A$5:AU$105,37,FALSE)/VLOOKUP(A20,Ergebnis_je_Aktie_verwässert!A$3:AJ$103,8,FALSE),""),"")</f>
        <v>15.578947368421053</v>
      </c>
      <c r="F20" s="79">
        <f>IF(VLOOKUP(A20,Ergebnis_je_Aktie_verwässert!A$3:AJ$103,9,FALSE)&gt;0,IF(VLOOKUP(A20,Schlußkurse!A$5:AU$105,38,FALSE)&gt;0,VLOOKUP(A20,Schlußkurse!A$5:AU$105,38,FALSE)/VLOOKUP(A20,Ergebnis_je_Aktie_verwässert!A$3:AJ$103,9,FALSE),""),"")</f>
        <v>15.452702702702704</v>
      </c>
      <c r="G20" s="79">
        <f>IF(VLOOKUP(A20,Ergebnis_je_Aktie_verwässert!A$3:AJ$103,10,FALSE)&gt;0,IF(VLOOKUP(A20,Schlußkurse!A$5:AU$105,39,FALSE)&gt;0,VLOOKUP(A20,Schlußkurse!A$5:AU$105,39,FALSE)/VLOOKUP(A20,Ergebnis_je_Aktie_verwässert!A$3:AJ$103,10,FALSE),""),"")</f>
        <v>23.875000000000004</v>
      </c>
      <c r="H20" s="79">
        <f>IF(VLOOKUP(A20,Ergebnis_je_Aktie_verwässert!A$3:AJ$103,11,FALSE)&gt;0,IF(VLOOKUP(A20,Schlußkurse!A$5:AU$105,40,FALSE)&gt;0,VLOOKUP(A20,Schlußkurse!A$5:AU$105,40,FALSE)/VLOOKUP(A20,Ergebnis_je_Aktie_verwässert!A$3:AJ$103,11,FALSE),""),"")</f>
        <v>31.970588235294112</v>
      </c>
      <c r="I20" s="79">
        <f>IF(VLOOKUP(A20,Ergebnis_je_Aktie_verwässert!A$3:AJ$103,12,FALSE)&gt;0,IF(VLOOKUP(A20,Schlußkurse!A$5:AU$105,41,FALSE)&gt;0,VLOOKUP(A20,Schlußkurse!A$5:AU$105,41,FALSE)/VLOOKUP(A20,Ergebnis_je_Aktie_verwässert!A$3:AJ$103,12,FALSE),""),"")</f>
        <v>10.717514124293784</v>
      </c>
      <c r="J20" s="79">
        <f>IF(VLOOKUP(A20,Ergebnis_je_Aktie_verwässert!A$3:AJ$103,13,FALSE)&gt;0,IF(VLOOKUP(A20,Schlußkurse!A$5:AU$105,42,FALSE)&gt;0,VLOOKUP(A20,Schlußkurse!A$5:AU$105,42,FALSE)/VLOOKUP(A20,Ergebnis_je_Aktie_verwässert!A$3:AJ$103,13,FALSE),""),"")</f>
        <v>12.216216216216216</v>
      </c>
      <c r="K20" s="79">
        <f>IF(VLOOKUP(A20,Ergebnis_je_Aktie_verwässert!A$3:AJ$103,14,FALSE)&gt;0,IF(VLOOKUP(A20,Schlußkurse!A$5:AU$105,43,FALSE)&gt;0,VLOOKUP(A20,Schlußkurse!A$5:AU$105,43,FALSE)/VLOOKUP(A20,Ergebnis_je_Aktie_verwässert!A$3:AJ$103,14,FALSE),""),"")</f>
        <v>27.646153846153844</v>
      </c>
      <c r="L20" s="79">
        <f>IF(VLOOKUP(A20,Ergebnis_je_Aktie_verwässert!A$3:AJ$103,15,FALSE)&gt;0,IF(VLOOKUP(A20,Schlußkurse!A$5:AU$105,44,FALSE)&gt;0,VLOOKUP(A20,Schlußkurse!A$5:AU$105,44,FALSE)/VLOOKUP(A20,Ergebnis_je_Aktie_verwässert!A$3:AJ$103,15,FALSE),""),"")</f>
        <v>44.82</v>
      </c>
      <c r="M20" s="79">
        <f>IF(VLOOKUP(A20,Ergebnis_je_Aktie_verwässert!A$3:AJ$103,16,FALSE)&gt;0,IF(VLOOKUP(A20,Schlußkurse!A$5:AU$105,45,FALSE)&gt;0,VLOOKUP(A20,Schlußkurse!A$5:AU$105,45,FALSE)/VLOOKUP(A20,Ergebnis_je_Aktie_verwässert!A$3:AJ$103,16,FALSE),""),"")</f>
        <v>15.344827586206899</v>
      </c>
      <c r="N20" s="79" t="str">
        <f>IF(VLOOKUP(A20,Ergebnis_je_Aktie_verwässert!A$3:AJ$103,17,FALSE)&gt;0,IF(VLOOKUP(A20,Schlußkurse!A$5:AU$105,46,FALSE)&gt;0,VLOOKUP(A20,Schlußkurse!A$5:AU$105,46,FALSE)/VLOOKUP(A20,Ergebnis_je_Aktie_verwässert!A$3:AJ$103,17,FALSE),""),"")</f>
        <v/>
      </c>
      <c r="O20" s="80" t="str">
        <f>IF(VLOOKUP(A20,Ergebnis_je_Aktie_verwässert!A$3:AJ$103,18,FALSE)&gt;0,IF(VLOOKUP(A20,Schlußkurse!A$5:AU$105,47,FALSE)&gt;0,VLOOKUP(A20,Schlußkurse!A$5:AU$105,47,FALSE)/VLOOKUP(A20,Ergebnis_je_Aktie_verwässert!A$3:AJ$103,18,FALSE),""),"")</f>
        <v/>
      </c>
      <c r="P20" s="3">
        <f t="shared" si="0"/>
        <v>16.266666666666666</v>
      </c>
      <c r="Q20" s="3">
        <f ca="1">VLOOKUP(A20,Schlußkurse!A$5:AU$105,35,FALSE)/VLOOKUP(A20,Ergebnis_je_Aktie_verwässert!A$3:AK$103,23,FALSE)</f>
        <v>17.929345266132827</v>
      </c>
      <c r="R20" s="5">
        <f t="shared" ca="1" si="1"/>
        <v>0.10221384832783786</v>
      </c>
    </row>
    <row r="21" spans="1:18" x14ac:dyDescent="0.25">
      <c r="A21" t="s">
        <v>34</v>
      </c>
      <c r="B21" t="s">
        <v>35</v>
      </c>
      <c r="C21" s="78">
        <f>IF(VLOOKUP(A21,Ergebnis_je_Aktie_verwässert!A$3:AJ$103,6,FALSE)&gt;0,IF(VLOOKUP(A21,Schlußkurse!A$5:AU$105,35,FALSE)&gt;0,VLOOKUP(A21,Schlußkurse!A$5:AU$105,35,FALSE)/VLOOKUP(A21,Ergebnis_je_Aktie_verwässert!A$3:AJ$103,6,FALSE),""),"")</f>
        <v>38.984771573604064</v>
      </c>
      <c r="D21" s="79">
        <f>IF(VLOOKUP(A21,Ergebnis_je_Aktie_verwässert!A$3:AJ$103,7,FALSE)&gt;0,IF(VLOOKUP(A21,Schlußkurse!A$5:AU$105,36,FALSE)&gt;0,VLOOKUP(A21,Schlußkurse!A$5:AU$105,36,FALSE)/VLOOKUP(A21,Ergebnis_je_Aktie_verwässert!A$3:AJ$103,7,FALSE),""),"")</f>
        <v>69.106583072100321</v>
      </c>
      <c r="E21" s="79">
        <f>IF(VLOOKUP(A21,Ergebnis_je_Aktie_verwässert!A$3:AJ$103,8,FALSE)&gt;0,IF(VLOOKUP(A21,Schlußkurse!A$5:AU$105,37,FALSE)&gt;0,VLOOKUP(A21,Schlußkurse!A$5:AU$105,37,FALSE)/VLOOKUP(A21,Ergebnis_je_Aktie_verwässert!A$3:AJ$103,8,FALSE),""),"")</f>
        <v>13.943037974683543</v>
      </c>
      <c r="F21" s="79">
        <f>IF(VLOOKUP(A21,Ergebnis_je_Aktie_verwässert!A$3:AJ$103,9,FALSE)&gt;0,IF(VLOOKUP(A21,Schlußkurse!A$5:AU$105,38,FALSE)&gt;0,VLOOKUP(A21,Schlußkurse!A$5:AU$105,38,FALSE)/VLOOKUP(A21,Ergebnis_je_Aktie_verwässert!A$3:AJ$103,9,FALSE),""),"")</f>
        <v>4.4748201438848927</v>
      </c>
      <c r="G21" s="79">
        <f>IF(VLOOKUP(A21,Ergebnis_je_Aktie_verwässert!A$3:AJ$103,10,FALSE)&gt;0,IF(VLOOKUP(A21,Schlußkurse!A$5:AU$105,39,FALSE)&gt;0,VLOOKUP(A21,Schlußkurse!A$5:AU$105,39,FALSE)/VLOOKUP(A21,Ergebnis_je_Aktie_verwässert!A$3:AJ$103,10,FALSE),""),"")</f>
        <v>197.93103448275863</v>
      </c>
      <c r="H21" s="79">
        <f>IF(VLOOKUP(A21,Ergebnis_je_Aktie_verwässert!A$3:AJ$103,11,FALSE)&gt;0,IF(VLOOKUP(A21,Schlußkurse!A$5:AU$105,40,FALSE)&gt;0,VLOOKUP(A21,Schlußkurse!A$5:AU$105,40,FALSE)/VLOOKUP(A21,Ergebnis_je_Aktie_verwässert!A$3:AJ$103,11,FALSE),""),"")</f>
        <v>12.607142857142856</v>
      </c>
      <c r="I21" s="79">
        <f>IF(VLOOKUP(A21,Ergebnis_je_Aktie_verwässert!A$3:AJ$103,12,FALSE)&gt;0,IF(VLOOKUP(A21,Schlußkurse!A$5:AU$105,41,FALSE)&gt;0,VLOOKUP(A21,Schlußkurse!A$5:AU$105,41,FALSE)/VLOOKUP(A21,Ergebnis_je_Aktie_verwässert!A$3:AJ$103,12,FALSE),""),"")</f>
        <v>10.133333333333335</v>
      </c>
      <c r="J21" s="79">
        <f>IF(VLOOKUP(A21,Ergebnis_je_Aktie_verwässert!A$3:AJ$103,13,FALSE)&gt;0,IF(VLOOKUP(A21,Schlußkurse!A$5:AU$105,42,FALSE)&gt;0,VLOOKUP(A21,Schlußkurse!A$5:AU$105,42,FALSE)/VLOOKUP(A21,Ergebnis_je_Aktie_verwässert!A$3:AJ$103,13,FALSE),""),"")</f>
        <v>7.671875</v>
      </c>
      <c r="K21" s="79">
        <f>IF(VLOOKUP(A21,Ergebnis_je_Aktie_verwässert!A$3:AJ$103,14,FALSE)&gt;0,IF(VLOOKUP(A21,Schlußkurse!A$5:AU$105,43,FALSE)&gt;0,VLOOKUP(A21,Schlußkurse!A$5:AU$105,43,FALSE)/VLOOKUP(A21,Ergebnis_je_Aktie_verwässert!A$3:AJ$103,14,FALSE),""),"")</f>
        <v>25.15</v>
      </c>
      <c r="L21" s="79">
        <f>IF(VLOOKUP(A21,Ergebnis_je_Aktie_verwässert!A$3:AJ$103,15,FALSE)&gt;0,IF(VLOOKUP(A21,Schlußkurse!A$5:AU$105,44,FALSE)&gt;0,VLOOKUP(A21,Schlußkurse!A$5:AU$105,44,FALSE)/VLOOKUP(A21,Ergebnis_je_Aktie_verwässert!A$3:AJ$103,15,FALSE),""),"")</f>
        <v>10.423076923076923</v>
      </c>
      <c r="M21" s="79" t="str">
        <f>IF(VLOOKUP(A21,Ergebnis_je_Aktie_verwässert!A$3:AJ$103,16,FALSE)&gt;0,IF(VLOOKUP(A21,Schlußkurse!A$5:AU$105,45,FALSE)&gt;0,VLOOKUP(A21,Schlußkurse!A$5:AU$105,45,FALSE)/VLOOKUP(A21,Ergebnis_je_Aktie_verwässert!A$3:AJ$103,16,FALSE),""),"")</f>
        <v/>
      </c>
      <c r="N21" s="79" t="str">
        <f>IF(VLOOKUP(A21,Ergebnis_je_Aktie_verwässert!A$3:AJ$103,17,FALSE)&gt;0,IF(VLOOKUP(A21,Schlußkurse!A$5:AU$105,46,FALSE)&gt;0,VLOOKUP(A21,Schlußkurse!A$5:AU$105,46,FALSE)/VLOOKUP(A21,Ergebnis_je_Aktie_verwässert!A$3:AJ$103,17,FALSE),""),"")</f>
        <v/>
      </c>
      <c r="O21" s="80" t="str">
        <f>IF(VLOOKUP(A21,Ergebnis_je_Aktie_verwässert!A$3:AJ$103,18,FALSE)&gt;0,IF(VLOOKUP(A21,Schlußkurse!A$5:AU$105,47,FALSE)&gt;0,VLOOKUP(A21,Schlußkurse!A$5:AU$105,47,FALSE)/VLOOKUP(A21,Ergebnis_je_Aktie_verwässert!A$3:AJ$103,18,FALSE),""),"")</f>
        <v/>
      </c>
      <c r="P21" s="3">
        <f t="shared" si="0"/>
        <v>13.275090415913199</v>
      </c>
      <c r="Q21" s="3">
        <f ca="1">VLOOKUP(A21,Schlußkurse!A$5:AU$105,35,FALSE)/VLOOKUP(A21,Ergebnis_je_Aktie_verwässert!A$3:AK$103,23,FALSE)</f>
        <v>67.137214271838374</v>
      </c>
      <c r="R21" s="5">
        <f t="shared" ca="1" si="1"/>
        <v>4.0573828251564477</v>
      </c>
    </row>
    <row r="22" spans="1:18" x14ac:dyDescent="0.25">
      <c r="A22" t="s">
        <v>36</v>
      </c>
      <c r="B22" t="s">
        <v>37</v>
      </c>
      <c r="C22" s="78">
        <f>IF(VLOOKUP(A22,Ergebnis_je_Aktie_verwässert!A$3:AJ$103,6,FALSE)&gt;0,IF(VLOOKUP(A22,Schlußkurse!A$5:AU$105,35,FALSE)&gt;0,VLOOKUP(A22,Schlußkurse!A$5:AU$105,35,FALSE)/VLOOKUP(A22,Ergebnis_je_Aktie_verwässert!A$3:AJ$103,6,FALSE),""),"")</f>
        <v>18.455188679245282</v>
      </c>
      <c r="D22" s="79">
        <f>IF(VLOOKUP(A22,Ergebnis_je_Aktie_verwässert!A$3:AJ$103,7,FALSE)&gt;0,IF(VLOOKUP(A22,Schlußkurse!A$5:AU$105,36,FALSE)&gt;0,VLOOKUP(A22,Schlußkurse!A$5:AU$105,36,FALSE)/VLOOKUP(A22,Ergebnis_je_Aktie_verwässert!A$3:AJ$103,7,FALSE),""),"")</f>
        <v>19.961734693877553</v>
      </c>
      <c r="E22" s="79">
        <f>IF(VLOOKUP(A22,Ergebnis_je_Aktie_verwässert!A$3:AJ$103,8,FALSE)&gt;0,IF(VLOOKUP(A22,Schlußkurse!A$5:AU$105,37,FALSE)&gt;0,VLOOKUP(A22,Schlußkurse!A$5:AU$105,37,FALSE)/VLOOKUP(A22,Ergebnis_je_Aktie_verwässert!A$3:AJ$103,8,FALSE),""),"")</f>
        <v>17.934065934065934</v>
      </c>
      <c r="F22" s="79">
        <f>IF(VLOOKUP(A22,Ergebnis_je_Aktie_verwässert!A$3:AJ$103,9,FALSE)&gt;0,IF(VLOOKUP(A22,Schlußkurse!A$5:AU$105,38,FALSE)&gt;0,VLOOKUP(A22,Schlußkurse!A$5:AU$105,38,FALSE)/VLOOKUP(A22,Ergebnis_je_Aktie_verwässert!A$3:AJ$103,9,FALSE),""),"")</f>
        <v>16.354748603351954</v>
      </c>
      <c r="G22" s="79">
        <f>IF(VLOOKUP(A22,Ergebnis_je_Aktie_verwässert!A$3:AJ$103,10,FALSE)&gt;0,IF(VLOOKUP(A22,Schlußkurse!A$5:AU$105,39,FALSE)&gt;0,VLOOKUP(A22,Schlußkurse!A$5:AU$105,39,FALSE)/VLOOKUP(A22,Ergebnis_je_Aktie_verwässert!A$3:AJ$103,10,FALSE),""),"")</f>
        <v>17.370481927710845</v>
      </c>
      <c r="H22" s="79">
        <f>IF(VLOOKUP(A22,Ergebnis_je_Aktie_verwässert!A$3:AJ$103,11,FALSE)&gt;0,IF(VLOOKUP(A22,Schlußkurse!A$5:AU$105,40,FALSE)&gt;0,VLOOKUP(A22,Schlußkurse!A$5:AU$105,40,FALSE)/VLOOKUP(A22,Ergebnis_je_Aktie_verwässert!A$3:AJ$103,11,FALSE),""),"")</f>
        <v>17.253246753246753</v>
      </c>
      <c r="I22" s="79">
        <f>IF(VLOOKUP(A22,Ergebnis_je_Aktie_verwässert!A$3:AJ$103,12,FALSE)&gt;0,IF(VLOOKUP(A22,Schlußkurse!A$5:AU$105,41,FALSE)&gt;0,VLOOKUP(A22,Schlußkurse!A$5:AU$105,41,FALSE)/VLOOKUP(A22,Ergebnis_je_Aktie_verwässert!A$3:AJ$103,12,FALSE),""),"")</f>
        <v>15.958904109589042</v>
      </c>
      <c r="J22" s="79">
        <f>IF(VLOOKUP(A22,Ergebnis_je_Aktie_verwässert!A$3:AJ$103,13,FALSE)&gt;0,IF(VLOOKUP(A22,Schlußkurse!A$5:AU$105,42,FALSE)&gt;0,VLOOKUP(A22,Schlußkurse!A$5:AU$105,42,FALSE)/VLOOKUP(A22,Ergebnis_je_Aktie_verwässert!A$3:AJ$103,13,FALSE),""),"")</f>
        <v>15.582191780821919</v>
      </c>
      <c r="K22" s="79">
        <f>IF(VLOOKUP(A22,Ergebnis_je_Aktie_verwässert!A$3:AJ$103,14,FALSE)&gt;0,IF(VLOOKUP(A22,Schlußkurse!A$5:AU$105,43,FALSE)&gt;0,VLOOKUP(A22,Schlußkurse!A$5:AU$105,43,FALSE)/VLOOKUP(A22,Ergebnis_je_Aktie_verwässert!A$3:AJ$103,14,FALSE),""),"")</f>
        <v>14.820512820512821</v>
      </c>
      <c r="L22" s="79">
        <f>IF(VLOOKUP(A22,Ergebnis_je_Aktie_verwässert!A$3:AJ$103,15,FALSE)&gt;0,IF(VLOOKUP(A22,Schlußkurse!A$5:AU$105,44,FALSE)&gt;0,VLOOKUP(A22,Schlußkurse!A$5:AU$105,44,FALSE)/VLOOKUP(A22,Ergebnis_je_Aktie_verwässert!A$3:AJ$103,15,FALSE),""),"")</f>
        <v>20.785123966942148</v>
      </c>
      <c r="M22" s="79">
        <f>IF(VLOOKUP(A22,Ergebnis_je_Aktie_verwässert!A$3:AJ$103,16,FALSE)&gt;0,IF(VLOOKUP(A22,Schlußkurse!A$5:AU$105,45,FALSE)&gt;0,VLOOKUP(A22,Schlußkurse!A$5:AU$105,45,FALSE)/VLOOKUP(A22,Ergebnis_je_Aktie_verwässert!A$3:AJ$103,16,FALSE),""),"")</f>
        <v>15.80152671755725</v>
      </c>
      <c r="N22" s="79">
        <f>IF(VLOOKUP(A22,Ergebnis_je_Aktie_verwässert!A$3:AJ$103,17,FALSE)&gt;0,IF(VLOOKUP(A22,Schlußkurse!A$5:AU$105,46,FALSE)&gt;0,VLOOKUP(A22,Schlußkurse!A$5:AU$105,46,FALSE)/VLOOKUP(A22,Ergebnis_je_Aktie_verwässert!A$3:AJ$103,17,FALSE),""),"")</f>
        <v>17.232350312779268</v>
      </c>
      <c r="O22" s="80">
        <f>IF(VLOOKUP(A22,Ergebnis_je_Aktie_verwässert!A$3:AJ$103,18,FALSE)&gt;0,IF(VLOOKUP(A22,Schlußkurse!A$5:AU$105,47,FALSE)&gt;0,VLOOKUP(A22,Schlußkurse!A$5:AU$105,47,FALSE)/VLOOKUP(A22,Ergebnis_je_Aktie_verwässert!A$3:AJ$103,18,FALSE),""),"")</f>
        <v>14.564216120460586</v>
      </c>
      <c r="P22" s="3">
        <f t="shared" si="0"/>
        <v>17.232350312779268</v>
      </c>
      <c r="Q22" s="3">
        <f ca="1">VLOOKUP(A22,Schlußkurse!A$5:AU$105,35,FALSE)/VLOOKUP(A22,Ergebnis_je_Aktie_verwässert!A$3:AK$103,23,FALSE)</f>
        <v>20.951091806985186</v>
      </c>
      <c r="R22" s="5">
        <f t="shared" ca="1" si="1"/>
        <v>0.21580001721808961</v>
      </c>
    </row>
    <row r="23" spans="1:18" x14ac:dyDescent="0.25">
      <c r="A23" t="s">
        <v>38</v>
      </c>
      <c r="B23" t="s">
        <v>39</v>
      </c>
      <c r="C23" s="78">
        <f>IF(VLOOKUP(A23,Ergebnis_je_Aktie_verwässert!A$3:AJ$103,6,FALSE)&gt;0,IF(VLOOKUP(A23,Schlußkurse!A$5:AU$105,35,FALSE)&gt;0,VLOOKUP(A23,Schlußkurse!A$5:AU$105,35,FALSE)/VLOOKUP(A23,Ergebnis_je_Aktie_verwässert!A$3:AJ$103,6,FALSE),""),"")</f>
        <v>13.116981132075471</v>
      </c>
      <c r="D23" s="79">
        <f>IF(VLOOKUP(A23,Ergebnis_je_Aktie_verwässert!A$3:AJ$103,7,FALSE)&gt;0,IF(VLOOKUP(A23,Schlußkurse!A$5:AU$105,36,FALSE)&gt;0,VLOOKUP(A23,Schlußkurse!A$5:AU$105,36,FALSE)/VLOOKUP(A23,Ergebnis_je_Aktie_verwässert!A$3:AJ$103,7,FALSE),""),"")</f>
        <v>13.369230769230768</v>
      </c>
      <c r="E23" s="79">
        <f>IF(VLOOKUP(A23,Ergebnis_je_Aktie_verwässert!A$3:AJ$103,8,FALSE)&gt;0,IF(VLOOKUP(A23,Schlußkurse!A$5:AU$105,37,FALSE)&gt;0,VLOOKUP(A23,Schlußkurse!A$5:AU$105,37,FALSE)/VLOOKUP(A23,Ergebnis_je_Aktie_verwässert!A$3:AJ$103,8,FALSE),""),"")</f>
        <v>13.329365079365081</v>
      </c>
      <c r="F23" s="79">
        <f>IF(VLOOKUP(A23,Ergebnis_je_Aktie_verwässert!A$3:AJ$103,9,FALSE)&gt;0,IF(VLOOKUP(A23,Schlußkurse!A$5:AU$105,38,FALSE)&gt;0,VLOOKUP(A23,Schlußkurse!A$5:AU$105,38,FALSE)/VLOOKUP(A23,Ergebnis_je_Aktie_verwässert!A$3:AJ$103,9,FALSE),""),"")</f>
        <v>14.00796812749004</v>
      </c>
      <c r="G23" s="79">
        <f>IF(VLOOKUP(A23,Ergebnis_je_Aktie_verwässert!A$3:AJ$103,10,FALSE)&gt;0,IF(VLOOKUP(A23,Schlußkurse!A$5:AU$105,39,FALSE)&gt;0,VLOOKUP(A23,Schlußkurse!A$5:AU$105,39,FALSE)/VLOOKUP(A23,Ergebnis_je_Aktie_verwässert!A$3:AJ$103,10,FALSE),""),"")</f>
        <v>13.484</v>
      </c>
      <c r="H23" s="79">
        <f>IF(VLOOKUP(A23,Ergebnis_je_Aktie_verwässert!A$3:AJ$103,11,FALSE)&gt;0,IF(VLOOKUP(A23,Schlußkurse!A$5:AU$105,40,FALSE)&gt;0,VLOOKUP(A23,Schlußkurse!A$5:AU$105,40,FALSE)/VLOOKUP(A23,Ergebnis_je_Aktie_verwässert!A$3:AJ$103,11,FALSE),""),"")</f>
        <v>13.09090909090909</v>
      </c>
      <c r="I23" s="79">
        <f>IF(VLOOKUP(A23,Ergebnis_je_Aktie_verwässert!A$3:AJ$103,12,FALSE)&gt;0,IF(VLOOKUP(A23,Schlußkurse!A$5:AU$105,41,FALSE)&gt;0,VLOOKUP(A23,Schlußkurse!A$5:AU$105,41,FALSE)/VLOOKUP(A23,Ergebnis_je_Aktie_verwässert!A$3:AJ$103,12,FALSE),""),"")</f>
        <v>13.601851851851851</v>
      </c>
      <c r="J23" s="79">
        <f>IF(VLOOKUP(A23,Ergebnis_je_Aktie_verwässert!A$3:AJ$103,13,FALSE)&gt;0,IF(VLOOKUP(A23,Schlußkurse!A$5:AU$105,42,FALSE)&gt;0,VLOOKUP(A23,Schlußkurse!A$5:AU$105,42,FALSE)/VLOOKUP(A23,Ergebnis_je_Aktie_verwässert!A$3:AJ$103,13,FALSE),""),"")</f>
        <v>11.927659574468086</v>
      </c>
      <c r="K23" s="79">
        <f>IF(VLOOKUP(A23,Ergebnis_je_Aktie_verwässert!A$3:AJ$103,14,FALSE)&gt;0,IF(VLOOKUP(A23,Schlußkurse!A$5:AU$105,43,FALSE)&gt;0,VLOOKUP(A23,Schlußkurse!A$5:AU$105,43,FALSE)/VLOOKUP(A23,Ergebnis_je_Aktie_verwässert!A$3:AJ$103,14,FALSE),""),"")</f>
        <v>13.443396226415093</v>
      </c>
      <c r="L23" s="79">
        <f>IF(VLOOKUP(A23,Ergebnis_je_Aktie_verwässert!A$3:AJ$103,15,FALSE)&gt;0,IF(VLOOKUP(A23,Schlußkurse!A$5:AU$105,44,FALSE)&gt;0,VLOOKUP(A23,Schlußkurse!A$5:AU$105,44,FALSE)/VLOOKUP(A23,Ergebnis_je_Aktie_verwässert!A$3:AJ$103,15,FALSE),""),"")</f>
        <v>19.24074074074074</v>
      </c>
      <c r="M23" s="79">
        <f>IF(VLOOKUP(A23,Ergebnis_je_Aktie_verwässert!A$3:AJ$103,16,FALSE)&gt;0,IF(VLOOKUP(A23,Schlußkurse!A$5:AU$105,45,FALSE)&gt;0,VLOOKUP(A23,Schlußkurse!A$5:AU$105,45,FALSE)/VLOOKUP(A23,Ergebnis_je_Aktie_verwässert!A$3:AJ$103,16,FALSE),""),"")</f>
        <v>18.427835051546392</v>
      </c>
      <c r="N23" s="79">
        <f>IF(VLOOKUP(A23,Ergebnis_je_Aktie_verwässert!A$3:AJ$103,17,FALSE)&gt;0,IF(VLOOKUP(A23,Schlußkurse!A$5:AU$105,46,FALSE)&gt;0,VLOOKUP(A23,Schlußkurse!A$5:AU$105,46,FALSE)/VLOOKUP(A23,Ergebnis_je_Aktie_verwässert!A$3:AJ$103,17,FALSE),""),"")</f>
        <v>12.957671957671957</v>
      </c>
      <c r="O23" s="80">
        <f>IF(VLOOKUP(A23,Ergebnis_je_Aktie_verwässert!A$3:AJ$103,18,FALSE)&gt;0,IF(VLOOKUP(A23,Schlußkurse!A$5:AU$105,47,FALSE)&gt;0,VLOOKUP(A23,Schlußkurse!A$5:AU$105,47,FALSE)/VLOOKUP(A23,Ergebnis_je_Aktie_verwässert!A$3:AJ$103,18,FALSE),""),"")</f>
        <v>18.147887323943664</v>
      </c>
      <c r="P23" s="3">
        <f t="shared" si="0"/>
        <v>13.443396226415093</v>
      </c>
      <c r="Q23" s="3">
        <f ca="1">VLOOKUP(A23,Schlußkurse!A$5:AU$105,35,FALSE)/VLOOKUP(A23,Ergebnis_je_Aktie_verwässert!A$3:AK$103,23,FALSE)</f>
        <v>13.6468330134357</v>
      </c>
      <c r="R23" s="5">
        <f t="shared" ca="1" si="1"/>
        <v>1.5132841701182009E-2</v>
      </c>
    </row>
    <row r="24" spans="1:18" x14ac:dyDescent="0.25">
      <c r="A24" t="s">
        <v>95</v>
      </c>
      <c r="B24" t="s">
        <v>199</v>
      </c>
      <c r="C24" s="78">
        <f>IF(VLOOKUP(A24,Ergebnis_je_Aktie_verwässert!A$3:AJ$103,6,FALSE)&gt;0,IF(VLOOKUP(A24,Schlußkurse!A$5:AU$105,35,FALSE)&gt;0,VLOOKUP(A24,Schlußkurse!A$5:AU$105,35,FALSE)/VLOOKUP(A24,Ergebnis_je_Aktie_verwässert!A$3:AJ$103,6,FALSE),""),"")</f>
        <v>14.102692307692308</v>
      </c>
      <c r="D24" s="79">
        <f>IF(VLOOKUP(A24,Ergebnis_je_Aktie_verwässert!A$3:AJ$103,7,FALSE)&gt;0,IF(VLOOKUP(A24,Schlußkurse!A$5:AU$105,36,FALSE)&gt;0,VLOOKUP(A24,Schlußkurse!A$5:AU$105,36,FALSE)/VLOOKUP(A24,Ergebnis_je_Aktie_verwässert!A$3:AJ$103,7,FALSE),""),"")</f>
        <v>15.942173913043479</v>
      </c>
      <c r="E24" s="79">
        <f>IF(VLOOKUP(A24,Ergebnis_je_Aktie_verwässert!A$3:AJ$103,8,FALSE)&gt;0,IF(VLOOKUP(A24,Schlußkurse!A$5:AU$105,37,FALSE)&gt;0,VLOOKUP(A24,Schlußkurse!A$5:AU$105,37,FALSE)/VLOOKUP(A24,Ergebnis_je_Aktie_verwässert!A$3:AJ$103,8,FALSE),""),"")</f>
        <v>17.789054726368157</v>
      </c>
      <c r="F24" s="79">
        <f>IF(VLOOKUP(A24,Ergebnis_je_Aktie_verwässert!A$3:AJ$103,9,FALSE)&gt;0,IF(VLOOKUP(A24,Schlußkurse!A$5:AU$105,38,FALSE)&gt;0,VLOOKUP(A24,Schlußkurse!A$5:AU$105,38,FALSE)/VLOOKUP(A24,Ergebnis_je_Aktie_verwässert!A$3:AJ$103,9,FALSE),""),"")</f>
        <v>16.440000000000001</v>
      </c>
      <c r="G24" s="79">
        <f>IF(VLOOKUP(A24,Ergebnis_je_Aktie_verwässert!A$3:AJ$103,10,FALSE)&gt;0,IF(VLOOKUP(A24,Schlußkurse!A$5:AU$105,39,FALSE)&gt;0,VLOOKUP(A24,Schlußkurse!A$5:AU$105,39,FALSE)/VLOOKUP(A24,Ergebnis_je_Aktie_verwässert!A$3:AJ$103,10,FALSE),""),"")</f>
        <v>12.25311203319502</v>
      </c>
      <c r="H24" s="79">
        <f>IF(VLOOKUP(A24,Ergebnis_je_Aktie_verwässert!A$3:AJ$103,11,FALSE)&gt;0,IF(VLOOKUP(A24,Schlußkurse!A$5:AU$105,40,FALSE)&gt;0,VLOOKUP(A24,Schlußkurse!A$5:AU$105,40,FALSE)/VLOOKUP(A24,Ergebnis_je_Aktie_verwässert!A$3:AJ$103,11,FALSE),""),"")</f>
        <v>12.925308194343728</v>
      </c>
      <c r="I24" s="79">
        <f>IF(VLOOKUP(A24,Ergebnis_je_Aktie_verwässert!A$3:AJ$103,12,FALSE)&gt;0,IF(VLOOKUP(A24,Schlußkurse!A$5:AU$105,41,FALSE)&gt;0,VLOOKUP(A24,Schlußkurse!A$5:AU$105,41,FALSE)/VLOOKUP(A24,Ergebnis_je_Aktie_verwässert!A$3:AJ$103,12,FALSE),""),"")</f>
        <v>15.406628940986259</v>
      </c>
      <c r="J24" s="79">
        <f>IF(VLOOKUP(A24,Ergebnis_je_Aktie_verwässert!A$3:AJ$103,13,FALSE)&gt;0,IF(VLOOKUP(A24,Schlußkurse!A$5:AU$105,42,FALSE)&gt;0,VLOOKUP(A24,Schlußkurse!A$5:AU$105,42,FALSE)/VLOOKUP(A24,Ergebnis_je_Aktie_verwässert!A$3:AJ$103,13,FALSE),""),"")</f>
        <v>22.009478672985779</v>
      </c>
      <c r="K24" s="79">
        <f>IF(VLOOKUP(A24,Ergebnis_je_Aktie_verwässert!A$3:AJ$103,14,FALSE)&gt;0,IF(VLOOKUP(A24,Schlußkurse!A$5:AU$105,43,FALSE)&gt;0,VLOOKUP(A24,Schlußkurse!A$5:AU$105,43,FALSE)/VLOOKUP(A24,Ergebnis_je_Aktie_verwässert!A$3:AJ$103,14,FALSE),""),"")</f>
        <v>21.955810147299509</v>
      </c>
      <c r="L24" s="79">
        <f>IF(VLOOKUP(A24,Ergebnis_je_Aktie_verwässert!A$3:AJ$103,15,FALSE)&gt;0,IF(VLOOKUP(A24,Schlußkurse!A$5:AU$105,44,FALSE)&gt;0,VLOOKUP(A24,Schlußkurse!A$5:AU$105,44,FALSE)/VLOOKUP(A24,Ergebnis_je_Aktie_verwässert!A$3:AJ$103,15,FALSE),""),"")</f>
        <v>37.508650519031143</v>
      </c>
      <c r="M24" s="79">
        <f>IF(VLOOKUP(A24,Ergebnis_je_Aktie_verwässert!A$3:AJ$103,16,FALSE)&gt;0,IF(VLOOKUP(A24,Schlußkurse!A$5:AU$105,45,FALSE)&gt;0,VLOOKUP(A24,Schlußkurse!A$5:AU$105,45,FALSE)/VLOOKUP(A24,Ergebnis_je_Aktie_verwässert!A$3:AJ$103,16,FALSE),""),"")</f>
        <v>24.493569131832796</v>
      </c>
      <c r="N24" s="79">
        <f>IF(VLOOKUP(A24,Ergebnis_je_Aktie_verwässert!A$3:AJ$103,17,FALSE)&gt;0,IF(VLOOKUP(A24,Schlußkurse!A$5:AU$105,46,FALSE)&gt;0,VLOOKUP(A24,Schlußkurse!A$5:AU$105,46,FALSE)/VLOOKUP(A24,Ergebnis_je_Aktie_verwässert!A$3:AJ$103,17,FALSE),""),"")</f>
        <v>20.413988657844989</v>
      </c>
      <c r="O24" s="80">
        <f>IF(VLOOKUP(A24,Ergebnis_je_Aktie_verwässert!A$3:AJ$103,18,FALSE)&gt;0,IF(VLOOKUP(A24,Schlußkurse!A$5:AU$105,47,FALSE)&gt;0,VLOOKUP(A24,Schlußkurse!A$5:AU$105,47,FALSE)/VLOOKUP(A24,Ergebnis_je_Aktie_verwässert!A$3:AJ$103,18,FALSE),""),"")</f>
        <v>19.315000000000001</v>
      </c>
      <c r="P24" s="3">
        <f t="shared" si="0"/>
        <v>17.789054726368157</v>
      </c>
      <c r="Q24" s="3">
        <f ca="1">VLOOKUP(A24,Schlußkurse!A$5:AU$105,35,FALSE)/VLOOKUP(A24,Ergebnis_je_Aktie_verwässert!A$3:AK$103,23,FALSE)</f>
        <v>17.391920735724263</v>
      </c>
      <c r="R24" s="5">
        <f t="shared" ca="1" si="1"/>
        <v>-2.2324625830468348E-2</v>
      </c>
    </row>
    <row r="25" spans="1:18" x14ac:dyDescent="0.25">
      <c r="A25" t="s">
        <v>40</v>
      </c>
      <c r="B25" t="s">
        <v>41</v>
      </c>
      <c r="C25" s="78">
        <f>IF(VLOOKUP(A25,Ergebnis_je_Aktie_verwässert!A$3:AJ$103,6,FALSE)&gt;0,IF(VLOOKUP(A25,Schlußkurse!A$5:AU$105,35,FALSE)&gt;0,VLOOKUP(A25,Schlußkurse!A$5:AU$105,35,FALSE)/VLOOKUP(A25,Ergebnis_je_Aktie_verwässert!A$3:AJ$103,6,FALSE),""),"")</f>
        <v>17.995555555555555</v>
      </c>
      <c r="D25" s="79">
        <f>IF(VLOOKUP(A25,Ergebnis_je_Aktie_verwässert!A$3:AJ$103,7,FALSE)&gt;0,IF(VLOOKUP(A25,Schlußkurse!A$5:AU$105,36,FALSE)&gt;0,VLOOKUP(A25,Schlußkurse!A$5:AU$105,36,FALSE)/VLOOKUP(A25,Ergebnis_je_Aktie_verwässert!A$3:AJ$103,7,FALSE),""),"")</f>
        <v>19.280952380952382</v>
      </c>
      <c r="E25" s="79">
        <f>IF(VLOOKUP(A25,Ergebnis_je_Aktie_verwässert!A$3:AJ$103,8,FALSE)&gt;0,IF(VLOOKUP(A25,Schlußkurse!A$5:AU$105,37,FALSE)&gt;0,VLOOKUP(A25,Schlußkurse!A$5:AU$105,37,FALSE)/VLOOKUP(A25,Ergebnis_je_Aktie_verwässert!A$3:AJ$103,8,FALSE),""),"")</f>
        <v>21.651282051282053</v>
      </c>
      <c r="F25" s="79">
        <f>IF(VLOOKUP(A25,Ergebnis_je_Aktie_verwässert!A$3:AJ$103,9,FALSE)&gt;0,IF(VLOOKUP(A25,Schlußkurse!A$5:AU$105,38,FALSE)&gt;0,VLOOKUP(A25,Schlußkurse!A$5:AU$105,38,FALSE)/VLOOKUP(A25,Ergebnis_je_Aktie_verwässert!A$3:AJ$103,9,FALSE),""),"")</f>
        <v>25.818750000000001</v>
      </c>
      <c r="G25" s="79">
        <f>IF(VLOOKUP(A25,Ergebnis_je_Aktie_verwässert!A$3:AJ$103,10,FALSE)&gt;0,IF(VLOOKUP(A25,Schlußkurse!A$5:AU$105,39,FALSE)&gt;0,VLOOKUP(A25,Schlußkurse!A$5:AU$105,39,FALSE)/VLOOKUP(A25,Ergebnis_je_Aktie_verwässert!A$3:AJ$103,10,FALSE),""),"")</f>
        <v>19.078947368421055</v>
      </c>
      <c r="H25" s="79">
        <f>IF(VLOOKUP(A25,Ergebnis_je_Aktie_verwässert!A$3:AJ$103,11,FALSE)&gt;0,IF(VLOOKUP(A25,Schlußkurse!A$5:AU$105,40,FALSE)&gt;0,VLOOKUP(A25,Schlußkurse!A$5:AU$105,40,FALSE)/VLOOKUP(A25,Ergebnis_je_Aktie_verwässert!A$3:AJ$103,11,FALSE),""),"")</f>
        <v>17.758883248730964</v>
      </c>
      <c r="I25" s="79">
        <f>IF(VLOOKUP(A25,Ergebnis_je_Aktie_verwässert!A$3:AJ$103,12,FALSE)&gt;0,IF(VLOOKUP(A25,Schlußkurse!A$5:AU$105,41,FALSE)&gt;0,VLOOKUP(A25,Schlußkurse!A$5:AU$105,41,FALSE)/VLOOKUP(A25,Ergebnis_je_Aktie_verwässert!A$3:AJ$103,12,FALSE),""),"")</f>
        <v>17.775675675675675</v>
      </c>
      <c r="J25" s="79">
        <f>IF(VLOOKUP(A25,Ergebnis_je_Aktie_verwässert!A$3:AJ$103,13,FALSE)&gt;0,IF(VLOOKUP(A25,Schlußkurse!A$5:AU$105,42,FALSE)&gt;0,VLOOKUP(A25,Schlußkurse!A$5:AU$105,42,FALSE)/VLOOKUP(A25,Ergebnis_je_Aktie_verwässert!A$3:AJ$103,13,FALSE),""),"")</f>
        <v>17.701863354037265</v>
      </c>
      <c r="K25" s="79">
        <f>IF(VLOOKUP(A25,Ergebnis_je_Aktie_verwässert!A$3:AJ$103,14,FALSE)&gt;0,IF(VLOOKUP(A25,Schlußkurse!A$5:AU$105,43,FALSE)&gt;0,VLOOKUP(A25,Schlußkurse!A$5:AU$105,43,FALSE)/VLOOKUP(A25,Ergebnis_je_Aktie_verwässert!A$3:AJ$103,14,FALSE),""),"")</f>
        <v>15.397959183673471</v>
      </c>
      <c r="L25" s="79">
        <f>IF(VLOOKUP(A25,Ergebnis_je_Aktie_verwässert!A$3:AJ$103,15,FALSE)&gt;0,IF(VLOOKUP(A25,Schlußkurse!A$5:AU$105,44,FALSE)&gt;0,VLOOKUP(A25,Schlußkurse!A$5:AU$105,44,FALSE)/VLOOKUP(A25,Ergebnis_je_Aktie_verwässert!A$3:AJ$103,15,FALSE),""),"")</f>
        <v>20.32119205298013</v>
      </c>
      <c r="M25" s="79">
        <f>IF(VLOOKUP(A25,Ergebnis_je_Aktie_verwässert!A$3:AJ$103,16,FALSE)&gt;0,IF(VLOOKUP(A25,Schlußkurse!A$5:AU$105,45,FALSE)&gt;0,VLOOKUP(A25,Schlußkurse!A$5:AU$105,45,FALSE)/VLOOKUP(A25,Ergebnis_je_Aktie_verwässert!A$3:AJ$103,16,FALSE),""),"")</f>
        <v>18.759689922480618</v>
      </c>
      <c r="N25" s="79">
        <f>IF(VLOOKUP(A25,Ergebnis_je_Aktie_verwässert!A$3:AJ$103,17,FALSE)&gt;0,IF(VLOOKUP(A25,Schlußkurse!A$5:AU$105,46,FALSE)&gt;0,VLOOKUP(A25,Schlußkurse!A$5:AU$105,46,FALSE)/VLOOKUP(A25,Ergebnis_je_Aktie_verwässert!A$3:AJ$103,17,FALSE),""),"")</f>
        <v>18.662037037037038</v>
      </c>
      <c r="O25" s="80">
        <f>IF(VLOOKUP(A25,Ergebnis_je_Aktie_verwässert!A$3:AJ$103,18,FALSE)&gt;0,IF(VLOOKUP(A25,Schlußkurse!A$5:AU$105,47,FALSE)&gt;0,VLOOKUP(A25,Schlußkurse!A$5:AU$105,47,FALSE)/VLOOKUP(A25,Ergebnis_je_Aktie_verwässert!A$3:AJ$103,18,FALSE),""),"")</f>
        <v>20.411764705882351</v>
      </c>
      <c r="P25" s="3">
        <f t="shared" si="0"/>
        <v>18.759689922480618</v>
      </c>
      <c r="Q25" s="3">
        <f ca="1">VLOOKUP(A25,Schlußkurse!A$5:AU$105,35,FALSE)/VLOOKUP(A25,Ergebnis_je_Aktie_verwässert!A$3:AK$103,23,FALSE)</f>
        <v>20.236568096626407</v>
      </c>
      <c r="R25" s="5">
        <f t="shared" ca="1" si="1"/>
        <v>7.8726150605292089E-2</v>
      </c>
    </row>
    <row r="26" spans="1:18" x14ac:dyDescent="0.25">
      <c r="A26" t="s">
        <v>42</v>
      </c>
      <c r="B26" t="s">
        <v>43</v>
      </c>
      <c r="C26" s="78">
        <f>IF(VLOOKUP(A26,Ergebnis_je_Aktie_verwässert!A$3:AJ$103,6,FALSE)&gt;0,IF(VLOOKUP(A26,Schlußkurse!A$5:AU$105,35,FALSE)&gt;0,VLOOKUP(A26,Schlußkurse!A$5:AU$105,35,FALSE)/VLOOKUP(A26,Ergebnis_je_Aktie_verwässert!A$3:AJ$103,6,FALSE),""),"")</f>
        <v>19.518518518518523</v>
      </c>
      <c r="D26" s="79">
        <f>IF(VLOOKUP(A26,Ergebnis_je_Aktie_verwässert!A$3:AJ$103,7,FALSE)&gt;0,IF(VLOOKUP(A26,Schlußkurse!A$5:AU$105,36,FALSE)&gt;0,VLOOKUP(A26,Schlußkurse!A$5:AU$105,36,FALSE)/VLOOKUP(A26,Ergebnis_je_Aktie_verwässert!A$3:AJ$103,7,FALSE),""),"")</f>
        <v>21.544025157232706</v>
      </c>
      <c r="E26" s="79">
        <f>IF(VLOOKUP(A26,Ergebnis_je_Aktie_verwässert!A$3:AJ$103,8,FALSE)&gt;0,IF(VLOOKUP(A26,Schlußkurse!A$5:AU$105,37,FALSE)&gt;0,VLOOKUP(A26,Schlußkurse!A$5:AU$105,37,FALSE)/VLOOKUP(A26,Ergebnis_je_Aktie_verwässert!A$3:AJ$103,8,FALSE),""),"")</f>
        <v>24.108013937282227</v>
      </c>
      <c r="F26" s="79">
        <f>IF(VLOOKUP(A26,Ergebnis_je_Aktie_verwässert!A$3:AJ$103,9,FALSE)&gt;0,IF(VLOOKUP(A26,Schlußkurse!A$5:AU$105,38,FALSE)&gt;0,VLOOKUP(A26,Schlußkurse!A$5:AU$105,38,FALSE)/VLOOKUP(A26,Ergebnis_je_Aktie_verwässert!A$3:AJ$103,9,FALSE),""),"")</f>
        <v>27.631355932203387</v>
      </c>
      <c r="G26" s="79">
        <f>IF(VLOOKUP(A26,Ergebnis_je_Aktie_verwässert!A$3:AJ$103,10,FALSE)&gt;0,IF(VLOOKUP(A26,Schlußkurse!A$5:AU$105,39,FALSE)&gt;0,VLOOKUP(A26,Schlußkurse!A$5:AU$105,39,FALSE)/VLOOKUP(A26,Ergebnis_je_Aktie_verwässert!A$3:AJ$103,10,FALSE),""),"")</f>
        <v>21.962184873949582</v>
      </c>
      <c r="H26" s="79">
        <f>IF(VLOOKUP(A26,Ergebnis_je_Aktie_verwässert!A$3:AJ$103,11,FALSE)&gt;0,IF(VLOOKUP(A26,Schlußkurse!A$5:AU$105,40,FALSE)&gt;0,VLOOKUP(A26,Schlußkurse!A$5:AU$105,40,FALSE)/VLOOKUP(A26,Ergebnis_je_Aktie_verwässert!A$3:AJ$103,11,FALSE),""),"")</f>
        <v>17.905038759689923</v>
      </c>
      <c r="I26" s="79">
        <f>IF(VLOOKUP(A26,Ergebnis_je_Aktie_verwässert!A$3:AJ$103,12,FALSE)&gt;0,IF(VLOOKUP(A26,Schlußkurse!A$5:AU$105,41,FALSE)&gt;0,VLOOKUP(A26,Schlußkurse!A$5:AU$105,41,FALSE)/VLOOKUP(A26,Ergebnis_je_Aktie_verwässert!A$3:AJ$103,12,FALSE),""),"")</f>
        <v>16.26923076923077</v>
      </c>
      <c r="J26" s="79">
        <f>IF(VLOOKUP(A26,Ergebnis_je_Aktie_verwässert!A$3:AJ$103,13,FALSE)&gt;0,IF(VLOOKUP(A26,Schlußkurse!A$5:AU$105,42,FALSE)&gt;0,VLOOKUP(A26,Schlußkurse!A$5:AU$105,42,FALSE)/VLOOKUP(A26,Ergebnis_je_Aktie_verwässert!A$3:AJ$103,13,FALSE),""),"")</f>
        <v>19.104651162790699</v>
      </c>
      <c r="K26" s="79">
        <f>IF(VLOOKUP(A26,Ergebnis_je_Aktie_verwässert!A$3:AJ$103,14,FALSE)&gt;0,IF(VLOOKUP(A26,Schlußkurse!A$5:AU$105,43,FALSE)&gt;0,VLOOKUP(A26,Schlußkurse!A$5:AU$105,43,FALSE)/VLOOKUP(A26,Ergebnis_je_Aktie_verwässert!A$3:AJ$103,14,FALSE),""),"")</f>
        <v>15.648401826484021</v>
      </c>
      <c r="L26" s="79">
        <f>IF(VLOOKUP(A26,Ergebnis_je_Aktie_verwässert!A$3:AJ$103,15,FALSE)&gt;0,IF(VLOOKUP(A26,Schlußkurse!A$5:AU$105,44,FALSE)&gt;0,VLOOKUP(A26,Schlußkurse!A$5:AU$105,44,FALSE)/VLOOKUP(A26,Ergebnis_je_Aktie_verwässert!A$3:AJ$103,15,FALSE),""),"")</f>
        <v>21.300546448087431</v>
      </c>
      <c r="M26" s="79">
        <f>IF(VLOOKUP(A26,Ergebnis_je_Aktie_verwässert!A$3:AJ$103,16,FALSE)&gt;0,IF(VLOOKUP(A26,Schlußkurse!A$5:AU$105,45,FALSE)&gt;0,VLOOKUP(A26,Schlußkurse!A$5:AU$105,45,FALSE)/VLOOKUP(A26,Ergebnis_je_Aktie_verwässert!A$3:AJ$103,16,FALSE),""),"")</f>
        <v>20.412499999999998</v>
      </c>
      <c r="N26" s="79">
        <f>IF(VLOOKUP(A26,Ergebnis_je_Aktie_verwässert!A$3:AJ$103,17,FALSE)&gt;0,IF(VLOOKUP(A26,Schlußkurse!A$5:AU$105,46,FALSE)&gt;0,VLOOKUP(A26,Schlußkurse!A$5:AU$105,46,FALSE)/VLOOKUP(A26,Ergebnis_je_Aktie_verwässert!A$3:AJ$103,17,FALSE),""),"")</f>
        <v>22.471544715447155</v>
      </c>
      <c r="O26" s="80">
        <f>IF(VLOOKUP(A26,Ergebnis_je_Aktie_verwässert!A$3:AJ$103,18,FALSE)&gt;0,IF(VLOOKUP(A26,Schlußkurse!A$5:AU$105,47,FALSE)&gt;0,VLOOKUP(A26,Schlußkurse!A$5:AU$105,47,FALSE)/VLOOKUP(A26,Ergebnis_je_Aktie_verwässert!A$3:AJ$103,18,FALSE),""),"")</f>
        <v>15.163934426229508</v>
      </c>
      <c r="P26" s="3">
        <f t="shared" si="0"/>
        <v>20.412499999999998</v>
      </c>
      <c r="Q26" s="3">
        <f ca="1">VLOOKUP(A26,Schlußkurse!A$5:AU$105,35,FALSE)/VLOOKUP(A26,Ergebnis_je_Aktie_verwässert!A$3:AK$103,23,FALSE)</f>
        <v>23.028141397919743</v>
      </c>
      <c r="R26" s="5">
        <f t="shared" ca="1" si="1"/>
        <v>0.12813919891829739</v>
      </c>
    </row>
    <row r="27" spans="1:18" x14ac:dyDescent="0.25">
      <c r="A27" t="s">
        <v>44</v>
      </c>
      <c r="B27" t="s">
        <v>45</v>
      </c>
      <c r="C27" s="78">
        <f>IF(VLOOKUP(A27,Ergebnis_je_Aktie_verwässert!A$3:AJ$103,6,FALSE)&gt;0,IF(VLOOKUP(A27,Schlußkurse!A$5:AU$105,35,FALSE)&gt;0,VLOOKUP(A27,Schlußkurse!A$5:AU$105,35,FALSE)/VLOOKUP(A27,Ergebnis_je_Aktie_verwässert!A$3:AJ$103,6,FALSE),""),"")</f>
        <v>15.935294117647059</v>
      </c>
      <c r="D27" s="79">
        <f>IF(VLOOKUP(A27,Ergebnis_je_Aktie_verwässert!A$3:AJ$103,7,FALSE)&gt;0,IF(VLOOKUP(A27,Schlußkurse!A$5:AU$105,36,FALSE)&gt;0,VLOOKUP(A27,Schlußkurse!A$5:AU$105,36,FALSE)/VLOOKUP(A27,Ergebnis_je_Aktie_verwässert!A$3:AJ$103,7,FALSE),""),"")</f>
        <v>18.428571428571427</v>
      </c>
      <c r="E27" s="79">
        <f>IF(VLOOKUP(A27,Ergebnis_je_Aktie_verwässert!A$3:AJ$103,8,FALSE)&gt;0,IF(VLOOKUP(A27,Schlußkurse!A$5:AU$105,37,FALSE)&gt;0,VLOOKUP(A27,Schlußkurse!A$5:AU$105,37,FALSE)/VLOOKUP(A27,Ergebnis_je_Aktie_verwässert!A$3:AJ$103,8,FALSE),""),"")</f>
        <v>38.287878787878789</v>
      </c>
      <c r="F27" s="79">
        <f>IF(VLOOKUP(A27,Ergebnis_je_Aktie_verwässert!A$3:AJ$103,9,FALSE)&gt;0,IF(VLOOKUP(A27,Schlußkurse!A$5:AU$105,38,FALSE)&gt;0,VLOOKUP(A27,Schlußkurse!A$5:AU$105,38,FALSE)/VLOOKUP(A27,Ergebnis_je_Aktie_verwässert!A$3:AJ$103,9,FALSE),""),"")</f>
        <v>18.686666666666667</v>
      </c>
      <c r="G27" s="79">
        <f>IF(VLOOKUP(A27,Ergebnis_je_Aktie_verwässert!A$3:AJ$103,10,FALSE)&gt;0,IF(VLOOKUP(A27,Schlußkurse!A$5:AU$105,39,FALSE)&gt;0,VLOOKUP(A27,Schlußkurse!A$5:AU$105,39,FALSE)/VLOOKUP(A27,Ergebnis_je_Aktie_verwässert!A$3:AJ$103,10,FALSE),""),"")</f>
        <v>16.527559055118108</v>
      </c>
      <c r="H27" s="79">
        <f>IF(VLOOKUP(A27,Ergebnis_je_Aktie_verwässert!A$3:AJ$103,11,FALSE)&gt;0,IF(VLOOKUP(A27,Schlußkurse!A$5:AU$105,40,FALSE)&gt;0,VLOOKUP(A27,Schlußkurse!A$5:AU$105,40,FALSE)/VLOOKUP(A27,Ergebnis_je_Aktie_verwässert!A$3:AJ$103,11,FALSE),""),"")</f>
        <v>13.883720930232558</v>
      </c>
      <c r="I27" s="79">
        <f>IF(VLOOKUP(A27,Ergebnis_je_Aktie_verwässert!A$3:AJ$103,12,FALSE)&gt;0,IF(VLOOKUP(A27,Schlußkurse!A$5:AU$105,41,FALSE)&gt;0,VLOOKUP(A27,Schlußkurse!A$5:AU$105,41,FALSE)/VLOOKUP(A27,Ergebnis_je_Aktie_verwässert!A$3:AJ$103,12,FALSE),""),"")</f>
        <v>14.869918699186991</v>
      </c>
      <c r="J27" s="79">
        <f>IF(VLOOKUP(A27,Ergebnis_je_Aktie_verwässert!A$3:AJ$103,13,FALSE)&gt;0,IF(VLOOKUP(A27,Schlußkurse!A$5:AU$105,42,FALSE)&gt;0,VLOOKUP(A27,Schlußkurse!A$5:AU$105,42,FALSE)/VLOOKUP(A27,Ergebnis_je_Aktie_verwässert!A$3:AJ$103,13,FALSE),""),"")</f>
        <v>14.273584905660377</v>
      </c>
      <c r="K27" s="79">
        <f>IF(VLOOKUP(A27,Ergebnis_je_Aktie_verwässert!A$3:AJ$103,14,FALSE)&gt;0,IF(VLOOKUP(A27,Schlußkurse!A$5:AU$105,43,FALSE)&gt;0,VLOOKUP(A27,Schlußkurse!A$5:AU$105,43,FALSE)/VLOOKUP(A27,Ergebnis_je_Aktie_verwässert!A$3:AJ$103,14,FALSE),""),"")</f>
        <v>16.03960396039604</v>
      </c>
      <c r="L27" s="79">
        <f>IF(VLOOKUP(A27,Ergebnis_je_Aktie_verwässert!A$3:AJ$103,15,FALSE)&gt;0,IF(VLOOKUP(A27,Schlußkurse!A$5:AU$105,44,FALSE)&gt;0,VLOOKUP(A27,Schlußkurse!A$5:AU$105,44,FALSE)/VLOOKUP(A27,Ergebnis_je_Aktie_verwässert!A$3:AJ$103,15,FALSE),""),"")</f>
        <v>21.552325581395348</v>
      </c>
      <c r="M27" s="79">
        <f>IF(VLOOKUP(A27,Ergebnis_je_Aktie_verwässert!A$3:AJ$103,16,FALSE)&gt;0,IF(VLOOKUP(A27,Schlußkurse!A$5:AU$105,45,FALSE)&gt;0,VLOOKUP(A27,Schlußkurse!A$5:AU$105,45,FALSE)/VLOOKUP(A27,Ergebnis_je_Aktie_verwässert!A$3:AJ$103,16,FALSE),""),"")</f>
        <v>17.208294930875574</v>
      </c>
      <c r="N27" s="79">
        <f>IF(VLOOKUP(A27,Ergebnis_je_Aktie_verwässert!A$3:AJ$103,17,FALSE)&gt;0,IF(VLOOKUP(A27,Schlußkurse!A$5:AU$105,46,FALSE)&gt;0,VLOOKUP(A27,Schlußkurse!A$5:AU$105,46,FALSE)/VLOOKUP(A27,Ergebnis_je_Aktie_verwässert!A$3:AJ$103,17,FALSE),""),"")</f>
        <v>17.524999999999999</v>
      </c>
      <c r="O27" s="80">
        <f>IF(VLOOKUP(A27,Ergebnis_je_Aktie_verwässert!A$3:AJ$103,18,FALSE)&gt;0,IF(VLOOKUP(A27,Schlußkurse!A$5:AU$105,47,FALSE)&gt;0,VLOOKUP(A27,Schlußkurse!A$5:AU$105,47,FALSE)/VLOOKUP(A27,Ergebnis_je_Aktie_verwässert!A$3:AJ$103,18,FALSE),""),"")</f>
        <v>23.7012987012987</v>
      </c>
      <c r="P27" s="3">
        <f t="shared" si="0"/>
        <v>17.208294930875574</v>
      </c>
      <c r="Q27" s="3">
        <f ca="1">VLOOKUP(A27,Schlußkurse!A$5:AU$105,35,FALSE)/VLOOKUP(A27,Ergebnis_je_Aktie_verwässert!A$3:AK$103,23,FALSE)</f>
        <v>28.988764044943824</v>
      </c>
      <c r="R27" s="5">
        <f t="shared" ca="1" si="1"/>
        <v>0.68458084670151864</v>
      </c>
    </row>
    <row r="28" spans="1:18" x14ac:dyDescent="0.25">
      <c r="A28" t="s">
        <v>46</v>
      </c>
      <c r="B28" t="s">
        <v>47</v>
      </c>
      <c r="C28" s="78">
        <f>IF(VLOOKUP(A28,Ergebnis_je_Aktie_verwässert!A$3:AJ$103,6,FALSE)&gt;0,IF(VLOOKUP(A28,Schlußkurse!A$5:AU$105,35,FALSE)&gt;0,VLOOKUP(A28,Schlußkurse!A$5:AU$105,35,FALSE)/VLOOKUP(A28,Ergebnis_je_Aktie_verwässert!A$3:AJ$103,6,FALSE),""),"")</f>
        <v>10.380952380952381</v>
      </c>
      <c r="D28" s="79">
        <f>IF(VLOOKUP(A28,Ergebnis_je_Aktie_verwässert!A$3:AJ$103,7,FALSE)&gt;0,IF(VLOOKUP(A28,Schlußkurse!A$5:AU$105,36,FALSE)&gt;0,VLOOKUP(A28,Schlußkurse!A$5:AU$105,36,FALSE)/VLOOKUP(A28,Ergebnis_je_Aktie_verwässert!A$3:AJ$103,7,FALSE),""),"")</f>
        <v>11.398692810457517</v>
      </c>
      <c r="E28" s="79">
        <f>IF(VLOOKUP(A28,Ergebnis_je_Aktie_verwässert!A$3:AJ$103,8,FALSE)&gt;0,IF(VLOOKUP(A28,Schlußkurse!A$5:AU$105,37,FALSE)&gt;0,VLOOKUP(A28,Schlußkurse!A$5:AU$105,37,FALSE)/VLOOKUP(A28,Ergebnis_je_Aktie_verwässert!A$3:AJ$103,8,FALSE),""),"")</f>
        <v>11.064827586206896</v>
      </c>
      <c r="F28" s="79">
        <f>IF(VLOOKUP(A28,Ergebnis_je_Aktie_verwässert!A$3:AJ$103,9,FALSE)&gt;0,IF(VLOOKUP(A28,Schlußkurse!A$5:AU$105,38,FALSE)&gt;0,VLOOKUP(A28,Schlußkurse!A$5:AU$105,38,FALSE)/VLOOKUP(A28,Ergebnis_je_Aktie_verwässert!A$3:AJ$103,9,FALSE),""),"")</f>
        <v>12.031430404105196</v>
      </c>
      <c r="G28" s="79">
        <f>IF(VLOOKUP(A28,Ergebnis_je_Aktie_verwässert!A$3:AJ$103,10,FALSE)&gt;0,IF(VLOOKUP(A28,Schlußkurse!A$5:AU$105,39,FALSE)&gt;0,VLOOKUP(A28,Schlußkurse!A$5:AU$105,39,FALSE)/VLOOKUP(A28,Ergebnis_je_Aktie_verwässert!A$3:AJ$103,10,FALSE),""),"")</f>
        <v>12.821285140562249</v>
      </c>
      <c r="H28" s="79">
        <f>IF(VLOOKUP(A28,Ergebnis_je_Aktie_verwässert!A$3:AJ$103,11,FALSE)&gt;0,IF(VLOOKUP(A28,Schlußkurse!A$5:AU$105,40,FALSE)&gt;0,VLOOKUP(A28,Schlußkurse!A$5:AU$105,40,FALSE)/VLOOKUP(A28,Ergebnis_je_Aktie_verwässert!A$3:AJ$103,11,FALSE),""),"")</f>
        <v>12.796102992345164</v>
      </c>
      <c r="I28" s="79">
        <f>IF(VLOOKUP(A28,Ergebnis_je_Aktie_verwässert!A$3:AJ$103,12,FALSE)&gt;0,IF(VLOOKUP(A28,Schlußkurse!A$5:AU$105,41,FALSE)&gt;0,VLOOKUP(A28,Schlußkurse!A$5:AU$105,41,FALSE)/VLOOKUP(A28,Ergebnis_je_Aktie_verwässert!A$3:AJ$103,12,FALSE),""),"")</f>
        <v>11.237366003062785</v>
      </c>
      <c r="J28" s="79">
        <f>IF(VLOOKUP(A28,Ergebnis_je_Aktie_verwässert!A$3:AJ$103,13,FALSE)&gt;0,IF(VLOOKUP(A28,Schlußkurse!A$5:AU$105,42,FALSE)&gt;0,VLOOKUP(A28,Schlußkurse!A$5:AU$105,42,FALSE)/VLOOKUP(A28,Ergebnis_je_Aktie_verwässert!A$3:AJ$103,13,FALSE),""),"")</f>
        <v>11.362847222222223</v>
      </c>
      <c r="K28" s="79">
        <f>IF(VLOOKUP(A28,Ergebnis_je_Aktie_verwässert!A$3:AJ$103,14,FALSE)&gt;0,IF(VLOOKUP(A28,Schlußkurse!A$5:AU$105,43,FALSE)&gt;0,VLOOKUP(A28,Schlußkurse!A$5:AU$105,43,FALSE)/VLOOKUP(A28,Ergebnis_je_Aktie_verwässert!A$3:AJ$103,14,FALSE),""),"")</f>
        <v>8.4075924075924071</v>
      </c>
      <c r="L28" s="79">
        <f>IF(VLOOKUP(A28,Ergebnis_je_Aktie_verwässert!A$3:AJ$103,15,FALSE)&gt;0,IF(VLOOKUP(A28,Schlußkurse!A$5:AU$105,44,FALSE)&gt;0,VLOOKUP(A28,Schlußkurse!A$5:AU$105,44,FALSE)/VLOOKUP(A28,Ergebnis_je_Aktie_verwässert!A$3:AJ$103,15,FALSE),""),"")</f>
        <v>12.105263157894736</v>
      </c>
      <c r="M28" s="79">
        <f>IF(VLOOKUP(A28,Ergebnis_je_Aktie_verwässert!A$3:AJ$103,16,FALSE)&gt;0,IF(VLOOKUP(A28,Schlußkurse!A$5:AU$105,45,FALSE)&gt;0,VLOOKUP(A28,Schlußkurse!A$5:AU$105,45,FALSE)/VLOOKUP(A28,Ergebnis_je_Aktie_verwässert!A$3:AJ$103,16,FALSE),""),"")</f>
        <v>13.555710306406686</v>
      </c>
      <c r="N28" s="79">
        <f>IF(VLOOKUP(A28,Ergebnis_je_Aktie_verwässert!A$3:AJ$103,17,FALSE)&gt;0,IF(VLOOKUP(A28,Schlußkurse!A$5:AU$105,46,FALSE)&gt;0,VLOOKUP(A28,Schlußkurse!A$5:AU$105,46,FALSE)/VLOOKUP(A28,Ergebnis_je_Aktie_verwässert!A$3:AJ$103,17,FALSE),""),"")</f>
        <v>13.453355155482814</v>
      </c>
      <c r="O28" s="80">
        <f>IF(VLOOKUP(A28,Ergebnis_je_Aktie_verwässert!A$3:AJ$103,18,FALSE)&gt;0,IF(VLOOKUP(A28,Schlußkurse!A$5:AU$105,47,FALSE)&gt;0,VLOOKUP(A28,Schlußkurse!A$5:AU$105,47,FALSE)/VLOOKUP(A28,Ergebnis_je_Aktie_verwässert!A$3:AJ$103,18,FALSE),""),"")</f>
        <v>20.200819672131146</v>
      </c>
      <c r="P28" s="3">
        <f t="shared" si="0"/>
        <v>12.031430404105196</v>
      </c>
      <c r="Q28" s="3">
        <f ca="1">VLOOKUP(A28,Schlußkurse!A$5:AU$105,35,FALSE)/VLOOKUP(A28,Ergebnis_je_Aktie_verwässert!A$3:AK$103,23,FALSE)</f>
        <v>11.806830148939371</v>
      </c>
      <c r="R28" s="5">
        <f t="shared" ca="1" si="1"/>
        <v>-1.8667793240044861E-2</v>
      </c>
    </row>
    <row r="29" spans="1:18" x14ac:dyDescent="0.25">
      <c r="A29" t="s">
        <v>48</v>
      </c>
      <c r="B29" t="s">
        <v>49</v>
      </c>
      <c r="C29" s="78">
        <f>IF(VLOOKUP(A29,Ergebnis_je_Aktie_verwässert!A$3:AJ$103,6,FALSE)&gt;0,IF(VLOOKUP(A29,Schlußkurse!A$5:AU$105,35,FALSE)&gt;0,VLOOKUP(A29,Schlußkurse!A$5:AU$105,35,FALSE)/VLOOKUP(A29,Ergebnis_je_Aktie_verwässert!A$3:AJ$103,6,FALSE),""),"")</f>
        <v>15.444615384615386</v>
      </c>
      <c r="D29" s="79">
        <f>IF(VLOOKUP(A29,Ergebnis_je_Aktie_verwässert!A$3:AJ$103,7,FALSE)&gt;0,IF(VLOOKUP(A29,Schlußkurse!A$5:AU$105,36,FALSE)&gt;0,VLOOKUP(A29,Schlußkurse!A$5:AU$105,36,FALSE)/VLOOKUP(A29,Ergebnis_je_Aktie_verwässert!A$3:AJ$103,7,FALSE),""),"")</f>
        <v>16.593388429752068</v>
      </c>
      <c r="E29" s="79">
        <f>IF(VLOOKUP(A29,Ergebnis_je_Aktie_verwässert!A$3:AJ$103,8,FALSE)&gt;0,IF(VLOOKUP(A29,Schlußkurse!A$5:AU$105,37,FALSE)&gt;0,VLOOKUP(A29,Schlußkurse!A$5:AU$105,37,FALSE)/VLOOKUP(A29,Ergebnis_je_Aktie_verwässert!A$3:AJ$103,8,FALSE),""),"")</f>
        <v>17.784013605442176</v>
      </c>
      <c r="F29" s="79">
        <f>IF(VLOOKUP(A29,Ergebnis_je_Aktie_verwässert!A$3:AJ$103,9,FALSE)&gt;0,IF(VLOOKUP(A29,Schlußkurse!A$5:AU$105,38,FALSE)&gt;0,VLOOKUP(A29,Schlußkurse!A$5:AU$105,38,FALSE)/VLOOKUP(A29,Ergebnis_je_Aktie_verwässert!A$3:AJ$103,9,FALSE),""),"")</f>
        <v>16.061403508771928</v>
      </c>
      <c r="G29" s="79">
        <f>IF(VLOOKUP(A29,Ergebnis_je_Aktie_verwässert!A$3:AJ$103,10,FALSE)&gt;0,IF(VLOOKUP(A29,Schlußkurse!A$5:AU$105,39,FALSE)&gt;0,VLOOKUP(A29,Schlußkurse!A$5:AU$105,39,FALSE)/VLOOKUP(A29,Ergebnis_je_Aktie_verwässert!A$3:AJ$103,10,FALSE),""),"")</f>
        <v>12.341549295774648</v>
      </c>
      <c r="H29" s="79">
        <f>IF(VLOOKUP(A29,Ergebnis_je_Aktie_verwässert!A$3:AJ$103,11,FALSE)&gt;0,IF(VLOOKUP(A29,Schlußkurse!A$5:AU$105,40,FALSE)&gt;0,VLOOKUP(A29,Schlußkurse!A$5:AU$105,40,FALSE)/VLOOKUP(A29,Ergebnis_je_Aktie_verwässert!A$3:AJ$103,11,FALSE),""),"")</f>
        <v>14.770270270270268</v>
      </c>
      <c r="I29" s="79">
        <f>IF(VLOOKUP(A29,Ergebnis_je_Aktie_verwässert!A$3:AJ$103,12,FALSE)&gt;0,IF(VLOOKUP(A29,Schlußkurse!A$5:AU$105,41,FALSE)&gt;0,VLOOKUP(A29,Schlußkurse!A$5:AU$105,41,FALSE)/VLOOKUP(A29,Ergebnis_je_Aktie_verwässert!A$3:AJ$103,12,FALSE),""),"")</f>
        <v>13.867713004484305</v>
      </c>
      <c r="J29" s="79">
        <f>IF(VLOOKUP(A29,Ergebnis_je_Aktie_verwässert!A$3:AJ$103,13,FALSE)&gt;0,IF(VLOOKUP(A29,Schlußkurse!A$5:AU$105,42,FALSE)&gt;0,VLOOKUP(A29,Schlußkurse!A$5:AU$105,42,FALSE)/VLOOKUP(A29,Ergebnis_je_Aktie_verwässert!A$3:AJ$103,13,FALSE),""),"")</f>
        <v>13.474895397489538</v>
      </c>
      <c r="K29" s="79">
        <f>IF(VLOOKUP(A29,Ergebnis_je_Aktie_verwässert!A$3:AJ$103,14,FALSE)&gt;0,IF(VLOOKUP(A29,Schlußkurse!A$5:AU$105,43,FALSE)&gt;0,VLOOKUP(A29,Schlußkurse!A$5:AU$105,43,FALSE)/VLOOKUP(A29,Ergebnis_je_Aktie_verwässert!A$3:AJ$103,14,FALSE),""),"")</f>
        <v>13.597727272727271</v>
      </c>
      <c r="L29" s="79">
        <f>IF(VLOOKUP(A29,Ergebnis_je_Aktie_verwässert!A$3:AJ$103,15,FALSE)&gt;0,IF(VLOOKUP(A29,Schlußkurse!A$5:AU$105,44,FALSE)&gt;0,VLOOKUP(A29,Schlußkurse!A$5:AU$105,44,FALSE)/VLOOKUP(A29,Ergebnis_je_Aktie_verwässert!A$3:AJ$103,15,FALSE),""),"")</f>
        <v>14.595185995623632</v>
      </c>
      <c r="M29" s="79">
        <f>IF(VLOOKUP(A29,Ergebnis_je_Aktie_verwässert!A$3:AJ$103,16,FALSE)&gt;0,IF(VLOOKUP(A29,Schlußkurse!A$5:AU$105,45,FALSE)&gt;0,VLOOKUP(A29,Schlußkurse!A$5:AU$105,45,FALSE)/VLOOKUP(A29,Ergebnis_je_Aktie_verwässert!A$3:AJ$103,16,FALSE),""),"")</f>
        <v>18.203856749311296</v>
      </c>
      <c r="N29" s="79">
        <f>IF(VLOOKUP(A29,Ergebnis_je_Aktie_verwässert!A$3:AJ$103,17,FALSE)&gt;0,IF(VLOOKUP(A29,Schlußkurse!A$5:AU$105,46,FALSE)&gt;0,VLOOKUP(A29,Schlußkurse!A$5:AU$105,46,FALSE)/VLOOKUP(A29,Ergebnis_je_Aktie_verwässert!A$3:AJ$103,17,FALSE),""),"")</f>
        <v>16.112600536193028</v>
      </c>
      <c r="O29" s="80">
        <f>IF(VLOOKUP(A29,Ergebnis_je_Aktie_verwässert!A$3:AJ$103,18,FALSE)&gt;0,IF(VLOOKUP(A29,Schlußkurse!A$5:AU$105,47,FALSE)&gt;0,VLOOKUP(A29,Schlußkurse!A$5:AU$105,47,FALSE)/VLOOKUP(A29,Ergebnis_je_Aktie_verwässert!A$3:AJ$103,18,FALSE),""),"")</f>
        <v>18.329479768786129</v>
      </c>
      <c r="P29" s="3">
        <f t="shared" si="0"/>
        <v>15.444615384615386</v>
      </c>
      <c r="Q29" s="3">
        <f ca="1">VLOOKUP(A29,Schlußkurse!A$5:AU$105,35,FALSE)/VLOOKUP(A29,Ergebnis_je_Aktie_verwässert!A$3:AK$103,23,FALSE)</f>
        <v>16.907473076527225</v>
      </c>
      <c r="R29" s="5">
        <f t="shared" ca="1" si="1"/>
        <v>9.4716356185147399E-2</v>
      </c>
    </row>
    <row r="30" spans="1:18" x14ac:dyDescent="0.25">
      <c r="A30" t="s">
        <v>50</v>
      </c>
      <c r="B30" t="s">
        <v>51</v>
      </c>
      <c r="C30" s="78">
        <f>IF(VLOOKUP(A30,Ergebnis_je_Aktie_verwässert!A$3:AJ$103,6,FALSE)&gt;0,IF(VLOOKUP(A30,Schlußkurse!A$5:AU$105,35,FALSE)&gt;0,VLOOKUP(A30,Schlußkurse!A$5:AU$105,35,FALSE)/VLOOKUP(A30,Ergebnis_je_Aktie_verwässert!A$3:AJ$103,6,FALSE),""),"")</f>
        <v>23.119565217391305</v>
      </c>
      <c r="D30" s="79">
        <f>IF(VLOOKUP(A30,Ergebnis_je_Aktie_verwässert!A$3:AJ$103,7,FALSE)&gt;0,IF(VLOOKUP(A30,Schlußkurse!A$5:AU$105,36,FALSE)&gt;0,VLOOKUP(A30,Schlußkurse!A$5:AU$105,36,FALSE)/VLOOKUP(A30,Ergebnis_je_Aktie_verwässert!A$3:AJ$103,7,FALSE),""),"")</f>
        <v>24.732558139534884</v>
      </c>
      <c r="E30" s="79">
        <f>IF(VLOOKUP(A30,Ergebnis_je_Aktie_verwässert!A$3:AJ$103,8,FALSE)&gt;0,IF(VLOOKUP(A30,Schlußkurse!A$5:AU$105,37,FALSE)&gt;0,VLOOKUP(A30,Schlußkurse!A$5:AU$105,37,FALSE)/VLOOKUP(A30,Ergebnis_je_Aktie_verwässert!A$3:AJ$103,8,FALSE),""),"")</f>
        <v>19.399380804953559</v>
      </c>
      <c r="F30" s="79">
        <f>IF(VLOOKUP(A30,Ergebnis_je_Aktie_verwässert!A$3:AJ$103,9,FALSE)&gt;0,IF(VLOOKUP(A30,Schlußkurse!A$5:AU$105,38,FALSE)&gt;0,VLOOKUP(A30,Schlußkurse!A$5:AU$105,38,FALSE)/VLOOKUP(A30,Ergebnis_je_Aktie_verwässert!A$3:AJ$103,9,FALSE),""),"")</f>
        <v>15.855882352941176</v>
      </c>
      <c r="G30" s="79">
        <f>IF(VLOOKUP(A30,Ergebnis_je_Aktie_verwässert!A$3:AJ$103,10,FALSE)&gt;0,IF(VLOOKUP(A30,Schlußkurse!A$5:AU$105,39,FALSE)&gt;0,VLOOKUP(A30,Schlußkurse!A$5:AU$105,39,FALSE)/VLOOKUP(A30,Ergebnis_je_Aktie_verwässert!A$3:AJ$103,10,FALSE),""),"")</f>
        <v>16.297491039426522</v>
      </c>
      <c r="H30" s="79" t="str">
        <f>IF(VLOOKUP(A30,Ergebnis_je_Aktie_verwässert!A$3:AJ$103,11,FALSE)&gt;0,IF(VLOOKUP(A30,Schlußkurse!A$5:AU$105,40,FALSE)&gt;0,VLOOKUP(A30,Schlußkurse!A$5:AU$105,40,FALSE)/VLOOKUP(A30,Ergebnis_je_Aktie_verwässert!A$3:AJ$103,11,FALSE),""),"")</f>
        <v/>
      </c>
      <c r="I30" s="79" t="str">
        <f>IF(VLOOKUP(A30,Ergebnis_je_Aktie_verwässert!A$3:AJ$103,12,FALSE)&gt;0,IF(VLOOKUP(A30,Schlußkurse!A$5:AU$105,41,FALSE)&gt;0,VLOOKUP(A30,Schlußkurse!A$5:AU$105,41,FALSE)/VLOOKUP(A30,Ergebnis_je_Aktie_verwässert!A$3:AJ$103,12,FALSE),""),"")</f>
        <v/>
      </c>
      <c r="J30" s="79" t="str">
        <f>IF(VLOOKUP(A30,Ergebnis_je_Aktie_verwässert!A$3:AJ$103,13,FALSE)&gt;0,IF(VLOOKUP(A30,Schlußkurse!A$5:AU$105,42,FALSE)&gt;0,VLOOKUP(A30,Schlußkurse!A$5:AU$105,42,FALSE)/VLOOKUP(A30,Ergebnis_je_Aktie_verwässert!A$3:AJ$103,13,FALSE),""),"")</f>
        <v/>
      </c>
      <c r="K30" s="79" t="str">
        <f>IF(VLOOKUP(A30,Ergebnis_je_Aktie_verwässert!A$3:AJ$103,14,FALSE)&gt;0,IF(VLOOKUP(A30,Schlußkurse!A$5:AU$105,43,FALSE)&gt;0,VLOOKUP(A30,Schlußkurse!A$5:AU$105,43,FALSE)/VLOOKUP(A30,Ergebnis_je_Aktie_verwässert!A$3:AJ$103,14,FALSE),""),"")</f>
        <v/>
      </c>
      <c r="L30" s="79" t="str">
        <f>IF(VLOOKUP(A30,Ergebnis_je_Aktie_verwässert!A$3:AJ$103,15,FALSE)&gt;0,IF(VLOOKUP(A30,Schlußkurse!A$5:AU$105,44,FALSE)&gt;0,VLOOKUP(A30,Schlußkurse!A$5:AU$105,44,FALSE)/VLOOKUP(A30,Ergebnis_je_Aktie_verwässert!A$3:AJ$103,15,FALSE),""),"")</f>
        <v/>
      </c>
      <c r="M30" s="79" t="str">
        <f>IF(VLOOKUP(A30,Ergebnis_je_Aktie_verwässert!A$3:AJ$103,16,FALSE)&gt;0,IF(VLOOKUP(A30,Schlußkurse!A$5:AU$105,45,FALSE)&gt;0,VLOOKUP(A30,Schlußkurse!A$5:AU$105,45,FALSE)/VLOOKUP(A30,Ergebnis_je_Aktie_verwässert!A$3:AJ$103,16,FALSE),""),"")</f>
        <v/>
      </c>
      <c r="N30" s="79" t="str">
        <f>IF(VLOOKUP(A30,Ergebnis_je_Aktie_verwässert!A$3:AJ$103,17,FALSE)&gt;0,IF(VLOOKUP(A30,Schlußkurse!A$5:AU$105,46,FALSE)&gt;0,VLOOKUP(A30,Schlußkurse!A$5:AU$105,46,FALSE)/VLOOKUP(A30,Ergebnis_je_Aktie_verwässert!A$3:AJ$103,17,FALSE),""),"")</f>
        <v/>
      </c>
      <c r="O30" s="80" t="str">
        <f>IF(VLOOKUP(A30,Ergebnis_je_Aktie_verwässert!A$3:AJ$103,18,FALSE)&gt;0,IF(VLOOKUP(A30,Schlußkurse!A$5:AU$105,47,FALSE)&gt;0,VLOOKUP(A30,Schlußkurse!A$5:AU$105,47,FALSE)/VLOOKUP(A30,Ergebnis_je_Aktie_verwässert!A$3:AJ$103,18,FALSE),""),"")</f>
        <v/>
      </c>
      <c r="P30" s="3">
        <f t="shared" si="0"/>
        <v>19.399380804953559</v>
      </c>
      <c r="Q30" s="3">
        <f ca="1">VLOOKUP(A30,Schlußkurse!A$5:AU$105,35,FALSE)/VLOOKUP(A30,Ergebnis_je_Aktie_verwässert!A$3:AK$103,23,FALSE)</f>
        <v>25.772706618872121</v>
      </c>
      <c r="R30" s="5">
        <f t="shared" ca="1" si="1"/>
        <v>0.32853243502963547</v>
      </c>
    </row>
    <row r="31" spans="1:18" x14ac:dyDescent="0.25">
      <c r="A31" t="s">
        <v>52</v>
      </c>
      <c r="B31" t="s">
        <v>53</v>
      </c>
      <c r="C31" s="78">
        <f>IF(VLOOKUP(A31,Ergebnis_je_Aktie_verwässert!A$3:AJ$103,6,FALSE)&gt;0,IF(VLOOKUP(A31,Schlußkurse!A$5:AU$105,35,FALSE)&gt;0,VLOOKUP(A31,Schlußkurse!A$5:AU$105,35,FALSE)/VLOOKUP(A31,Ergebnis_je_Aktie_verwässert!A$3:AJ$103,6,FALSE),""),"")</f>
        <v>16.96153846153846</v>
      </c>
      <c r="D31" s="79">
        <f>IF(VLOOKUP(A31,Ergebnis_je_Aktie_verwässert!A$3:AJ$103,7,FALSE)&gt;0,IF(VLOOKUP(A31,Schlußkurse!A$5:AU$105,36,FALSE)&gt;0,VLOOKUP(A31,Schlußkurse!A$5:AU$105,36,FALSE)/VLOOKUP(A31,Ergebnis_je_Aktie_verwässert!A$3:AJ$103,7,FALSE),""),"")</f>
        <v>18.83883495145631</v>
      </c>
      <c r="E31" s="79">
        <f>IF(VLOOKUP(A31,Ergebnis_je_Aktie_verwässert!A$3:AJ$103,8,FALSE)&gt;0,IF(VLOOKUP(A31,Schlußkurse!A$5:AU$105,37,FALSE)&gt;0,VLOOKUP(A31,Schlußkurse!A$5:AU$105,37,FALSE)/VLOOKUP(A31,Ergebnis_je_Aktie_verwässert!A$3:AJ$103,8,FALSE),""),"")</f>
        <v>19.480249480249483</v>
      </c>
      <c r="F31" s="79">
        <f>IF(VLOOKUP(A31,Ergebnis_je_Aktie_verwässert!A$3:AJ$103,9,FALSE)&gt;0,IF(VLOOKUP(A31,Schlußkurse!A$5:AU$105,38,FALSE)&gt;0,VLOOKUP(A31,Schlußkurse!A$5:AU$105,38,FALSE)/VLOOKUP(A31,Ergebnis_je_Aktie_verwässert!A$3:AJ$103,9,FALSE),""),"")</f>
        <v>20.130705394190869</v>
      </c>
      <c r="G31" s="79">
        <f>IF(VLOOKUP(A31,Ergebnis_je_Aktie_verwässert!A$3:AJ$103,10,FALSE)&gt;0,IF(VLOOKUP(A31,Schlußkurse!A$5:AU$105,39,FALSE)&gt;0,VLOOKUP(A31,Schlußkurse!A$5:AU$105,39,FALSE)/VLOOKUP(A31,Ergebnis_je_Aktie_verwässert!A$3:AJ$103,10,FALSE),""),"")</f>
        <v>15.893693693693693</v>
      </c>
      <c r="H31" s="79">
        <f>IF(VLOOKUP(A31,Ergebnis_je_Aktie_verwässert!A$3:AJ$103,11,FALSE)&gt;0,IF(VLOOKUP(A31,Schlußkurse!A$5:AU$105,40,FALSE)&gt;0,VLOOKUP(A31,Schlußkurse!A$5:AU$105,40,FALSE)/VLOOKUP(A31,Ergebnis_je_Aktie_verwässert!A$3:AJ$103,11,FALSE),""),"")</f>
        <v>18.718283582089551</v>
      </c>
      <c r="I31" s="79">
        <f>IF(VLOOKUP(A31,Ergebnis_je_Aktie_verwässert!A$3:AJ$103,12,FALSE)&gt;0,IF(VLOOKUP(A31,Schlußkurse!A$5:AU$105,41,FALSE)&gt;0,VLOOKUP(A31,Schlußkurse!A$5:AU$105,41,FALSE)/VLOOKUP(A31,Ergebnis_je_Aktie_verwässert!A$3:AJ$103,12,FALSE),""),"")</f>
        <v>14.565464895635676</v>
      </c>
      <c r="J31" s="79">
        <f>IF(VLOOKUP(A31,Ergebnis_je_Aktie_verwässert!A$3:AJ$103,13,FALSE)&gt;0,IF(VLOOKUP(A31,Schlußkurse!A$5:AU$105,42,FALSE)&gt;0,VLOOKUP(A31,Schlußkurse!A$5:AU$105,42,FALSE)/VLOOKUP(A31,Ergebnis_je_Aktie_verwässert!A$3:AJ$103,13,FALSE),""),"")</f>
        <v>13.633187772925764</v>
      </c>
      <c r="K31" s="79">
        <f>IF(VLOOKUP(A31,Ergebnis_je_Aktie_verwässert!A$3:AJ$103,14,FALSE)&gt;0,IF(VLOOKUP(A31,Schlußkurse!A$5:AU$105,43,FALSE)&gt;0,VLOOKUP(A31,Schlußkurse!A$5:AU$105,43,FALSE)/VLOOKUP(A31,Ergebnis_je_Aktie_verwässert!A$3:AJ$103,14,FALSE),""),"")</f>
        <v>15.131386861313867</v>
      </c>
      <c r="L31" s="79">
        <f>IF(VLOOKUP(A31,Ergebnis_je_Aktie_verwässert!A$3:AJ$103,15,FALSE)&gt;0,IF(VLOOKUP(A31,Schlußkurse!A$5:AU$105,44,FALSE)&gt;0,VLOOKUP(A31,Schlußkurse!A$5:AU$105,44,FALSE)/VLOOKUP(A31,Ergebnis_je_Aktie_verwässert!A$3:AJ$103,15,FALSE),""),"")</f>
        <v>15.667553191489361</v>
      </c>
      <c r="M31" s="79">
        <f>IF(VLOOKUP(A31,Ergebnis_je_Aktie_verwässert!A$3:AJ$103,16,FALSE)&gt;0,IF(VLOOKUP(A31,Schlußkurse!A$5:AU$105,45,FALSE)&gt;0,VLOOKUP(A31,Schlußkurse!A$5:AU$105,45,FALSE)/VLOOKUP(A31,Ergebnis_je_Aktie_verwässert!A$3:AJ$103,16,FALSE),""),"")</f>
        <v>13.454545454545455</v>
      </c>
      <c r="N31" s="79">
        <f>IF(VLOOKUP(A31,Ergebnis_je_Aktie_verwässert!A$3:AJ$103,17,FALSE)&gt;0,IF(VLOOKUP(A31,Schlußkurse!A$5:AU$105,46,FALSE)&gt;0,VLOOKUP(A31,Schlußkurse!A$5:AU$105,46,FALSE)/VLOOKUP(A31,Ergebnis_je_Aktie_verwässert!A$3:AJ$103,17,FALSE),""),"")</f>
        <v>11.915194346289752</v>
      </c>
      <c r="O31" s="80">
        <f>IF(VLOOKUP(A31,Ergebnis_je_Aktie_verwässert!A$3:AJ$103,18,FALSE)&gt;0,IF(VLOOKUP(A31,Schlußkurse!A$5:AU$105,47,FALSE)&gt;0,VLOOKUP(A31,Schlußkurse!A$5:AU$105,47,FALSE)/VLOOKUP(A31,Ergebnis_je_Aktie_verwässert!A$3:AJ$103,18,FALSE),""),"")</f>
        <v>15.715686274509805</v>
      </c>
      <c r="P31" s="3">
        <f t="shared" si="0"/>
        <v>15.715686274509805</v>
      </c>
      <c r="Q31" s="3">
        <f ca="1">VLOOKUP(A31,Schlußkurse!A$5:AU$105,35,FALSE)/VLOOKUP(A31,Ergebnis_je_Aktie_verwässert!A$3:AK$103,23,FALSE)</f>
        <v>19.698603559907056</v>
      </c>
      <c r="R31" s="5">
        <f t="shared" ca="1" si="1"/>
        <v>0.25343578484748575</v>
      </c>
    </row>
    <row r="32" spans="1:18" x14ac:dyDescent="0.25">
      <c r="A32" t="s">
        <v>54</v>
      </c>
      <c r="B32" t="s">
        <v>55</v>
      </c>
      <c r="C32" s="78">
        <f>IF(VLOOKUP(A32,Ergebnis_je_Aktie_verwässert!A$3:AJ$103,6,FALSE)&gt;0,IF(VLOOKUP(A32,Schlußkurse!A$5:AU$105,35,FALSE)&gt;0,VLOOKUP(A32,Schlußkurse!A$5:AU$105,35,FALSE)/VLOOKUP(A32,Ergebnis_je_Aktie_verwässert!A$3:AJ$103,6,FALSE),""),"")</f>
        <v>19.503267973856207</v>
      </c>
      <c r="D32" s="79">
        <f>IF(VLOOKUP(A32,Ergebnis_je_Aktie_verwässert!A$3:AJ$103,7,FALSE)&gt;0,IF(VLOOKUP(A32,Schlußkurse!A$5:AU$105,36,FALSE)&gt;0,VLOOKUP(A32,Schlußkurse!A$5:AU$105,36,FALSE)/VLOOKUP(A32,Ergebnis_je_Aktie_verwässert!A$3:AJ$103,7,FALSE),""),"")</f>
        <v>22.953846153846154</v>
      </c>
      <c r="E32" s="79">
        <f>IF(VLOOKUP(A32,Ergebnis_je_Aktie_verwässert!A$3:AJ$103,8,FALSE)&gt;0,IF(VLOOKUP(A32,Schlußkurse!A$5:AU$105,37,FALSE)&gt;0,VLOOKUP(A32,Schlußkurse!A$5:AU$105,37,FALSE)/VLOOKUP(A32,Ergebnis_je_Aktie_verwässert!A$3:AJ$103,8,FALSE),""),"")</f>
        <v>31.90449438202247</v>
      </c>
      <c r="F32" s="79">
        <f>IF(VLOOKUP(A32,Ergebnis_je_Aktie_verwässert!A$3:AJ$103,9,FALSE)&gt;0,IF(VLOOKUP(A32,Schlußkurse!A$5:AU$105,38,FALSE)&gt;0,VLOOKUP(A32,Schlußkurse!A$5:AU$105,38,FALSE)/VLOOKUP(A32,Ergebnis_je_Aktie_verwässert!A$3:AJ$103,9,FALSE),""),"")</f>
        <v>29.970059880239521</v>
      </c>
      <c r="G32" s="79">
        <f>IF(VLOOKUP(A32,Ergebnis_je_Aktie_verwässert!A$3:AJ$103,10,FALSE)&gt;0,IF(VLOOKUP(A32,Schlußkurse!A$5:AU$105,39,FALSE)&gt;0,VLOOKUP(A32,Schlußkurse!A$5:AU$105,39,FALSE)/VLOOKUP(A32,Ergebnis_je_Aktie_verwässert!A$3:AJ$103,10,FALSE),""),"")</f>
        <v>27.85034013605442</v>
      </c>
      <c r="H32" s="79">
        <f>IF(VLOOKUP(A32,Ergebnis_je_Aktie_verwässert!A$3:AJ$103,11,FALSE)&gt;0,IF(VLOOKUP(A32,Schlußkurse!A$5:AU$105,40,FALSE)&gt;0,VLOOKUP(A32,Schlußkurse!A$5:AU$105,40,FALSE)/VLOOKUP(A32,Ergebnis_je_Aktie_verwässert!A$3:AJ$103,11,FALSE),""),"")</f>
        <v>18.850000000000001</v>
      </c>
      <c r="I32" s="79">
        <f>IF(VLOOKUP(A32,Ergebnis_je_Aktie_verwässert!A$3:AJ$103,12,FALSE)&gt;0,IF(VLOOKUP(A32,Schlußkurse!A$5:AU$105,41,FALSE)&gt;0,VLOOKUP(A32,Schlußkurse!A$5:AU$105,41,FALSE)/VLOOKUP(A32,Ergebnis_je_Aktie_verwässert!A$3:AJ$103,12,FALSE),""),"")</f>
        <v>17.841584158415841</v>
      </c>
      <c r="J32" s="79">
        <f>IF(VLOOKUP(A32,Ergebnis_je_Aktie_verwässert!A$3:AJ$103,13,FALSE)&gt;0,IF(VLOOKUP(A32,Schlußkurse!A$5:AU$105,42,FALSE)&gt;0,VLOOKUP(A32,Schlußkurse!A$5:AU$105,42,FALSE)/VLOOKUP(A32,Ergebnis_je_Aktie_verwässert!A$3:AJ$103,13,FALSE),""),"")</f>
        <v>10.684210526315789</v>
      </c>
      <c r="K32" s="79">
        <f>IF(VLOOKUP(A32,Ergebnis_je_Aktie_verwässert!A$3:AJ$103,14,FALSE)&gt;0,IF(VLOOKUP(A32,Schlußkurse!A$5:AU$105,43,FALSE)&gt;0,VLOOKUP(A32,Schlußkurse!A$5:AU$105,43,FALSE)/VLOOKUP(A32,Ergebnis_je_Aktie_verwässert!A$3:AJ$103,14,FALSE),""),"")</f>
        <v>23.206106870229007</v>
      </c>
      <c r="L32" s="79">
        <f>IF(VLOOKUP(A32,Ergebnis_je_Aktie_verwässert!A$3:AJ$103,15,FALSE)&gt;0,IF(VLOOKUP(A32,Schlußkurse!A$5:AU$105,44,FALSE)&gt;0,VLOOKUP(A32,Schlußkurse!A$5:AU$105,44,FALSE)/VLOOKUP(A32,Ergebnis_je_Aktie_verwässert!A$3:AJ$103,15,FALSE),""),"")</f>
        <v>20.389473684210525</v>
      </c>
      <c r="M32" s="79">
        <f>IF(VLOOKUP(A32,Ergebnis_je_Aktie_verwässert!A$3:AJ$103,16,FALSE)&gt;0,IF(VLOOKUP(A32,Schlußkurse!A$5:AU$105,45,FALSE)&gt;0,VLOOKUP(A32,Schlußkurse!A$5:AU$105,45,FALSE)/VLOOKUP(A32,Ergebnis_je_Aktie_verwässert!A$3:AJ$103,16,FALSE),""),"")</f>
        <v>29.255033557046982</v>
      </c>
      <c r="N32" s="79">
        <f>IF(VLOOKUP(A32,Ergebnis_je_Aktie_verwässert!A$3:AJ$103,17,FALSE)&gt;0,IF(VLOOKUP(A32,Schlußkurse!A$5:AU$105,46,FALSE)&gt;0,VLOOKUP(A32,Schlußkurse!A$5:AU$105,46,FALSE)/VLOOKUP(A32,Ergebnis_je_Aktie_verwässert!A$3:AJ$103,17,FALSE),""),"")</f>
        <v>15.669950738916256</v>
      </c>
      <c r="O32" s="80">
        <f>IF(VLOOKUP(A32,Ergebnis_je_Aktie_verwässert!A$3:AJ$103,18,FALSE)&gt;0,IF(VLOOKUP(A32,Schlußkurse!A$5:AU$105,47,FALSE)&gt;0,VLOOKUP(A32,Schlußkurse!A$5:AU$105,47,FALSE)/VLOOKUP(A32,Ergebnis_je_Aktie_verwässert!A$3:AJ$103,18,FALSE),""),"")</f>
        <v>15.304761904761904</v>
      </c>
      <c r="P32" s="3">
        <f t="shared" si="0"/>
        <v>20.389473684210525</v>
      </c>
      <c r="Q32" s="3">
        <f ca="1">VLOOKUP(A32,Schlußkurse!A$5:AU$105,35,FALSE)/VLOOKUP(A32,Ergebnis_je_Aktie_verwässert!A$3:AK$103,23,FALSE)</f>
        <v>29.000593920414666</v>
      </c>
      <c r="R32" s="5">
        <f t="shared" ca="1" si="1"/>
        <v>0.42233165846122533</v>
      </c>
    </row>
    <row r="33" spans="1:18" x14ac:dyDescent="0.25">
      <c r="A33" t="s">
        <v>56</v>
      </c>
      <c r="B33" t="s">
        <v>57</v>
      </c>
      <c r="C33" s="78">
        <f>IF(VLOOKUP(A33,Ergebnis_je_Aktie_verwässert!A$3:AJ$103,6,FALSE)&gt;0,IF(VLOOKUP(A33,Schlußkurse!A$5:AU$105,35,FALSE)&gt;0,VLOOKUP(A33,Schlußkurse!A$5:AU$105,35,FALSE)/VLOOKUP(A33,Ergebnis_je_Aktie_verwässert!A$3:AJ$103,6,FALSE),""),"")</f>
        <v>15.141975308641975</v>
      </c>
      <c r="D33" s="79">
        <f>IF(VLOOKUP(A33,Ergebnis_je_Aktie_verwässert!A$3:AJ$103,7,FALSE)&gt;0,IF(VLOOKUP(A33,Schlußkurse!A$5:AU$105,36,FALSE)&gt;0,VLOOKUP(A33,Schlußkurse!A$5:AU$105,36,FALSE)/VLOOKUP(A33,Ergebnis_je_Aktie_verwässert!A$3:AJ$103,7,FALSE),""),"")</f>
        <v>17.274647887323944</v>
      </c>
      <c r="E33" s="79">
        <f>IF(VLOOKUP(A33,Ergebnis_je_Aktie_verwässert!A$3:AJ$103,8,FALSE)&gt;0,IF(VLOOKUP(A33,Schlußkurse!A$5:AU$105,37,FALSE)&gt;0,VLOOKUP(A33,Schlußkurse!A$5:AU$105,37,FALSE)/VLOOKUP(A33,Ergebnis_je_Aktie_verwässert!A$3:AJ$103,8,FALSE),""),"")</f>
        <v>17.160493827160494</v>
      </c>
      <c r="F33" s="79">
        <f>IF(VLOOKUP(A33,Ergebnis_je_Aktie_verwässert!A$3:AJ$103,9,FALSE)&gt;0,IF(VLOOKUP(A33,Schlußkurse!A$5:AU$105,38,FALSE)&gt;0,VLOOKUP(A33,Schlußkurse!A$5:AU$105,38,FALSE)/VLOOKUP(A33,Ergebnis_je_Aktie_verwässert!A$3:AJ$103,9,FALSE),""),"")</f>
        <v>13.134980988593156</v>
      </c>
      <c r="G33" s="79">
        <f>IF(VLOOKUP(A33,Ergebnis_je_Aktie_verwässert!A$3:AJ$103,10,FALSE)&gt;0,IF(VLOOKUP(A33,Schlußkurse!A$5:AU$105,39,FALSE)&gt;0,VLOOKUP(A33,Schlußkurse!A$5:AU$105,39,FALSE)/VLOOKUP(A33,Ergebnis_je_Aktie_verwässert!A$3:AJ$103,10,FALSE),""),"")</f>
        <v>11.456928838951312</v>
      </c>
      <c r="H33" s="79">
        <f>IF(VLOOKUP(A33,Ergebnis_je_Aktie_verwässert!A$3:AJ$103,11,FALSE)&gt;0,IF(VLOOKUP(A33,Schlußkurse!A$5:AU$105,40,FALSE)&gt;0,VLOOKUP(A33,Schlußkurse!A$5:AU$105,40,FALSE)/VLOOKUP(A33,Ergebnis_je_Aktie_verwässert!A$3:AJ$103,11,FALSE),""),"")</f>
        <v>9.5238095238095237</v>
      </c>
      <c r="I33" s="79">
        <f>IF(VLOOKUP(A33,Ergebnis_je_Aktie_verwässert!A$3:AJ$103,12,FALSE)&gt;0,IF(VLOOKUP(A33,Schlußkurse!A$5:AU$105,41,FALSE)&gt;0,VLOOKUP(A33,Schlußkurse!A$5:AU$105,41,FALSE)/VLOOKUP(A33,Ergebnis_je_Aktie_verwässert!A$3:AJ$103,12,FALSE),""),"")</f>
        <v>8.5539033457249083</v>
      </c>
      <c r="J33" s="79">
        <f>IF(VLOOKUP(A33,Ergebnis_je_Aktie_verwässert!A$3:AJ$103,13,FALSE)&gt;0,IF(VLOOKUP(A33,Schlußkurse!A$5:AU$105,42,FALSE)&gt;0,VLOOKUP(A33,Schlußkurse!A$5:AU$105,42,FALSE)/VLOOKUP(A33,Ergebnis_je_Aktie_verwässert!A$3:AJ$103,13,FALSE),""),"")</f>
        <v>11.319047619047618</v>
      </c>
      <c r="K33" s="79">
        <f>IF(VLOOKUP(A33,Ergebnis_je_Aktie_verwässert!A$3:AJ$103,14,FALSE)&gt;0,IF(VLOOKUP(A33,Schlußkurse!A$5:AU$105,43,FALSE)&gt;0,VLOOKUP(A33,Schlußkurse!A$5:AU$105,43,FALSE)/VLOOKUP(A33,Ergebnis_je_Aktie_verwässert!A$3:AJ$103,14,FALSE),""),"")</f>
        <v>16.981481481481481</v>
      </c>
      <c r="L33" s="79">
        <f>IF(VLOOKUP(A33,Ergebnis_je_Aktie_verwässert!A$3:AJ$103,15,FALSE)&gt;0,IF(VLOOKUP(A33,Schlußkurse!A$5:AU$105,44,FALSE)&gt;0,VLOOKUP(A33,Schlußkurse!A$5:AU$105,44,FALSE)/VLOOKUP(A33,Ergebnis_je_Aktie_verwässert!A$3:AJ$103,15,FALSE),""),"")</f>
        <v>15.759358288770052</v>
      </c>
      <c r="M33" s="79">
        <f>IF(VLOOKUP(A33,Ergebnis_je_Aktie_verwässert!A$3:AJ$103,16,FALSE)&gt;0,IF(VLOOKUP(A33,Schlußkurse!A$5:AU$105,45,FALSE)&gt;0,VLOOKUP(A33,Schlußkurse!A$5:AU$105,45,FALSE)/VLOOKUP(A33,Ergebnis_je_Aktie_verwässert!A$3:AJ$103,16,FALSE),""),"")</f>
        <v>16.408450704225352</v>
      </c>
      <c r="N33" s="79">
        <f>IF(VLOOKUP(A33,Ergebnis_je_Aktie_verwässert!A$3:AJ$103,17,FALSE)&gt;0,IF(VLOOKUP(A33,Schlußkurse!A$5:AU$105,46,FALSE)&gt;0,VLOOKUP(A33,Schlußkurse!A$5:AU$105,46,FALSE)/VLOOKUP(A33,Ergebnis_je_Aktie_verwässert!A$3:AJ$103,17,FALSE),""),"")</f>
        <v>20.7</v>
      </c>
      <c r="O33" s="80">
        <f>IF(VLOOKUP(A33,Ergebnis_je_Aktie_verwässert!A$3:AJ$103,18,FALSE)&gt;0,IF(VLOOKUP(A33,Schlußkurse!A$5:AU$105,47,FALSE)&gt;0,VLOOKUP(A33,Schlußkurse!A$5:AU$105,47,FALSE)/VLOOKUP(A33,Ergebnis_je_Aktie_verwässert!A$3:AJ$103,18,FALSE),""),"")</f>
        <v>25.499999999999996</v>
      </c>
      <c r="P33" s="3">
        <f t="shared" si="0"/>
        <v>15.759358288770052</v>
      </c>
      <c r="Q33" s="3">
        <f ca="1">VLOOKUP(A33,Schlußkurse!A$5:AU$105,35,FALSE)/VLOOKUP(A33,Ergebnis_je_Aktie_verwässert!A$3:AK$103,23,FALSE)</f>
        <v>17.678748385934359</v>
      </c>
      <c r="R33" s="5">
        <f t="shared" ca="1" si="1"/>
        <v>0.12179367090930615</v>
      </c>
    </row>
    <row r="34" spans="1:18" x14ac:dyDescent="0.25">
      <c r="A34" t="s">
        <v>58</v>
      </c>
      <c r="B34" t="s">
        <v>59</v>
      </c>
      <c r="C34" s="78">
        <f>IF(VLOOKUP(A34,Ergebnis_je_Aktie_verwässert!A$3:AJ$103,6,FALSE)&gt;0,IF(VLOOKUP(A34,Schlußkurse!A$5:AU$105,35,FALSE)&gt;0,VLOOKUP(A34,Schlußkurse!A$5:AU$105,35,FALSE)/VLOOKUP(A34,Ergebnis_je_Aktie_verwässert!A$3:AJ$103,6,FALSE),""),"")</f>
        <v>18.254716981132077</v>
      </c>
      <c r="D34" s="79">
        <f>IF(VLOOKUP(A34,Ergebnis_je_Aktie_verwässert!A$3:AJ$103,7,FALSE)&gt;0,IF(VLOOKUP(A34,Schlußkurse!A$5:AU$105,36,FALSE)&gt;0,VLOOKUP(A34,Schlußkurse!A$5:AU$105,36,FALSE)/VLOOKUP(A34,Ergebnis_je_Aktie_verwässert!A$3:AJ$103,7,FALSE),""),"")</f>
        <v>20.806451612903228</v>
      </c>
      <c r="E34" s="79">
        <f>IF(VLOOKUP(A34,Ergebnis_je_Aktie_verwässert!A$3:AJ$103,8,FALSE)&gt;0,IF(VLOOKUP(A34,Schlußkurse!A$5:AU$105,37,FALSE)&gt;0,VLOOKUP(A34,Schlußkurse!A$5:AU$105,37,FALSE)/VLOOKUP(A34,Ergebnis_je_Aktie_verwässert!A$3:AJ$103,8,FALSE),""),"")</f>
        <v>22.845911949685537</v>
      </c>
      <c r="F34" s="79">
        <f>IF(VLOOKUP(A34,Ergebnis_je_Aktie_verwässert!A$3:AJ$103,9,FALSE)&gt;0,IF(VLOOKUP(A34,Schlußkurse!A$5:AU$105,38,FALSE)&gt;0,VLOOKUP(A34,Schlußkurse!A$5:AU$105,38,FALSE)/VLOOKUP(A34,Ergebnis_je_Aktie_verwässert!A$3:AJ$103,9,FALSE),""),"")</f>
        <v>27.578124999999996</v>
      </c>
      <c r="G34" s="79">
        <f>IF(VLOOKUP(A34,Ergebnis_je_Aktie_verwässert!A$3:AJ$103,10,FALSE)&gt;0,IF(VLOOKUP(A34,Schlußkurse!A$5:AU$105,39,FALSE)&gt;0,VLOOKUP(A34,Schlußkurse!A$5:AU$105,39,FALSE)/VLOOKUP(A34,Ergebnis_je_Aktie_verwässert!A$3:AJ$103,10,FALSE),""),"")</f>
        <v>10</v>
      </c>
      <c r="H34" s="79">
        <f>IF(VLOOKUP(A34,Ergebnis_je_Aktie_verwässert!A$3:AJ$103,11,FALSE)&gt;0,IF(VLOOKUP(A34,Schlußkurse!A$5:AU$105,40,FALSE)&gt;0,VLOOKUP(A34,Schlußkurse!A$5:AU$105,40,FALSE)/VLOOKUP(A34,Ergebnis_je_Aktie_verwässert!A$3:AJ$103,11,FALSE),""),"")</f>
        <v>21.09186046511628</v>
      </c>
      <c r="I34" s="79">
        <f>IF(VLOOKUP(A34,Ergebnis_je_Aktie_verwässert!A$3:AJ$103,12,FALSE)&gt;0,IF(VLOOKUP(A34,Schlußkurse!A$5:AU$105,41,FALSE)&gt;0,VLOOKUP(A34,Schlußkurse!A$5:AU$105,41,FALSE)/VLOOKUP(A34,Ergebnis_je_Aktie_verwässert!A$3:AJ$103,12,FALSE),""),"")</f>
        <v>5.1319587628865975</v>
      </c>
      <c r="J34" s="79">
        <f>IF(VLOOKUP(A34,Ergebnis_je_Aktie_verwässert!A$3:AJ$103,13,FALSE)&gt;0,IF(VLOOKUP(A34,Schlußkurse!A$5:AU$105,42,FALSE)&gt;0,VLOOKUP(A34,Schlußkurse!A$5:AU$105,42,FALSE)/VLOOKUP(A34,Ergebnis_je_Aktie_verwässert!A$3:AJ$103,13,FALSE),""),"")</f>
        <v>19.95</v>
      </c>
      <c r="K34" s="79">
        <f>IF(VLOOKUP(A34,Ergebnis_je_Aktie_verwässert!A$3:AJ$103,14,FALSE)&gt;0,IF(VLOOKUP(A34,Schlußkurse!A$5:AU$105,43,FALSE)&gt;0,VLOOKUP(A34,Schlußkurse!A$5:AU$105,43,FALSE)/VLOOKUP(A34,Ergebnis_je_Aktie_verwässert!A$3:AJ$103,14,FALSE),""),"")</f>
        <v>2.1789473684210527</v>
      </c>
      <c r="L34" s="79" t="str">
        <f>IF(VLOOKUP(A34,Ergebnis_je_Aktie_verwässert!A$3:AJ$103,15,FALSE)&gt;0,IF(VLOOKUP(A34,Schlußkurse!A$5:AU$105,44,FALSE)&gt;0,VLOOKUP(A34,Schlußkurse!A$5:AU$105,44,FALSE)/VLOOKUP(A34,Ergebnis_je_Aktie_verwässert!A$3:AJ$103,15,FALSE),""),"")</f>
        <v/>
      </c>
      <c r="M34" s="79" t="str">
        <f>IF(VLOOKUP(A34,Ergebnis_je_Aktie_verwässert!A$3:AJ$103,16,FALSE)&gt;0,IF(VLOOKUP(A34,Schlußkurse!A$5:AU$105,45,FALSE)&gt;0,VLOOKUP(A34,Schlußkurse!A$5:AU$105,45,FALSE)/VLOOKUP(A34,Ergebnis_je_Aktie_verwässert!A$3:AJ$103,16,FALSE),""),"")</f>
        <v/>
      </c>
      <c r="N34" s="79" t="str">
        <f>IF(VLOOKUP(A34,Ergebnis_je_Aktie_verwässert!A$3:AJ$103,17,FALSE)&gt;0,IF(VLOOKUP(A34,Schlußkurse!A$5:AU$105,46,FALSE)&gt;0,VLOOKUP(A34,Schlußkurse!A$5:AU$105,46,FALSE)/VLOOKUP(A34,Ergebnis_je_Aktie_verwässert!A$3:AJ$103,17,FALSE),""),"")</f>
        <v/>
      </c>
      <c r="O34" s="80" t="str">
        <f>IF(VLOOKUP(A34,Ergebnis_je_Aktie_verwässert!A$3:AJ$103,18,FALSE)&gt;0,IF(VLOOKUP(A34,Schlußkurse!A$5:AU$105,47,FALSE)&gt;0,VLOOKUP(A34,Schlußkurse!A$5:AU$105,47,FALSE)/VLOOKUP(A34,Ergebnis_je_Aktie_verwässert!A$3:AJ$103,18,FALSE),""),"")</f>
        <v/>
      </c>
      <c r="P34" s="3">
        <f t="shared" si="0"/>
        <v>19.95</v>
      </c>
      <c r="Q34" s="3">
        <f ca="1">VLOOKUP(A34,Schlußkurse!A$5:AU$105,35,FALSE)/VLOOKUP(A34,Ergebnis_je_Aktie_verwässert!A$3:AK$103,23,FALSE)</f>
        <v>23.015165031222121</v>
      </c>
      <c r="R34" s="5">
        <f t="shared" ca="1" si="1"/>
        <v>0.15364235745474297</v>
      </c>
    </row>
    <row r="35" spans="1:18" x14ac:dyDescent="0.25">
      <c r="A35" t="s">
        <v>60</v>
      </c>
      <c r="B35" t="s">
        <v>61</v>
      </c>
      <c r="C35" s="78">
        <f>IF(VLOOKUP(A35,Ergebnis_je_Aktie_verwässert!A$3:AJ$103,6,FALSE)&gt;0,IF(VLOOKUP(A35,Schlußkurse!A$5:AU$105,35,FALSE)&gt;0,VLOOKUP(A35,Schlußkurse!A$5:AU$105,35,FALSE)/VLOOKUP(A35,Ergebnis_je_Aktie_verwässert!A$3:AJ$103,6,FALSE),""),"")</f>
        <v>15.07208387942333</v>
      </c>
      <c r="D35" s="79">
        <f>IF(VLOOKUP(A35,Ergebnis_je_Aktie_verwässert!A$3:AJ$103,7,FALSE)&gt;0,IF(VLOOKUP(A35,Schlußkurse!A$5:AU$105,36,FALSE)&gt;0,VLOOKUP(A35,Schlußkurse!A$5:AU$105,36,FALSE)/VLOOKUP(A35,Ergebnis_je_Aktie_verwässert!A$3:AJ$103,7,FALSE),""),"")</f>
        <v>17.113095238095237</v>
      </c>
      <c r="E35" s="79">
        <f>IF(VLOOKUP(A35,Ergebnis_je_Aktie_verwässert!A$3:AJ$103,8,FALSE)&gt;0,IF(VLOOKUP(A35,Schlußkurse!A$5:AU$105,37,FALSE)&gt;0,VLOOKUP(A35,Schlußkurse!A$5:AU$105,37,FALSE)/VLOOKUP(A35,Ergebnis_je_Aktie_verwässert!A$3:AJ$103,8,FALSE),""),"")</f>
        <v>20.008650519031143</v>
      </c>
      <c r="F35" s="79">
        <f>IF(VLOOKUP(A35,Ergebnis_je_Aktie_verwässert!A$3:AJ$103,9,FALSE)&gt;0,IF(VLOOKUP(A35,Schlußkurse!A$5:AU$105,38,FALSE)&gt;0,VLOOKUP(A35,Schlußkurse!A$5:AU$105,38,FALSE)/VLOOKUP(A35,Ergebnis_je_Aktie_verwässert!A$3:AJ$103,9,FALSE),""),"")</f>
        <v>18.75287356321839</v>
      </c>
      <c r="G35" s="79">
        <f>IF(VLOOKUP(A35,Ergebnis_je_Aktie_verwässert!A$3:AJ$103,10,FALSE)&gt;0,IF(VLOOKUP(A35,Schlußkurse!A$5:AU$105,39,FALSE)&gt;0,VLOOKUP(A35,Schlußkurse!A$5:AU$105,39,FALSE)/VLOOKUP(A35,Ergebnis_je_Aktie_verwässert!A$3:AJ$103,10,FALSE),""),"")</f>
        <v>18.93695652173913</v>
      </c>
      <c r="H35" s="79">
        <f>IF(VLOOKUP(A35,Ergebnis_je_Aktie_verwässert!A$3:AJ$103,11,FALSE)&gt;0,IF(VLOOKUP(A35,Schlußkurse!A$5:AU$105,40,FALSE)&gt;0,VLOOKUP(A35,Schlußkurse!A$5:AU$105,40,FALSE)/VLOOKUP(A35,Ergebnis_je_Aktie_verwässert!A$3:AJ$103,11,FALSE),""),"")</f>
        <v>18.187335092348288</v>
      </c>
      <c r="I35" s="79">
        <f>IF(VLOOKUP(A35,Ergebnis_je_Aktie_verwässert!A$3:AJ$103,12,FALSE)&gt;0,IF(VLOOKUP(A35,Schlußkurse!A$5:AU$105,41,FALSE)&gt;0,VLOOKUP(A35,Schlußkurse!A$5:AU$105,41,FALSE)/VLOOKUP(A35,Ergebnis_je_Aktie_verwässert!A$3:AJ$103,12,FALSE),""),"")</f>
        <v>17.787162162162161</v>
      </c>
      <c r="J35" s="79">
        <f>IF(VLOOKUP(A35,Ergebnis_je_Aktie_verwässert!A$3:AJ$103,13,FALSE)&gt;0,IF(VLOOKUP(A35,Schlußkurse!A$5:AU$105,42,FALSE)&gt;0,VLOOKUP(A35,Schlußkurse!A$5:AU$105,42,FALSE)/VLOOKUP(A35,Ergebnis_je_Aktie_verwässert!A$3:AJ$103,13,FALSE),""),"")</f>
        <v>36.62882096069869</v>
      </c>
      <c r="K35" s="79">
        <f>IF(VLOOKUP(A35,Ergebnis_je_Aktie_verwässert!A$3:AJ$103,14,FALSE)&gt;0,IF(VLOOKUP(A35,Schlußkurse!A$5:AU$105,43,FALSE)&gt;0,VLOOKUP(A35,Schlußkurse!A$5:AU$105,43,FALSE)/VLOOKUP(A35,Ergebnis_je_Aktie_verwässert!A$3:AJ$103,14,FALSE),""),"")</f>
        <v>26.693925233644858</v>
      </c>
      <c r="L35" s="79">
        <f>IF(VLOOKUP(A35,Ergebnis_je_Aktie_verwässert!A$3:AJ$103,15,FALSE)&gt;0,IF(VLOOKUP(A35,Schlußkurse!A$5:AU$105,44,FALSE)&gt;0,VLOOKUP(A35,Schlußkurse!A$5:AU$105,44,FALSE)/VLOOKUP(A35,Ergebnis_je_Aktie_verwässert!A$3:AJ$103,15,FALSE),""),"")</f>
        <v>19.265193370165743</v>
      </c>
      <c r="M35" s="79">
        <f>IF(VLOOKUP(A35,Ergebnis_je_Aktie_verwässert!A$3:AJ$103,16,FALSE)&gt;0,IF(VLOOKUP(A35,Schlußkurse!A$5:AU$105,45,FALSE)&gt;0,VLOOKUP(A35,Schlußkurse!A$5:AU$105,45,FALSE)/VLOOKUP(A35,Ergebnis_je_Aktie_verwässert!A$3:AJ$103,16,FALSE),""),"")</f>
        <v>26.491620111731844</v>
      </c>
      <c r="N35" s="79">
        <f>IF(VLOOKUP(A35,Ergebnis_je_Aktie_verwässert!A$3:AJ$103,17,FALSE)&gt;0,IF(VLOOKUP(A35,Schlußkurse!A$5:AU$105,46,FALSE)&gt;0,VLOOKUP(A35,Schlußkurse!A$5:AU$105,46,FALSE)/VLOOKUP(A35,Ergebnis_je_Aktie_verwässert!A$3:AJ$103,17,FALSE),""),"")</f>
        <v>25.48</v>
      </c>
      <c r="O35" s="80">
        <f>IF(VLOOKUP(A35,Ergebnis_je_Aktie_verwässert!A$3:AJ$103,18,FALSE)&gt;0,IF(VLOOKUP(A35,Schlußkurse!A$5:AU$105,47,FALSE)&gt;0,VLOOKUP(A35,Schlußkurse!A$5:AU$105,47,FALSE)/VLOOKUP(A35,Ergebnis_je_Aktie_verwässert!A$3:AJ$103,18,FALSE),""),"")</f>
        <v>38.936170212765958</v>
      </c>
      <c r="P35" s="3">
        <f t="shared" si="0"/>
        <v>19.265193370165743</v>
      </c>
      <c r="Q35" s="3">
        <f ca="1">VLOOKUP(A35,Schlußkurse!A$5:AU$105,35,FALSE)/VLOOKUP(A35,Ergebnis_je_Aktie_verwässert!A$3:AK$103,23,FALSE)</f>
        <v>17.935432443204462</v>
      </c>
      <c r="R35" s="5">
        <f t="shared" ca="1" si="1"/>
        <v>-6.9024011408084895E-2</v>
      </c>
    </row>
    <row r="36" spans="1:18" x14ac:dyDescent="0.25">
      <c r="A36" t="s">
        <v>62</v>
      </c>
      <c r="B36" t="s">
        <v>63</v>
      </c>
      <c r="C36" s="78">
        <f>IF(VLOOKUP(A36,Ergebnis_je_Aktie_verwässert!A$3:AJ$103,6,FALSE)&gt;0,IF(VLOOKUP(A36,Schlußkurse!A$5:AU$105,35,FALSE)&gt;0,VLOOKUP(A36,Schlußkurse!A$5:AU$105,35,FALSE)/VLOOKUP(A36,Ergebnis_je_Aktie_verwässert!A$3:AJ$103,6,FALSE),""),"")</f>
        <v>16.505535055350553</v>
      </c>
      <c r="D36" s="79">
        <f>IF(VLOOKUP(A36,Ergebnis_je_Aktie_verwässert!A$3:AJ$103,7,FALSE)&gt;0,IF(VLOOKUP(A36,Schlußkurse!A$5:AU$105,36,FALSE)&gt;0,VLOOKUP(A36,Schlußkurse!A$5:AU$105,36,FALSE)/VLOOKUP(A36,Ergebnis_je_Aktie_verwässert!A$3:AJ$103,7,FALSE),""),"")</f>
        <v>17.75</v>
      </c>
      <c r="E36" s="79">
        <f>IF(VLOOKUP(A36,Ergebnis_je_Aktie_verwässert!A$3:AJ$103,8,FALSE)&gt;0,IF(VLOOKUP(A36,Schlußkurse!A$5:AU$105,37,FALSE)&gt;0,VLOOKUP(A36,Schlußkurse!A$5:AU$105,37,FALSE)/VLOOKUP(A36,Ergebnis_je_Aktie_verwässert!A$3:AJ$103,8,FALSE),""),"")</f>
        <v>18.112068965517246</v>
      </c>
      <c r="F36" s="79">
        <f>IF(VLOOKUP(A36,Ergebnis_je_Aktie_verwässert!A$3:AJ$103,9,FALSE)&gt;0,IF(VLOOKUP(A36,Schlußkurse!A$5:AU$105,38,FALSE)&gt;0,VLOOKUP(A36,Schlußkurse!A$5:AU$105,38,FALSE)/VLOOKUP(A36,Ergebnis_je_Aktie_verwässert!A$3:AJ$103,9,FALSE),""),"")</f>
        <v>14.193277310924371</v>
      </c>
      <c r="G36" s="79">
        <f>IF(VLOOKUP(A36,Ergebnis_je_Aktie_verwässert!A$3:AJ$103,10,FALSE)&gt;0,IF(VLOOKUP(A36,Schlußkurse!A$5:AU$105,39,FALSE)&gt;0,VLOOKUP(A36,Schlußkurse!A$5:AU$105,39,FALSE)/VLOOKUP(A36,Ergebnis_je_Aktie_verwässert!A$3:AJ$103,10,FALSE),""),"")</f>
        <v>11.712389380530974</v>
      </c>
      <c r="H36" s="79">
        <f>IF(VLOOKUP(A36,Ergebnis_je_Aktie_verwässert!A$3:AJ$103,11,FALSE)&gt;0,IF(VLOOKUP(A36,Schlußkurse!A$5:AU$105,40,FALSE)&gt;0,VLOOKUP(A36,Schlußkurse!A$5:AU$105,40,FALSE)/VLOOKUP(A36,Ergebnis_je_Aktie_verwässert!A$3:AJ$103,11,FALSE),""),"")</f>
        <v>17.459183673469386</v>
      </c>
      <c r="I36" s="79">
        <f>IF(VLOOKUP(A36,Ergebnis_je_Aktie_verwässert!A$3:AJ$103,12,FALSE)&gt;0,IF(VLOOKUP(A36,Schlußkurse!A$5:AU$105,41,FALSE)&gt;0,VLOOKUP(A36,Schlußkurse!A$5:AU$105,41,FALSE)/VLOOKUP(A36,Ergebnis_je_Aktie_verwässert!A$3:AJ$103,12,FALSE),""),"")</f>
        <v>13.514970059880241</v>
      </c>
      <c r="J36" s="79">
        <f>IF(VLOOKUP(A36,Ergebnis_je_Aktie_verwässert!A$3:AJ$103,13,FALSE)&gt;0,IF(VLOOKUP(A36,Schlußkurse!A$5:AU$105,42,FALSE)&gt;0,VLOOKUP(A36,Schlußkurse!A$5:AU$105,42,FALSE)/VLOOKUP(A36,Ergebnis_je_Aktie_verwässert!A$3:AJ$103,13,FALSE),""),"")</f>
        <v>16.190082644628099</v>
      </c>
      <c r="K36" s="79">
        <f>IF(VLOOKUP(A36,Ergebnis_je_Aktie_verwässert!A$3:AJ$103,14,FALSE)&gt;0,IF(VLOOKUP(A36,Schlußkurse!A$5:AU$105,43,FALSE)&gt;0,VLOOKUP(A36,Schlußkurse!A$5:AU$105,43,FALSE)/VLOOKUP(A36,Ergebnis_je_Aktie_verwässert!A$3:AJ$103,14,FALSE),""),"")</f>
        <v>20.954128440366972</v>
      </c>
      <c r="L36" s="79">
        <f>IF(VLOOKUP(A36,Ergebnis_je_Aktie_verwässert!A$3:AJ$103,15,FALSE)&gt;0,IF(VLOOKUP(A36,Schlußkurse!A$5:AU$105,44,FALSE)&gt;0,VLOOKUP(A36,Schlußkurse!A$5:AU$105,44,FALSE)/VLOOKUP(A36,Ergebnis_je_Aktie_verwässert!A$3:AJ$103,15,FALSE),""),"")</f>
        <v>18.283018867924525</v>
      </c>
      <c r="M36" s="79">
        <f>IF(VLOOKUP(A36,Ergebnis_je_Aktie_verwässert!A$3:AJ$103,16,FALSE)&gt;0,IF(VLOOKUP(A36,Schlußkurse!A$5:AU$105,45,FALSE)&gt;0,VLOOKUP(A36,Schlußkurse!A$5:AU$105,45,FALSE)/VLOOKUP(A36,Ergebnis_je_Aktie_verwässert!A$3:AJ$103,16,FALSE),""),"")</f>
        <v>17.555555555555554</v>
      </c>
      <c r="N36" s="79">
        <f>IF(VLOOKUP(A36,Ergebnis_je_Aktie_verwässert!A$3:AJ$103,17,FALSE)&gt;0,IF(VLOOKUP(A36,Schlußkurse!A$5:AU$105,46,FALSE)&gt;0,VLOOKUP(A36,Schlußkurse!A$5:AU$105,46,FALSE)/VLOOKUP(A36,Ergebnis_je_Aktie_verwässert!A$3:AJ$103,17,FALSE),""),"")</f>
        <v>20</v>
      </c>
      <c r="O36" s="80">
        <f>IF(VLOOKUP(A36,Ergebnis_je_Aktie_verwässert!A$3:AJ$103,18,FALSE)&gt;0,IF(VLOOKUP(A36,Schlußkurse!A$5:AU$105,47,FALSE)&gt;0,VLOOKUP(A36,Schlußkurse!A$5:AU$105,47,FALSE)/VLOOKUP(A36,Ergebnis_je_Aktie_verwässert!A$3:AJ$103,18,FALSE),""),"")</f>
        <v>20.727272727272727</v>
      </c>
      <c r="P36" s="3">
        <f t="shared" ref="P36:P102" si="2">MEDIAN(C36:O36)</f>
        <v>17.555555555555554</v>
      </c>
      <c r="Q36" s="3">
        <f ca="1">VLOOKUP(A36,Schlußkurse!A$5:AU$105,35,FALSE)/VLOOKUP(A36,Ergebnis_je_Aktie_verwässert!A$3:AK$103,23,FALSE)</f>
        <v>17.86024844720497</v>
      </c>
      <c r="R36" s="5">
        <f t="shared" ref="R36:R102" ca="1" si="3">(Q36/P36)-1</f>
        <v>1.7355924207878237E-2</v>
      </c>
    </row>
    <row r="37" spans="1:18" x14ac:dyDescent="0.25">
      <c r="A37" t="s">
        <v>64</v>
      </c>
      <c r="B37" t="s">
        <v>65</v>
      </c>
      <c r="C37" s="78">
        <f>IF(VLOOKUP(A37,Ergebnis_je_Aktie_verwässert!A$3:AJ$103,6,FALSE)&gt;0,IF(VLOOKUP(A37,Schlußkurse!A$5:AU$105,35,FALSE)&gt;0,VLOOKUP(A37,Schlußkurse!A$5:AU$105,35,FALSE)/VLOOKUP(A37,Ergebnis_je_Aktie_verwässert!A$3:AJ$103,6,FALSE),""),"")</f>
        <v>17.807547169811322</v>
      </c>
      <c r="D37" s="79">
        <f>IF(VLOOKUP(A37,Ergebnis_je_Aktie_verwässert!A$3:AJ$103,7,FALSE)&gt;0,IF(VLOOKUP(A37,Schlußkurse!A$5:AU$105,36,FALSE)&gt;0,VLOOKUP(A37,Schlußkurse!A$5:AU$105,36,FALSE)/VLOOKUP(A37,Ergebnis_je_Aktie_verwässert!A$3:AJ$103,7,FALSE),""),"")</f>
        <v>19.300613496932517</v>
      </c>
      <c r="E37" s="79">
        <f>IF(VLOOKUP(A37,Ergebnis_je_Aktie_verwässert!A$3:AJ$103,8,FALSE)&gt;0,IF(VLOOKUP(A37,Schlußkurse!A$5:AU$105,37,FALSE)&gt;0,VLOOKUP(A37,Schlußkurse!A$5:AU$105,37,FALSE)/VLOOKUP(A37,Ergebnis_je_Aktie_verwässert!A$3:AJ$103,8,FALSE),""),"")</f>
        <v>21.201793721973093</v>
      </c>
      <c r="F37" s="79">
        <f>IF(VLOOKUP(A37,Ergebnis_je_Aktie_verwässert!A$3:AJ$103,9,FALSE)&gt;0,IF(VLOOKUP(A37,Schlußkurse!A$5:AU$105,38,FALSE)&gt;0,VLOOKUP(A37,Schlußkurse!A$5:AU$105,38,FALSE)/VLOOKUP(A37,Ergebnis_je_Aktie_verwässert!A$3:AJ$103,9,FALSE),""),"")</f>
        <v>19.423887587822016</v>
      </c>
      <c r="G37" s="79">
        <f>IF(VLOOKUP(A37,Ergebnis_je_Aktie_verwässert!A$3:AJ$103,10,FALSE)&gt;0,IF(VLOOKUP(A37,Schlußkurse!A$5:AU$105,39,FALSE)&gt;0,VLOOKUP(A37,Schlußkurse!A$5:AU$105,39,FALSE)/VLOOKUP(A37,Ergebnis_je_Aktie_verwässert!A$3:AJ$103,10,FALSE),""),"")</f>
        <v>15.840277777777779</v>
      </c>
      <c r="H37" s="79">
        <f>IF(VLOOKUP(A37,Ergebnis_je_Aktie_verwässert!A$3:AJ$103,11,FALSE)&gt;0,IF(VLOOKUP(A37,Schlußkurse!A$5:AU$105,40,FALSE)&gt;0,VLOOKUP(A37,Schlußkurse!A$5:AU$105,40,FALSE)/VLOOKUP(A37,Ergebnis_je_Aktie_verwässert!A$3:AJ$103,11,FALSE),""),"")</f>
        <v>16.926020408163264</v>
      </c>
      <c r="I37" s="79">
        <f>IF(VLOOKUP(A37,Ergebnis_je_Aktie_verwässert!A$3:AJ$103,12,FALSE)&gt;0,IF(VLOOKUP(A37,Schlußkurse!A$5:AU$105,41,FALSE)&gt;0,VLOOKUP(A37,Schlußkurse!A$5:AU$105,41,FALSE)/VLOOKUP(A37,Ergebnis_je_Aktie_verwässert!A$3:AJ$103,12,FALSE),""),"")</f>
        <v>16.210918114143919</v>
      </c>
      <c r="J37" s="79">
        <f>IF(VLOOKUP(A37,Ergebnis_je_Aktie_verwässert!A$3:AJ$103,13,FALSE)&gt;0,IF(VLOOKUP(A37,Schlußkurse!A$5:AU$105,42,FALSE)&gt;0,VLOOKUP(A37,Schlußkurse!A$5:AU$105,42,FALSE)/VLOOKUP(A37,Ergebnis_je_Aktie_verwässert!A$3:AJ$103,13,FALSE),""),"")</f>
        <v>15.549872122762148</v>
      </c>
      <c r="K37" s="79">
        <f>IF(VLOOKUP(A37,Ergebnis_je_Aktie_verwässert!A$3:AJ$103,14,FALSE)&gt;0,IF(VLOOKUP(A37,Schlußkurse!A$5:AU$105,43,FALSE)&gt;0,VLOOKUP(A37,Schlußkurse!A$5:AU$105,43,FALSE)/VLOOKUP(A37,Ergebnis_je_Aktie_verwässert!A$3:AJ$103,14,FALSE),""),"")</f>
        <v>14.527851458885943</v>
      </c>
      <c r="L37" s="79">
        <f>IF(VLOOKUP(A37,Ergebnis_je_Aktie_verwässert!A$3:AJ$103,15,FALSE)&gt;0,IF(VLOOKUP(A37,Schlußkurse!A$5:AU$105,44,FALSE)&gt;0,VLOOKUP(A37,Schlußkurse!A$5:AU$105,44,FALSE)/VLOOKUP(A37,Ergebnis_je_Aktie_verwässert!A$3:AJ$103,15,FALSE),""),"")</f>
        <v>23.644859813084114</v>
      </c>
      <c r="M37" s="79">
        <f>IF(VLOOKUP(A37,Ergebnis_je_Aktie_verwässert!A$3:AJ$103,16,FALSE)&gt;0,IF(VLOOKUP(A37,Schlußkurse!A$5:AU$105,45,FALSE)&gt;0,VLOOKUP(A37,Schlußkurse!A$5:AU$105,45,FALSE)/VLOOKUP(A37,Ergebnis_je_Aktie_verwässert!A$3:AJ$103,16,FALSE),""),"")</f>
        <v>18.375366568914956</v>
      </c>
      <c r="N37" s="79">
        <f>IF(VLOOKUP(A37,Ergebnis_je_Aktie_verwässert!A$3:AJ$103,17,FALSE)&gt;0,IF(VLOOKUP(A37,Schlußkurse!A$5:AU$105,46,FALSE)&gt;0,VLOOKUP(A37,Schlußkurse!A$5:AU$105,46,FALSE)/VLOOKUP(A37,Ergebnis_je_Aktie_verwässert!A$3:AJ$103,17,FALSE),""),"")</f>
        <v>17.766467065868266</v>
      </c>
      <c r="O37" s="80">
        <f>IF(VLOOKUP(A37,Ergebnis_je_Aktie_verwässert!A$3:AJ$103,18,FALSE)&gt;0,IF(VLOOKUP(A37,Schlußkurse!A$5:AU$105,47,FALSE)&gt;0,VLOOKUP(A37,Schlußkurse!A$5:AU$105,47,FALSE)/VLOOKUP(A37,Ergebnis_je_Aktie_verwässert!A$3:AJ$103,18,FALSE),""),"")</f>
        <v>21.84100418410042</v>
      </c>
      <c r="P37" s="3">
        <f t="shared" si="2"/>
        <v>17.807547169811322</v>
      </c>
      <c r="Q37" s="3">
        <f ca="1">VLOOKUP(A37,Schlußkurse!A$5:AU$105,35,FALSE)/VLOOKUP(A37,Ergebnis_je_Aktie_verwässert!A$3:AK$103,23,FALSE)</f>
        <v>20.491900172490741</v>
      </c>
      <c r="R37" s="5">
        <f t="shared" ca="1" si="3"/>
        <v>0.15074243392880815</v>
      </c>
    </row>
    <row r="38" spans="1:18" x14ac:dyDescent="0.25">
      <c r="A38" t="s">
        <v>66</v>
      </c>
      <c r="B38" t="s">
        <v>67</v>
      </c>
      <c r="C38" s="78">
        <f>IF(VLOOKUP(A38,Ergebnis_je_Aktie_verwässert!A$3:AJ$103,6,FALSE)&gt;0,IF(VLOOKUP(A38,Schlußkurse!A$5:AU$105,35,FALSE)&gt;0,VLOOKUP(A38,Schlußkurse!A$5:AU$105,35,FALSE)/VLOOKUP(A38,Ergebnis_je_Aktie_verwässert!A$3:AJ$103,6,FALSE),""),"")</f>
        <v>17.494897959183675</v>
      </c>
      <c r="D38" s="79">
        <f>IF(VLOOKUP(A38,Ergebnis_je_Aktie_verwässert!A$3:AJ$103,7,FALSE)&gt;0,IF(VLOOKUP(A38,Schlußkurse!A$5:AU$105,36,FALSE)&gt;0,VLOOKUP(A38,Schlußkurse!A$5:AU$105,36,FALSE)/VLOOKUP(A38,Ergebnis_je_Aktie_verwässert!A$3:AJ$103,7,FALSE),""),"")</f>
        <v>18.635869565217391</v>
      </c>
      <c r="E38" s="79">
        <f>IF(VLOOKUP(A38,Ergebnis_je_Aktie_verwässert!A$3:AJ$103,8,FALSE)&gt;0,IF(VLOOKUP(A38,Schlußkurse!A$5:AU$105,37,FALSE)&gt;0,VLOOKUP(A38,Schlußkurse!A$5:AU$105,37,FALSE)/VLOOKUP(A38,Ergebnis_je_Aktie_verwässert!A$3:AJ$103,8,FALSE),""),"")</f>
        <v>18.216374269005847</v>
      </c>
      <c r="F38" s="79">
        <f>IF(VLOOKUP(A38,Ergebnis_je_Aktie_verwässert!A$3:AJ$103,9,FALSE)&gt;0,IF(VLOOKUP(A38,Schlußkurse!A$5:AU$105,38,FALSE)&gt;0,VLOOKUP(A38,Schlußkurse!A$5:AU$105,38,FALSE)/VLOOKUP(A38,Ergebnis_je_Aktie_verwässert!A$3:AJ$103,9,FALSE),""),"")</f>
        <v>21.570422535211268</v>
      </c>
      <c r="G38" s="79">
        <f>IF(VLOOKUP(A38,Ergebnis_je_Aktie_verwässert!A$3:AJ$103,10,FALSE)&gt;0,IF(VLOOKUP(A38,Schlußkurse!A$5:AU$105,39,FALSE)&gt;0,VLOOKUP(A38,Schlußkurse!A$5:AU$105,39,FALSE)/VLOOKUP(A38,Ergebnis_je_Aktie_verwässert!A$3:AJ$103,10,FALSE),""),"")</f>
        <v>15.199575757575758</v>
      </c>
      <c r="H38" s="79">
        <f>IF(VLOOKUP(A38,Ergebnis_je_Aktie_verwässert!A$3:AJ$103,11,FALSE)&gt;0,IF(VLOOKUP(A38,Schlußkurse!A$5:AU$105,40,FALSE)&gt;0,VLOOKUP(A38,Schlußkurse!A$5:AU$105,40,FALSE)/VLOOKUP(A38,Ergebnis_je_Aktie_verwässert!A$3:AJ$103,11,FALSE),""),"")</f>
        <v>11.154639175257733</v>
      </c>
      <c r="I38" s="79">
        <f>IF(VLOOKUP(A38,Ergebnis_je_Aktie_verwässert!A$3:AJ$103,12,FALSE)&gt;0,IF(VLOOKUP(A38,Schlußkurse!A$5:AU$105,41,FALSE)&gt;0,VLOOKUP(A38,Schlußkurse!A$5:AU$105,41,FALSE)/VLOOKUP(A38,Ergebnis_je_Aktie_verwässert!A$3:AJ$103,12,FALSE),""),"")</f>
        <v>13.78740157480315</v>
      </c>
      <c r="J38" s="79">
        <f>IF(VLOOKUP(A38,Ergebnis_je_Aktie_verwässert!A$3:AJ$103,13,FALSE)&gt;0,IF(VLOOKUP(A38,Schlußkurse!A$5:AU$105,42,FALSE)&gt;0,VLOOKUP(A38,Schlußkurse!A$5:AU$105,42,FALSE)/VLOOKUP(A38,Ergebnis_je_Aktie_verwässert!A$3:AJ$103,13,FALSE),""),"")</f>
        <v>17.833333333333336</v>
      </c>
      <c r="K38" s="79">
        <f>IF(VLOOKUP(A38,Ergebnis_je_Aktie_verwässert!A$3:AJ$103,14,FALSE)&gt;0,IF(VLOOKUP(A38,Schlußkurse!A$5:AU$105,43,FALSE)&gt;0,VLOOKUP(A38,Schlußkurse!A$5:AU$105,43,FALSE)/VLOOKUP(A38,Ergebnis_je_Aktie_verwässert!A$3:AJ$103,14,FALSE),""),"")</f>
        <v>14.398373983739837</v>
      </c>
      <c r="L38" s="79">
        <f>IF(VLOOKUP(A38,Ergebnis_je_Aktie_verwässert!A$3:AJ$103,15,FALSE)&gt;0,IF(VLOOKUP(A38,Schlußkurse!A$5:AU$105,44,FALSE)&gt;0,VLOOKUP(A38,Schlußkurse!A$5:AU$105,44,FALSE)/VLOOKUP(A38,Ergebnis_je_Aktie_verwässert!A$3:AJ$103,15,FALSE),""),"")</f>
        <v>18.941666666666666</v>
      </c>
      <c r="M38" s="79">
        <f>IF(VLOOKUP(A38,Ergebnis_je_Aktie_verwässert!A$3:AJ$103,16,FALSE)&gt;0,IF(VLOOKUP(A38,Schlußkurse!A$5:AU$105,45,FALSE)&gt;0,VLOOKUP(A38,Schlußkurse!A$5:AU$105,45,FALSE)/VLOOKUP(A38,Ergebnis_je_Aktie_verwässert!A$3:AJ$103,16,FALSE),""),"")</f>
        <v>22.196581196581196</v>
      </c>
      <c r="N38" s="79">
        <f>IF(VLOOKUP(A38,Ergebnis_je_Aktie_verwässert!A$3:AJ$103,17,FALSE)&gt;0,IF(VLOOKUP(A38,Schlußkurse!A$5:AU$105,46,FALSE)&gt;0,VLOOKUP(A38,Schlußkurse!A$5:AU$105,46,FALSE)/VLOOKUP(A38,Ergebnis_je_Aktie_verwässert!A$3:AJ$103,17,FALSE),""),"")</f>
        <v>15.342105263157896</v>
      </c>
      <c r="O38" s="80">
        <f>IF(VLOOKUP(A38,Ergebnis_je_Aktie_verwässert!A$3:AJ$103,18,FALSE)&gt;0,IF(VLOOKUP(A38,Schlußkurse!A$5:AU$105,47,FALSE)&gt;0,VLOOKUP(A38,Schlußkurse!A$5:AU$105,47,FALSE)/VLOOKUP(A38,Ergebnis_je_Aktie_verwässert!A$3:AJ$103,18,FALSE),""),"")</f>
        <v>24.669724770642201</v>
      </c>
      <c r="P38" s="3">
        <f t="shared" si="2"/>
        <v>17.833333333333336</v>
      </c>
      <c r="Q38" s="3">
        <f ca="1">VLOOKUP(A38,Schlußkurse!A$5:AU$105,35,FALSE)/VLOOKUP(A38,Ergebnis_je_Aktie_verwässert!A$3:AK$103,23,FALSE)</f>
        <v>19.548981724891519</v>
      </c>
      <c r="R38" s="5">
        <f t="shared" ca="1" si="3"/>
        <v>9.6204582704197072E-2</v>
      </c>
    </row>
    <row r="39" spans="1:18" x14ac:dyDescent="0.25">
      <c r="A39" t="s">
        <v>68</v>
      </c>
      <c r="B39" t="s">
        <v>69</v>
      </c>
      <c r="C39" s="78">
        <f>IF(VLOOKUP(A39,Ergebnis_je_Aktie_verwässert!A$3:AJ$103,6,FALSE)&gt;0,IF(VLOOKUP(A39,Schlußkurse!A$5:AU$105,35,FALSE)&gt;0,VLOOKUP(A39,Schlußkurse!A$5:AU$105,35,FALSE)/VLOOKUP(A39,Ergebnis_je_Aktie_verwässert!A$3:AJ$103,6,FALSE),""),"")</f>
        <v>16.349802371541504</v>
      </c>
      <c r="D39" s="79">
        <f>IF(VLOOKUP(A39,Ergebnis_je_Aktie_verwässert!A$3:AJ$103,7,FALSE)&gt;0,IF(VLOOKUP(A39,Schlußkurse!A$5:AU$105,36,FALSE)&gt;0,VLOOKUP(A39,Schlußkurse!A$5:AU$105,36,FALSE)/VLOOKUP(A39,Ergebnis_je_Aktie_verwässert!A$3:AJ$103,7,FALSE),""),"")</f>
        <v>17.490486257928119</v>
      </c>
      <c r="E39" s="79">
        <f>IF(VLOOKUP(A39,Ergebnis_je_Aktie_verwässert!A$3:AJ$103,8,FALSE)&gt;0,IF(VLOOKUP(A39,Schlußkurse!A$5:AU$105,37,FALSE)&gt;0,VLOOKUP(A39,Schlußkurse!A$5:AU$105,37,FALSE)/VLOOKUP(A39,Ergebnis_je_Aktie_verwässert!A$3:AJ$103,8,FALSE),""),"")</f>
        <v>18.854166666666668</v>
      </c>
      <c r="F39" s="79">
        <f>IF(VLOOKUP(A39,Ergebnis_je_Aktie_verwässert!A$3:AJ$103,9,FALSE)&gt;0,IF(VLOOKUP(A39,Schlußkurse!A$5:AU$105,38,FALSE)&gt;0,VLOOKUP(A39,Schlußkurse!A$5:AU$105,38,FALSE)/VLOOKUP(A39,Ergebnis_je_Aktie_verwässert!A$3:AJ$103,9,FALSE),""),"")</f>
        <v>18.304621848739497</v>
      </c>
      <c r="G39" s="79">
        <f>IF(VLOOKUP(A39,Ergebnis_je_Aktie_verwässert!A$3:AJ$103,10,FALSE)&gt;0,IF(VLOOKUP(A39,Schlußkurse!A$5:AU$105,39,FALSE)&gt;0,VLOOKUP(A39,Schlußkurse!A$5:AU$105,39,FALSE)/VLOOKUP(A39,Ergebnis_je_Aktie_verwässert!A$3:AJ$103,10,FALSE),""),"")</f>
        <v>15.901140684410647</v>
      </c>
      <c r="H39" s="79">
        <f>IF(VLOOKUP(A39,Ergebnis_je_Aktie_verwässert!A$3:AJ$103,11,FALSE)&gt;0,IF(VLOOKUP(A39,Schlußkurse!A$5:AU$105,40,FALSE)&gt;0,VLOOKUP(A39,Schlußkurse!A$5:AU$105,40,FALSE)/VLOOKUP(A39,Ergebnis_je_Aktie_verwässert!A$3:AJ$103,11,FALSE),""),"")</f>
        <v>15.179883945841393</v>
      </c>
      <c r="I39" s="79">
        <f>IF(VLOOKUP(A39,Ergebnis_je_Aktie_verwässert!A$3:AJ$103,12,FALSE)&gt;0,IF(VLOOKUP(A39,Schlußkurse!A$5:AU$105,41,FALSE)&gt;0,VLOOKUP(A39,Schlußkurse!A$5:AU$105,41,FALSE)/VLOOKUP(A39,Ergebnis_je_Aktie_verwässert!A$3:AJ$103,12,FALSE),""),"")</f>
        <v>12.068041237113404</v>
      </c>
      <c r="J39" s="79">
        <f>IF(VLOOKUP(A39,Ergebnis_je_Aktie_verwässert!A$3:AJ$103,13,FALSE)&gt;0,IF(VLOOKUP(A39,Schlußkurse!A$5:AU$105,42,FALSE)&gt;0,VLOOKUP(A39,Schlußkurse!A$5:AU$105,42,FALSE)/VLOOKUP(A39,Ergebnis_je_Aktie_verwässert!A$3:AJ$103,13,FALSE),""),"")</f>
        <v>12.293367346938775</v>
      </c>
      <c r="K39" s="79">
        <f>IF(VLOOKUP(A39,Ergebnis_je_Aktie_verwässert!A$3:AJ$103,14,FALSE)&gt;0,IF(VLOOKUP(A39,Schlußkurse!A$5:AU$105,43,FALSE)&gt;0,VLOOKUP(A39,Schlußkurse!A$5:AU$105,43,FALSE)/VLOOKUP(A39,Ergebnis_je_Aktie_verwässert!A$3:AJ$103,14,FALSE),""),"")</f>
        <v>13.429012345679011</v>
      </c>
      <c r="L39" s="79" t="str">
        <f>IF(VLOOKUP(A39,Ergebnis_je_Aktie_verwässert!A$3:AJ$103,15,FALSE)&gt;0,IF(VLOOKUP(A39,Schlußkurse!A$5:AU$105,44,FALSE)&gt;0,VLOOKUP(A39,Schlußkurse!A$5:AU$105,44,FALSE)/VLOOKUP(A39,Ergebnis_je_Aktie_verwässert!A$3:AJ$103,15,FALSE),""),"")</f>
        <v/>
      </c>
      <c r="M39" s="79" t="str">
        <f>IF(VLOOKUP(A39,Ergebnis_je_Aktie_verwässert!A$3:AJ$103,16,FALSE)&gt;0,IF(VLOOKUP(A39,Schlußkurse!A$5:AU$105,45,FALSE)&gt;0,VLOOKUP(A39,Schlußkurse!A$5:AU$105,45,FALSE)/VLOOKUP(A39,Ergebnis_je_Aktie_verwässert!A$3:AJ$103,16,FALSE),""),"")</f>
        <v/>
      </c>
      <c r="N39" s="79" t="str">
        <f>IF(VLOOKUP(A39,Ergebnis_je_Aktie_verwässert!A$3:AJ$103,17,FALSE)&gt;0,IF(VLOOKUP(A39,Schlußkurse!A$5:AU$105,46,FALSE)&gt;0,VLOOKUP(A39,Schlußkurse!A$5:AU$105,46,FALSE)/VLOOKUP(A39,Ergebnis_je_Aktie_verwässert!A$3:AJ$103,17,FALSE),""),"")</f>
        <v/>
      </c>
      <c r="O39" s="80" t="str">
        <f>IF(VLOOKUP(A39,Ergebnis_je_Aktie_verwässert!A$3:AJ$103,18,FALSE)&gt;0,IF(VLOOKUP(A39,Schlußkurse!A$5:AU$105,47,FALSE)&gt;0,VLOOKUP(A39,Schlußkurse!A$5:AU$105,47,FALSE)/VLOOKUP(A39,Ergebnis_je_Aktie_verwässert!A$3:AJ$103,18,FALSE),""),"")</f>
        <v/>
      </c>
      <c r="P39" s="3">
        <f t="shared" si="2"/>
        <v>15.901140684410647</v>
      </c>
      <c r="Q39" s="3">
        <f ca="1">VLOOKUP(A39,Schlußkurse!A$5:AU$105,35,FALSE)/VLOOKUP(A39,Ergebnis_je_Aktie_verwässert!A$3:AK$103,23,FALSE)</f>
        <v>18.553718493415232</v>
      </c>
      <c r="R39" s="5">
        <f t="shared" ca="1" si="3"/>
        <v>0.16681682538694553</v>
      </c>
    </row>
    <row r="40" spans="1:18" x14ac:dyDescent="0.25">
      <c r="A40" t="s">
        <v>70</v>
      </c>
      <c r="B40" t="s">
        <v>71</v>
      </c>
      <c r="C40" s="78">
        <f>IF(VLOOKUP(A40,Ergebnis_je_Aktie_verwässert!A$3:AJ$103,6,FALSE)&gt;0,IF(VLOOKUP(A40,Schlußkurse!A$5:AU$105,35,FALSE)&gt;0,VLOOKUP(A40,Schlußkurse!A$5:AU$105,35,FALSE)/VLOOKUP(A40,Ergebnis_je_Aktie_verwässert!A$3:AJ$103,6,FALSE),""),"")</f>
        <v>17.209051724137932</v>
      </c>
      <c r="D40" s="79">
        <f>IF(VLOOKUP(A40,Ergebnis_je_Aktie_verwässert!A$3:AJ$103,7,FALSE)&gt;0,IF(VLOOKUP(A40,Schlußkurse!A$5:AU$105,36,FALSE)&gt;0,VLOOKUP(A40,Schlußkurse!A$5:AU$105,36,FALSE)/VLOOKUP(A40,Ergebnis_je_Aktie_verwässert!A$3:AJ$103,7,FALSE),""),"")</f>
        <v>19.102870813397129</v>
      </c>
      <c r="E40" s="79">
        <f>IF(VLOOKUP(A40,Ergebnis_je_Aktie_verwässert!A$3:AJ$103,8,FALSE)&gt;0,IF(VLOOKUP(A40,Schlußkurse!A$5:AU$105,37,FALSE)&gt;0,VLOOKUP(A40,Schlußkurse!A$5:AU$105,37,FALSE)/VLOOKUP(A40,Ergebnis_je_Aktie_verwässert!A$3:AJ$103,8,FALSE),""),"")</f>
        <v>21.24054054054054</v>
      </c>
      <c r="F40" s="79">
        <f>IF(VLOOKUP(A40,Ergebnis_je_Aktie_verwässert!A$3:AJ$103,9,FALSE)&gt;0,IF(VLOOKUP(A40,Schlußkurse!A$5:AU$105,38,FALSE)&gt;0,VLOOKUP(A40,Schlußkurse!A$5:AU$105,38,FALSE)/VLOOKUP(A40,Ergebnis_je_Aktie_verwässert!A$3:AJ$103,9,FALSE),""),"")</f>
        <v>19.344221105527637</v>
      </c>
      <c r="G40" s="79">
        <f>IF(VLOOKUP(A40,Ergebnis_je_Aktie_verwässert!A$3:AJ$103,10,FALSE)&gt;0,IF(VLOOKUP(A40,Schlußkurse!A$5:AU$105,39,FALSE)&gt;0,VLOOKUP(A40,Schlußkurse!A$5:AU$105,39,FALSE)/VLOOKUP(A40,Ergebnis_je_Aktie_verwässert!A$3:AJ$103,10,FALSE),""),"")</f>
        <v>15.992167101827675</v>
      </c>
      <c r="H40" s="79">
        <f>IF(VLOOKUP(A40,Ergebnis_je_Aktie_verwässert!A$3:AJ$103,11,FALSE)&gt;0,IF(VLOOKUP(A40,Schlußkurse!A$5:AU$105,40,FALSE)&gt;0,VLOOKUP(A40,Schlußkurse!A$5:AU$105,40,FALSE)/VLOOKUP(A40,Ergebnis_je_Aktie_verwässert!A$3:AJ$103,11,FALSE),""),"")</f>
        <v>20.774509803921568</v>
      </c>
      <c r="I40" s="79">
        <f>IF(VLOOKUP(A40,Ergebnis_je_Aktie_verwässert!A$3:AJ$103,12,FALSE)&gt;0,IF(VLOOKUP(A40,Schlußkurse!A$5:AU$105,41,FALSE)&gt;0,VLOOKUP(A40,Schlußkurse!A$5:AU$105,41,FALSE)/VLOOKUP(A40,Ergebnis_je_Aktie_verwässert!A$3:AJ$103,12,FALSE),""),"")</f>
        <v>15.579220779220778</v>
      </c>
      <c r="J40" s="79">
        <f>IF(VLOOKUP(A40,Ergebnis_je_Aktie_verwässert!A$3:AJ$103,13,FALSE)&gt;0,IF(VLOOKUP(A40,Schlußkurse!A$5:AU$105,42,FALSE)&gt;0,VLOOKUP(A40,Schlußkurse!A$5:AU$105,42,FALSE)/VLOOKUP(A40,Ergebnis_je_Aktie_verwässert!A$3:AJ$103,13,FALSE),""),"")</f>
        <v>14.726224783861671</v>
      </c>
      <c r="K40" s="79">
        <f>IF(VLOOKUP(A40,Ergebnis_je_Aktie_verwässert!A$3:AJ$103,14,FALSE)&gt;0,IF(VLOOKUP(A40,Schlußkurse!A$5:AU$105,43,FALSE)&gt;0,VLOOKUP(A40,Schlußkurse!A$5:AU$105,43,FALSE)/VLOOKUP(A40,Ergebnis_je_Aktie_verwässert!A$3:AJ$103,14,FALSE),""),"")</f>
        <v>17.938053097345133</v>
      </c>
      <c r="L40" s="79">
        <f>IF(VLOOKUP(A40,Ergebnis_je_Aktie_verwässert!A$3:AJ$103,15,FALSE)&gt;0,IF(VLOOKUP(A40,Schlußkurse!A$5:AU$105,44,FALSE)&gt;0,VLOOKUP(A40,Schlußkurse!A$5:AU$105,44,FALSE)/VLOOKUP(A40,Ergebnis_je_Aktie_verwässert!A$3:AJ$103,15,FALSE),""),"")</f>
        <v>17.997058823529411</v>
      </c>
      <c r="M40" s="79">
        <f>IF(VLOOKUP(A40,Ergebnis_je_Aktie_verwässert!A$3:AJ$103,16,FALSE)&gt;0,IF(VLOOKUP(A40,Schlußkurse!A$5:AU$105,45,FALSE)&gt;0,VLOOKUP(A40,Schlußkurse!A$5:AU$105,45,FALSE)/VLOOKUP(A40,Ergebnis_je_Aktie_verwässert!A$3:AJ$103,16,FALSE),""),"")</f>
        <v>19.947183098591548</v>
      </c>
      <c r="N40" s="79">
        <f>IF(VLOOKUP(A40,Ergebnis_je_Aktie_verwässert!A$3:AJ$103,17,FALSE)&gt;0,IF(VLOOKUP(A40,Schlußkurse!A$5:AU$105,46,FALSE)&gt;0,VLOOKUP(A40,Schlußkurse!A$5:AU$105,46,FALSE)/VLOOKUP(A40,Ergebnis_je_Aktie_verwässert!A$3:AJ$103,17,FALSE),""),"")</f>
        <v>21.184738955823292</v>
      </c>
      <c r="O40" s="80">
        <f>IF(VLOOKUP(A40,Ergebnis_je_Aktie_verwässert!A$3:AJ$103,18,FALSE)&gt;0,IF(VLOOKUP(A40,Schlußkurse!A$5:AU$105,47,FALSE)&gt;0,VLOOKUP(A40,Schlußkurse!A$5:AU$105,47,FALSE)/VLOOKUP(A40,Ergebnis_je_Aktie_verwässert!A$3:AJ$103,18,FALSE),""),"")</f>
        <v>21.517786561264824</v>
      </c>
      <c r="P40" s="3">
        <f t="shared" si="2"/>
        <v>19.102870813397129</v>
      </c>
      <c r="Q40" s="3">
        <f ca="1">VLOOKUP(A40,Schlußkurse!A$5:AU$105,35,FALSE)/VLOOKUP(A40,Ergebnis_je_Aktie_verwässert!A$3:AK$103,23,FALSE)</f>
        <v>19.456627680311893</v>
      </c>
      <c r="R40" s="5">
        <f t="shared" ca="1" si="3"/>
        <v>1.8518518518518601E-2</v>
      </c>
    </row>
    <row r="41" spans="1:18" x14ac:dyDescent="0.25">
      <c r="A41" t="s">
        <v>72</v>
      </c>
      <c r="B41" t="s">
        <v>73</v>
      </c>
      <c r="C41" s="78">
        <f>IF(VLOOKUP(A41,Ergebnis_je_Aktie_verwässert!A$3:AJ$103,6,FALSE)&gt;0,IF(VLOOKUP(A41,Schlußkurse!A$5:AU$105,35,FALSE)&gt;0,VLOOKUP(A41,Schlußkurse!A$5:AU$105,35,FALSE)/VLOOKUP(A41,Ergebnis_je_Aktie_verwässert!A$3:AJ$103,6,FALSE),""),"")</f>
        <v>12.161445783132528</v>
      </c>
      <c r="D41" s="79">
        <f>IF(VLOOKUP(A41,Ergebnis_je_Aktie_verwässert!A$3:AJ$103,7,FALSE)&gt;0,IF(VLOOKUP(A41,Schlußkurse!A$5:AU$105,36,FALSE)&gt;0,VLOOKUP(A41,Schlußkurse!A$5:AU$105,36,FALSE)/VLOOKUP(A41,Ergebnis_je_Aktie_verwässert!A$3:AJ$103,7,FALSE),""),"")</f>
        <v>12.523573200992555</v>
      </c>
      <c r="E41" s="79">
        <f>IF(VLOOKUP(A41,Ergebnis_je_Aktie_verwässert!A$3:AJ$103,8,FALSE)&gt;0,IF(VLOOKUP(A41,Schlußkurse!A$5:AU$105,37,FALSE)&gt;0,VLOOKUP(A41,Schlußkurse!A$5:AU$105,37,FALSE)/VLOOKUP(A41,Ergebnis_je_Aktie_verwässert!A$3:AJ$103,8,FALSE),""),"")</f>
        <v>12.182291666666668</v>
      </c>
      <c r="F41" s="79">
        <f>IF(VLOOKUP(A41,Ergebnis_je_Aktie_verwässert!A$3:AJ$103,9,FALSE)&gt;0,IF(VLOOKUP(A41,Schlußkurse!A$5:AU$105,38,FALSE)&gt;0,VLOOKUP(A41,Schlußkurse!A$5:AU$105,38,FALSE)/VLOOKUP(A41,Ergebnis_je_Aktie_verwässert!A$3:AJ$103,9,FALSE),""),"")</f>
        <v>20.305785123966942</v>
      </c>
      <c r="G41" s="79">
        <f>IF(VLOOKUP(A41,Ergebnis_je_Aktie_verwässert!A$3:AJ$103,10,FALSE)&gt;0,IF(VLOOKUP(A41,Schlußkurse!A$5:AU$105,39,FALSE)&gt;0,VLOOKUP(A41,Schlußkurse!A$5:AU$105,39,FALSE)/VLOOKUP(A41,Ergebnis_je_Aktie_verwässert!A$3:AJ$103,10,FALSE),""),"")</f>
        <v>10.817500000000001</v>
      </c>
      <c r="H41" s="79">
        <f>IF(VLOOKUP(A41,Ergebnis_je_Aktie_verwässert!A$3:AJ$103,11,FALSE)&gt;0,IF(VLOOKUP(A41,Schlußkurse!A$5:AU$105,40,FALSE)&gt;0,VLOOKUP(A41,Schlußkurse!A$5:AU$105,40,FALSE)/VLOOKUP(A41,Ergebnis_je_Aktie_verwässert!A$3:AJ$103,11,FALSE),""),"")</f>
        <v>17.910714285714281</v>
      </c>
      <c r="I41" s="79">
        <f>IF(VLOOKUP(A41,Ergebnis_je_Aktie_verwässert!A$3:AJ$103,12,FALSE)&gt;0,IF(VLOOKUP(A41,Schlußkurse!A$5:AU$105,41,FALSE)&gt;0,VLOOKUP(A41,Schlußkurse!A$5:AU$105,41,FALSE)/VLOOKUP(A41,Ergebnis_je_Aktie_verwässert!A$3:AJ$103,12,FALSE),""),"")</f>
        <v>16.641860465116281</v>
      </c>
      <c r="J41" s="79">
        <f>IF(VLOOKUP(A41,Ergebnis_je_Aktie_verwässert!A$3:AJ$103,13,FALSE)&gt;0,IF(VLOOKUP(A41,Schlußkurse!A$5:AU$105,42,FALSE)&gt;0,VLOOKUP(A41,Schlußkurse!A$5:AU$105,42,FALSE)/VLOOKUP(A41,Ergebnis_je_Aktie_verwässert!A$3:AJ$103,13,FALSE),""),"")</f>
        <v>15.059090909090909</v>
      </c>
      <c r="K41" s="79">
        <f>IF(VLOOKUP(A41,Ergebnis_je_Aktie_verwässert!A$3:AJ$103,14,FALSE)&gt;0,IF(VLOOKUP(A41,Schlußkurse!A$5:AU$105,43,FALSE)&gt;0,VLOOKUP(A41,Schlußkurse!A$5:AU$105,43,FALSE)/VLOOKUP(A41,Ergebnis_je_Aktie_verwässert!A$3:AJ$103,14,FALSE),""),"")</f>
        <v>14.125</v>
      </c>
      <c r="L41" s="79">
        <f>IF(VLOOKUP(A41,Ergebnis_je_Aktie_verwässert!A$3:AJ$103,15,FALSE)&gt;0,IF(VLOOKUP(A41,Schlußkurse!A$5:AU$105,44,FALSE)&gt;0,VLOOKUP(A41,Schlußkurse!A$5:AU$105,44,FALSE)/VLOOKUP(A41,Ergebnis_je_Aktie_verwässert!A$3:AJ$103,15,FALSE),""),"")</f>
        <v>19.331858407079647</v>
      </c>
      <c r="M41" s="79">
        <f>IF(VLOOKUP(A41,Ergebnis_je_Aktie_verwässert!A$3:AJ$103,16,FALSE)&gt;0,IF(VLOOKUP(A41,Schlußkurse!A$5:AU$105,45,FALSE)&gt;0,VLOOKUP(A41,Schlußkurse!A$5:AU$105,45,FALSE)/VLOOKUP(A41,Ergebnis_je_Aktie_verwässert!A$3:AJ$103,16,FALSE),""),"")</f>
        <v>19.631578947368421</v>
      </c>
      <c r="N41" s="79">
        <f>IF(VLOOKUP(A41,Ergebnis_je_Aktie_verwässert!A$3:AJ$103,17,FALSE)&gt;0,IF(VLOOKUP(A41,Schlußkurse!A$5:AU$105,46,FALSE)&gt;0,VLOOKUP(A41,Schlußkurse!A$5:AU$105,46,FALSE)/VLOOKUP(A41,Ergebnis_je_Aktie_verwässert!A$3:AJ$103,17,FALSE),""),"")</f>
        <v>14.009302325581396</v>
      </c>
      <c r="O41" s="80">
        <f>IF(VLOOKUP(A41,Ergebnis_je_Aktie_verwässert!A$3:AJ$103,18,FALSE)&gt;0,IF(VLOOKUP(A41,Schlußkurse!A$5:AU$105,47,FALSE)&gt;0,VLOOKUP(A41,Schlußkurse!A$5:AU$105,47,FALSE)/VLOOKUP(A41,Ergebnis_je_Aktie_verwässert!A$3:AJ$103,18,FALSE),""),"")</f>
        <v>15.286792452830188</v>
      </c>
      <c r="P41" s="3">
        <f t="shared" si="2"/>
        <v>15.059090909090909</v>
      </c>
      <c r="Q41" s="3">
        <f ca="1">VLOOKUP(A41,Schlußkurse!A$5:AU$105,35,FALSE)/VLOOKUP(A41,Ergebnis_je_Aktie_verwässert!A$3:AK$103,23,FALSE)</f>
        <v>12.926478748986185</v>
      </c>
      <c r="R41" s="5">
        <f t="shared" ca="1" si="3"/>
        <v>-0.14161626176367015</v>
      </c>
    </row>
    <row r="42" spans="1:18" x14ac:dyDescent="0.25">
      <c r="A42" t="s">
        <v>74</v>
      </c>
      <c r="B42" t="s">
        <v>75</v>
      </c>
      <c r="C42" s="78">
        <f>IF(VLOOKUP(A42,Ergebnis_je_Aktie_verwässert!A$3:AJ$103,6,FALSE)&gt;0,IF(VLOOKUP(A42,Schlußkurse!A$5:AU$105,35,FALSE)&gt;0,VLOOKUP(A42,Schlußkurse!A$5:AU$105,35,FALSE)/VLOOKUP(A42,Ergebnis_je_Aktie_verwässert!A$3:AJ$103,6,FALSE),""),"")</f>
        <v>15.063829787234042</v>
      </c>
      <c r="D42" s="79">
        <f>IF(VLOOKUP(A42,Ergebnis_je_Aktie_verwässert!A$3:AJ$103,7,FALSE)&gt;0,IF(VLOOKUP(A42,Schlußkurse!A$5:AU$105,36,FALSE)&gt;0,VLOOKUP(A42,Schlußkurse!A$5:AU$105,36,FALSE)/VLOOKUP(A42,Ergebnis_je_Aktie_verwässert!A$3:AJ$103,7,FALSE),""),"")</f>
        <v>17.41393442622951</v>
      </c>
      <c r="E42" s="79">
        <f>IF(VLOOKUP(A42,Ergebnis_je_Aktie_verwässert!A$3:AJ$103,8,FALSE)&gt;0,IF(VLOOKUP(A42,Schlußkurse!A$5:AU$105,37,FALSE)&gt;0,VLOOKUP(A42,Schlußkurse!A$5:AU$105,37,FALSE)/VLOOKUP(A42,Ergebnis_je_Aktie_verwässert!A$3:AJ$103,8,FALSE),""),"")</f>
        <v>14.788118811881191</v>
      </c>
      <c r="F42" s="79">
        <f>IF(VLOOKUP(A42,Ergebnis_je_Aktie_verwässert!A$3:AJ$103,9,FALSE)&gt;0,IF(VLOOKUP(A42,Schlußkurse!A$5:AU$105,38,FALSE)&gt;0,VLOOKUP(A42,Schlußkurse!A$5:AU$105,38,FALSE)/VLOOKUP(A42,Ergebnis_je_Aktie_verwässert!A$3:AJ$103,9,FALSE),""),"")</f>
        <v>14.334016393442624</v>
      </c>
      <c r="G42" s="79">
        <f>IF(VLOOKUP(A42,Ergebnis_je_Aktie_verwässert!A$3:AJ$103,10,FALSE)&gt;0,IF(VLOOKUP(A42,Schlußkurse!A$5:AU$105,39,FALSE)&gt;0,VLOOKUP(A42,Schlußkurse!A$5:AU$105,39,FALSE)/VLOOKUP(A42,Ergebnis_je_Aktie_verwässert!A$3:AJ$103,10,FALSE),""),"")</f>
        <v>12.223107569721117</v>
      </c>
      <c r="H42" s="79">
        <f>IF(VLOOKUP(A42,Ergebnis_je_Aktie_verwässert!A$3:AJ$103,11,FALSE)&gt;0,IF(VLOOKUP(A42,Schlußkurse!A$5:AU$105,40,FALSE)&gt;0,VLOOKUP(A42,Schlußkurse!A$5:AU$105,40,FALSE)/VLOOKUP(A42,Ergebnis_je_Aktie_verwässert!A$3:AJ$103,11,FALSE),""),"")</f>
        <v>12.40486725663717</v>
      </c>
      <c r="I42" s="79">
        <f>IF(VLOOKUP(A42,Ergebnis_je_Aktie_verwässert!A$3:AJ$103,12,FALSE)&gt;0,IF(VLOOKUP(A42,Schlußkurse!A$5:AU$105,41,FALSE)&gt;0,VLOOKUP(A42,Schlußkurse!A$5:AU$105,41,FALSE)/VLOOKUP(A42,Ergebnis_je_Aktie_verwässert!A$3:AJ$103,12,FALSE),""),"")</f>
        <v>11.953020134228188</v>
      </c>
      <c r="J42" s="79">
        <f>IF(VLOOKUP(A42,Ergebnis_je_Aktie_verwässert!A$3:AJ$103,13,FALSE)&gt;0,IF(VLOOKUP(A42,Schlußkurse!A$5:AU$105,42,FALSE)&gt;0,VLOOKUP(A42,Schlußkurse!A$5:AU$105,42,FALSE)/VLOOKUP(A42,Ergebnis_je_Aktie_verwässert!A$3:AJ$103,13,FALSE),""),"")</f>
        <v>12.735135135135133</v>
      </c>
      <c r="K42" s="79">
        <f>IF(VLOOKUP(A42,Ergebnis_je_Aktie_verwässert!A$3:AJ$103,14,FALSE)&gt;0,IF(VLOOKUP(A42,Schlußkurse!A$5:AU$105,43,FALSE)&gt;0,VLOOKUP(A42,Schlußkurse!A$5:AU$105,43,FALSE)/VLOOKUP(A42,Ergebnis_je_Aktie_verwässert!A$3:AJ$103,14,FALSE),""),"")</f>
        <v>14.976401179941004</v>
      </c>
      <c r="L42" s="79">
        <f>IF(VLOOKUP(A42,Ergebnis_je_Aktie_verwässert!A$3:AJ$103,15,FALSE)&gt;0,IF(VLOOKUP(A42,Schlußkurse!A$5:AU$105,44,FALSE)&gt;0,VLOOKUP(A42,Schlußkurse!A$5:AU$105,44,FALSE)/VLOOKUP(A42,Ergebnis_je_Aktie_verwässert!A$3:AJ$103,15,FALSE),""),"")</f>
        <v>15.230031948881789</v>
      </c>
      <c r="M42" s="79">
        <f>IF(VLOOKUP(A42,Ergebnis_je_Aktie_verwässert!A$3:AJ$103,16,FALSE)&gt;0,IF(VLOOKUP(A42,Schlußkurse!A$5:AU$105,45,FALSE)&gt;0,VLOOKUP(A42,Schlußkurse!A$5:AU$105,45,FALSE)/VLOOKUP(A42,Ergebnis_je_Aktie_verwässert!A$3:AJ$103,16,FALSE),""),"")</f>
        <v>17.014760147601475</v>
      </c>
      <c r="N42" s="79">
        <f>IF(VLOOKUP(A42,Ergebnis_je_Aktie_verwässert!A$3:AJ$103,17,FALSE)&gt;0,IF(VLOOKUP(A42,Schlußkurse!A$5:AU$105,46,FALSE)&gt;0,VLOOKUP(A42,Schlußkurse!A$5:AU$105,46,FALSE)/VLOOKUP(A42,Ergebnis_je_Aktie_verwässert!A$3:AJ$103,17,FALSE),""),"")</f>
        <v>19.552238805970148</v>
      </c>
      <c r="O42" s="80">
        <f>IF(VLOOKUP(A42,Ergebnis_je_Aktie_verwässert!A$3:AJ$103,18,FALSE)&gt;0,IF(VLOOKUP(A42,Schlußkurse!A$5:AU$105,47,FALSE)&gt;0,VLOOKUP(A42,Schlußkurse!A$5:AU$105,47,FALSE)/VLOOKUP(A42,Ergebnis_je_Aktie_verwässert!A$3:AJ$103,18,FALSE),""),"")</f>
        <v>22.344398340248961</v>
      </c>
      <c r="P42" s="3">
        <f t="shared" si="2"/>
        <v>14.976401179941004</v>
      </c>
      <c r="Q42" s="3">
        <f ca="1">VLOOKUP(A42,Schlußkurse!A$5:AU$105,35,FALSE)/VLOOKUP(A42,Ergebnis_je_Aktie_verwässert!A$3:AK$103,23,FALSE)</f>
        <v>15.720277210846211</v>
      </c>
      <c r="R42" s="5">
        <f t="shared" ca="1" si="3"/>
        <v>4.9669878762431674E-2</v>
      </c>
    </row>
    <row r="43" spans="1:18" x14ac:dyDescent="0.25">
      <c r="A43" t="s">
        <v>76</v>
      </c>
      <c r="B43" t="s">
        <v>77</v>
      </c>
      <c r="C43" s="78">
        <f>IF(VLOOKUP(A43,Ergebnis_je_Aktie_verwässert!A$3:AJ$103,6,FALSE)&gt;0,IF(VLOOKUP(A43,Schlußkurse!A$5:AU$105,35,FALSE)&gt;0,VLOOKUP(A43,Schlußkurse!A$5:AU$105,35,FALSE)/VLOOKUP(A43,Ergebnis_je_Aktie_verwässert!A$3:AJ$103,6,FALSE),""),"")</f>
        <v>19.769725695581013</v>
      </c>
      <c r="D43" s="79">
        <f>IF(VLOOKUP(A43,Ergebnis_je_Aktie_verwässert!A$3:AJ$103,7,FALSE)&gt;0,IF(VLOOKUP(A43,Schlußkurse!A$5:AU$105,36,FALSE)&gt;0,VLOOKUP(A43,Schlußkurse!A$5:AU$105,36,FALSE)/VLOOKUP(A43,Ergebnis_je_Aktie_verwässert!A$3:AJ$103,7,FALSE),""),"")</f>
        <v>20.898447058823528</v>
      </c>
      <c r="E43" s="79">
        <f>IF(VLOOKUP(A43,Ergebnis_je_Aktie_verwässert!A$3:AJ$103,8,FALSE)&gt;0,IF(VLOOKUP(A43,Schlußkurse!A$5:AU$105,37,FALSE)&gt;0,VLOOKUP(A43,Schlußkurse!A$5:AU$105,37,FALSE)/VLOOKUP(A43,Ergebnis_je_Aktie_verwässert!A$3:AJ$103,8,FALSE),""),"")</f>
        <v>20.6492</v>
      </c>
      <c r="F43" s="79">
        <f>IF(VLOOKUP(A43,Ergebnis_je_Aktie_verwässert!A$3:AJ$103,9,FALSE)&gt;0,IF(VLOOKUP(A43,Schlußkurse!A$5:AU$105,38,FALSE)&gt;0,VLOOKUP(A43,Schlußkurse!A$5:AU$105,38,FALSE)/VLOOKUP(A43,Ergebnis_je_Aktie_verwässert!A$3:AJ$103,9,FALSE),""),"")</f>
        <v>19.215984476534295</v>
      </c>
      <c r="G43" s="79">
        <f>IF(VLOOKUP(A43,Ergebnis_je_Aktie_verwässert!A$3:AJ$103,10,FALSE)&gt;0,IF(VLOOKUP(A43,Schlußkurse!A$5:AU$105,39,FALSE)&gt;0,VLOOKUP(A43,Schlußkurse!A$5:AU$105,39,FALSE)/VLOOKUP(A43,Ergebnis_je_Aktie_verwässert!A$3:AJ$103,10,FALSE),""),"")</f>
        <v>17.653399185336045</v>
      </c>
      <c r="H43" s="79">
        <f>IF(VLOOKUP(A43,Ergebnis_je_Aktie_verwässert!A$3:AJ$103,11,FALSE)&gt;0,IF(VLOOKUP(A43,Schlußkurse!A$5:AU$105,40,FALSE)&gt;0,VLOOKUP(A43,Schlußkurse!A$5:AU$105,40,FALSE)/VLOOKUP(A43,Ergebnis_je_Aktie_verwässert!A$3:AJ$103,11,FALSE),""),"")</f>
        <v>13.780105955056179</v>
      </c>
      <c r="I43" s="79">
        <f>IF(VLOOKUP(A43,Ergebnis_je_Aktie_verwässert!A$3:AJ$103,12,FALSE)&gt;0,IF(VLOOKUP(A43,Schlußkurse!A$5:AU$105,41,FALSE)&gt;0,VLOOKUP(A43,Schlußkurse!A$5:AU$105,41,FALSE)/VLOOKUP(A43,Ergebnis_je_Aktie_verwässert!A$3:AJ$103,12,FALSE),""),"")</f>
        <v>15.790016528925618</v>
      </c>
      <c r="J43" s="79">
        <f>IF(VLOOKUP(A43,Ergebnis_je_Aktie_verwässert!A$3:AJ$103,13,FALSE)&gt;0,IF(VLOOKUP(A43,Schlußkurse!A$5:AU$105,42,FALSE)&gt;0,VLOOKUP(A43,Schlußkurse!A$5:AU$105,42,FALSE)/VLOOKUP(A43,Ergebnis_je_Aktie_verwässert!A$3:AJ$103,13,FALSE),""),"")</f>
        <v>20.867437200000001</v>
      </c>
      <c r="K43" s="79">
        <f>IF(VLOOKUP(A43,Ergebnis_je_Aktie_verwässert!A$3:AJ$103,14,FALSE)&gt;0,IF(VLOOKUP(A43,Schlußkurse!A$5:AU$105,43,FALSE)&gt;0,VLOOKUP(A43,Schlußkurse!A$5:AU$105,43,FALSE)/VLOOKUP(A43,Ergebnis_je_Aktie_verwässert!A$3:AJ$103,14,FALSE),""),"")</f>
        <v>8.1076199999999989</v>
      </c>
      <c r="L43" s="79" t="str">
        <f>IF(VLOOKUP(A43,Ergebnis_je_Aktie_verwässert!A$3:AJ$103,15,FALSE)&gt;0,IF(VLOOKUP(A43,Schlußkurse!A$5:AU$105,44,FALSE)&gt;0,VLOOKUP(A43,Schlußkurse!A$5:AU$105,44,FALSE)/VLOOKUP(A43,Ergebnis_je_Aktie_verwässert!A$3:AJ$103,15,FALSE),""),"")</f>
        <v/>
      </c>
      <c r="M43" s="79" t="str">
        <f>IF(VLOOKUP(A43,Ergebnis_je_Aktie_verwässert!A$3:AJ$103,16,FALSE)&gt;0,IF(VLOOKUP(A43,Schlußkurse!A$5:AU$105,45,FALSE)&gt;0,VLOOKUP(A43,Schlußkurse!A$5:AU$105,45,FALSE)/VLOOKUP(A43,Ergebnis_je_Aktie_verwässert!A$3:AJ$103,16,FALSE),""),"")</f>
        <v/>
      </c>
      <c r="N43" s="79" t="str">
        <f>IF(VLOOKUP(A43,Ergebnis_je_Aktie_verwässert!A$3:AJ$103,17,FALSE)&gt;0,IF(VLOOKUP(A43,Schlußkurse!A$5:AU$105,46,FALSE)&gt;0,VLOOKUP(A43,Schlußkurse!A$5:AU$105,46,FALSE)/VLOOKUP(A43,Ergebnis_je_Aktie_verwässert!A$3:AJ$103,17,FALSE),""),"")</f>
        <v/>
      </c>
      <c r="O43" s="80" t="str">
        <f>IF(VLOOKUP(A43,Ergebnis_je_Aktie_verwässert!A$3:AJ$103,18,FALSE)&gt;0,IF(VLOOKUP(A43,Schlußkurse!A$5:AU$105,47,FALSE)&gt;0,VLOOKUP(A43,Schlußkurse!A$5:AU$105,47,FALSE)/VLOOKUP(A43,Ergebnis_je_Aktie_verwässert!A$3:AJ$103,18,FALSE),""),"")</f>
        <v/>
      </c>
      <c r="P43" s="3">
        <f t="shared" si="2"/>
        <v>19.215984476534295</v>
      </c>
      <c r="Q43" s="3">
        <f ca="1">VLOOKUP(A43,Schlußkurse!A$5:AU$105,35,FALSE)/VLOOKUP(A43,Ergebnis_je_Aktie_verwässert!A$3:AK$103,23,FALSE)</f>
        <v>21.589887913571911</v>
      </c>
      <c r="R43" s="5">
        <f t="shared" ca="1" si="3"/>
        <v>0.12353795559819059</v>
      </c>
    </row>
    <row r="44" spans="1:18" x14ac:dyDescent="0.25">
      <c r="A44" t="s">
        <v>78</v>
      </c>
      <c r="B44" t="s">
        <v>79</v>
      </c>
      <c r="C44" s="78">
        <f>IF(VLOOKUP(A44,Ergebnis_je_Aktie_verwässert!A$3:AJ$103,6,FALSE)&gt;0,IF(VLOOKUP(A44,Schlußkurse!A$5:AU$105,35,FALSE)&gt;0,VLOOKUP(A44,Schlußkurse!A$5:AU$105,35,FALSE)/VLOOKUP(A44,Ergebnis_je_Aktie_verwässert!A$3:AJ$103,6,FALSE),""),"")</f>
        <v>30.973312401883831</v>
      </c>
      <c r="D44" s="79">
        <f>IF(VLOOKUP(A44,Ergebnis_je_Aktie_verwässert!A$3:AJ$103,7,FALSE)&gt;0,IF(VLOOKUP(A44,Schlußkurse!A$5:AU$105,36,FALSE)&gt;0,VLOOKUP(A44,Schlußkurse!A$5:AU$105,36,FALSE)/VLOOKUP(A44,Ergebnis_je_Aktie_verwässert!A$3:AJ$103,7,FALSE),""),"")</f>
        <v>33.668941979522181</v>
      </c>
      <c r="E44" s="79">
        <f>IF(VLOOKUP(A44,Ergebnis_je_Aktie_verwässert!A$3:AJ$103,8,FALSE)&gt;0,IF(VLOOKUP(A44,Schlußkurse!A$5:AU$105,37,FALSE)&gt;0,VLOOKUP(A44,Schlußkurse!A$5:AU$105,37,FALSE)/VLOOKUP(A44,Ergebnis_je_Aktie_verwässert!A$3:AJ$103,8,FALSE),""),"")</f>
        <v>36.017643352236924</v>
      </c>
      <c r="F44" s="79">
        <f>IF(VLOOKUP(A44,Ergebnis_je_Aktie_verwässert!A$3:AJ$103,9,FALSE)&gt;0,IF(VLOOKUP(A44,Schlußkurse!A$5:AU$105,38,FALSE)&gt;0,VLOOKUP(A44,Schlußkurse!A$5:AU$105,38,FALSE)/VLOOKUP(A44,Ergebnis_je_Aktie_verwässert!A$3:AJ$103,9,FALSE),""),"")</f>
        <v>32.945205479452056</v>
      </c>
      <c r="G44" s="79">
        <f>IF(VLOOKUP(A44,Ergebnis_je_Aktie_verwässert!A$3:AJ$103,10,FALSE)&gt;0,IF(VLOOKUP(A44,Schlußkurse!A$5:AU$105,39,FALSE)&gt;0,VLOOKUP(A44,Schlußkurse!A$5:AU$105,39,FALSE)/VLOOKUP(A44,Ergebnis_je_Aktie_verwässert!A$3:AJ$103,10,FALSE),""),"")</f>
        <v>26.267123287671232</v>
      </c>
      <c r="H44" s="79">
        <f>IF(VLOOKUP(A44,Ergebnis_je_Aktie_verwässert!A$3:AJ$103,11,FALSE)&gt;0,IF(VLOOKUP(A44,Schlußkurse!A$5:AU$105,40,FALSE)&gt;0,VLOOKUP(A44,Schlußkurse!A$5:AU$105,40,FALSE)/VLOOKUP(A44,Ergebnis_je_Aktie_verwässert!A$3:AJ$103,11,FALSE),""),"")</f>
        <v>26.444818871103621</v>
      </c>
      <c r="I44" s="79">
        <f>IF(VLOOKUP(A44,Ergebnis_je_Aktie_verwässert!A$3:AJ$103,12,FALSE)&gt;0,IF(VLOOKUP(A44,Schlußkurse!A$5:AU$105,41,FALSE)&gt;0,VLOOKUP(A44,Schlußkurse!A$5:AU$105,41,FALSE)/VLOOKUP(A44,Ergebnis_je_Aktie_verwässert!A$3:AJ$103,12,FALSE),""),"")</f>
        <v>27.922077922077921</v>
      </c>
      <c r="J44" s="79">
        <f>IF(VLOOKUP(A44,Ergebnis_je_Aktie_verwässert!A$3:AJ$103,13,FALSE)&gt;0,IF(VLOOKUP(A44,Schlußkurse!A$5:AU$105,42,FALSE)&gt;0,VLOOKUP(A44,Schlußkurse!A$5:AU$105,42,FALSE)/VLOOKUP(A44,Ergebnis_je_Aktie_verwässert!A$3:AJ$103,13,FALSE),""),"")</f>
        <v>24.080568720379148</v>
      </c>
      <c r="K44" s="79">
        <f>IF(VLOOKUP(A44,Ergebnis_je_Aktie_verwässert!A$3:AJ$103,14,FALSE)&gt;0,IF(VLOOKUP(A44,Schlußkurse!A$5:AU$105,43,FALSE)&gt;0,VLOOKUP(A44,Schlußkurse!A$5:AU$105,43,FALSE)/VLOOKUP(A44,Ergebnis_je_Aktie_verwässert!A$3:AJ$103,14,FALSE),""),"")</f>
        <v>26.560112821718182</v>
      </c>
      <c r="L44" s="79">
        <f>IF(VLOOKUP(A44,Ergebnis_je_Aktie_verwässert!A$3:AJ$103,15,FALSE)&gt;0,IF(VLOOKUP(A44,Schlußkurse!A$5:AU$105,44,FALSE)&gt;0,VLOOKUP(A44,Schlußkurse!A$5:AU$105,44,FALSE)/VLOOKUP(A44,Ergebnis_je_Aktie_verwässert!A$3:AJ$103,15,FALSE),""),"")</f>
        <v>34.885964912280699</v>
      </c>
      <c r="M44" s="79">
        <f>IF(VLOOKUP(A44,Ergebnis_je_Aktie_verwässert!A$3:AJ$103,16,FALSE)&gt;0,IF(VLOOKUP(A44,Schlußkurse!A$5:AU$105,45,FALSE)&gt;0,VLOOKUP(A44,Schlußkurse!A$5:AU$105,45,FALSE)/VLOOKUP(A44,Ergebnis_je_Aktie_verwässert!A$3:AJ$103,16,FALSE),""),"")</f>
        <v>28.139321723189735</v>
      </c>
      <c r="N44" s="79">
        <f>IF(VLOOKUP(A44,Ergebnis_je_Aktie_verwässert!A$3:AJ$103,17,FALSE)&gt;0,IF(VLOOKUP(A44,Schlußkurse!A$5:AU$105,46,FALSE)&gt;0,VLOOKUP(A44,Schlußkurse!A$5:AU$105,46,FALSE)/VLOOKUP(A44,Ergebnis_je_Aktie_verwässert!A$3:AJ$103,17,FALSE),""),"")</f>
        <v>23.827616152844115</v>
      </c>
      <c r="O44" s="80">
        <f>IF(VLOOKUP(A44,Ergebnis_je_Aktie_verwässert!A$3:AJ$103,18,FALSE)&gt;0,IF(VLOOKUP(A44,Schlußkurse!A$5:AU$105,47,FALSE)&gt;0,VLOOKUP(A44,Schlußkurse!A$5:AU$105,47,FALSE)/VLOOKUP(A44,Ergebnis_je_Aktie_verwässert!A$3:AJ$103,18,FALSE),""),"")</f>
        <v>21.674043217912001</v>
      </c>
      <c r="P44" s="3">
        <f t="shared" si="2"/>
        <v>27.922077922077921</v>
      </c>
      <c r="Q44" s="3">
        <f ca="1">VLOOKUP(A44,Schlußkurse!A$5:AU$105,35,FALSE)/VLOOKUP(A44,Ergebnis_je_Aktie_verwässert!A$3:AK$103,23,FALSE)</f>
        <v>35.982856621781814</v>
      </c>
      <c r="R44" s="5">
        <f t="shared" ca="1" si="3"/>
        <v>0.28868835343125565</v>
      </c>
    </row>
    <row r="45" spans="1:18" x14ac:dyDescent="0.25">
      <c r="A45" t="s">
        <v>81</v>
      </c>
      <c r="B45" t="s">
        <v>82</v>
      </c>
      <c r="C45" s="78">
        <f>IF(VLOOKUP(A45,Ergebnis_je_Aktie_verwässert!A$3:AJ$103,6,FALSE)&gt;0,IF(VLOOKUP(A45,Schlußkurse!A$5:AU$105,35,FALSE)&gt;0,VLOOKUP(A45,Schlußkurse!A$5:AU$105,35,FALSE)/VLOOKUP(A45,Ergebnis_je_Aktie_verwässert!A$3:AJ$103,6,FALSE),""),"")</f>
        <v>18.785971223021583</v>
      </c>
      <c r="D45" s="79">
        <f>IF(VLOOKUP(A45,Ergebnis_je_Aktie_verwässert!A$3:AJ$103,7,FALSE)&gt;0,IF(VLOOKUP(A45,Schlußkurse!A$5:AU$105,36,FALSE)&gt;0,VLOOKUP(A45,Schlußkurse!A$5:AU$105,36,FALSE)/VLOOKUP(A45,Ergebnis_je_Aktie_verwässert!A$3:AJ$103,7,FALSE),""),"")</f>
        <v>20.806772908366536</v>
      </c>
      <c r="E45" s="79">
        <f>IF(VLOOKUP(A45,Ergebnis_je_Aktie_verwässert!A$3:AJ$103,8,FALSE)&gt;0,IF(VLOOKUP(A45,Schlußkurse!A$5:AU$105,37,FALSE)&gt;0,VLOOKUP(A45,Schlußkurse!A$5:AU$105,37,FALSE)/VLOOKUP(A45,Ergebnis_je_Aktie_verwässert!A$3:AJ$103,8,FALSE),""),"")</f>
        <v>19.396963123644252</v>
      </c>
      <c r="F45" s="79">
        <f>IF(VLOOKUP(A45,Ergebnis_je_Aktie_verwässert!A$3:AJ$103,9,FALSE)&gt;0,IF(VLOOKUP(A45,Schlußkurse!A$5:AU$105,38,FALSE)&gt;0,VLOOKUP(A45,Schlußkurse!A$5:AU$105,38,FALSE)/VLOOKUP(A45,Ergebnis_je_Aktie_verwässert!A$3:AJ$103,9,FALSE),""),"")</f>
        <v>22.422872340425535</v>
      </c>
      <c r="G45" s="79">
        <f>IF(VLOOKUP(A45,Ergebnis_je_Aktie_verwässert!A$3:AJ$103,10,FALSE)&gt;0,IF(VLOOKUP(A45,Schlußkurse!A$5:AU$105,39,FALSE)&gt;0,VLOOKUP(A45,Schlußkurse!A$5:AU$105,39,FALSE)/VLOOKUP(A45,Ergebnis_je_Aktie_verwässert!A$3:AJ$103,10,FALSE),""),"")</f>
        <v>16.948228882833789</v>
      </c>
      <c r="H45" s="79">
        <f>IF(VLOOKUP(A45,Ergebnis_je_Aktie_verwässert!A$3:AJ$103,11,FALSE)&gt;0,IF(VLOOKUP(A45,Schlußkurse!A$5:AU$105,40,FALSE)&gt;0,VLOOKUP(A45,Schlußkurse!A$5:AU$105,40,FALSE)/VLOOKUP(A45,Ergebnis_je_Aktie_verwässert!A$3:AJ$103,11,FALSE),""),"")</f>
        <v>12.77650429799427</v>
      </c>
      <c r="I45" s="79">
        <f>IF(VLOOKUP(A45,Ergebnis_je_Aktie_verwässert!A$3:AJ$103,12,FALSE)&gt;0,IF(VLOOKUP(A45,Schlußkurse!A$5:AU$105,41,FALSE)&gt;0,VLOOKUP(A45,Schlußkurse!A$5:AU$105,41,FALSE)/VLOOKUP(A45,Ergebnis_je_Aktie_verwässert!A$3:AJ$103,12,FALSE),""),"")</f>
        <v>16.102076124567471</v>
      </c>
      <c r="J45" s="79">
        <f>IF(VLOOKUP(A45,Ergebnis_je_Aktie_verwässert!A$3:AJ$103,13,FALSE)&gt;0,IF(VLOOKUP(A45,Schlußkurse!A$5:AU$105,42,FALSE)&gt;0,VLOOKUP(A45,Schlußkurse!A$5:AU$105,42,FALSE)/VLOOKUP(A45,Ergebnis_je_Aktie_verwässert!A$3:AJ$103,13,FALSE),""),"")</f>
        <v>14.120155038759689</v>
      </c>
      <c r="K45" s="79">
        <f>IF(VLOOKUP(A45,Ergebnis_je_Aktie_verwässert!A$3:AJ$103,14,FALSE)&gt;0,IF(VLOOKUP(A45,Schlußkurse!A$5:AU$105,43,FALSE)&gt;0,VLOOKUP(A45,Schlußkurse!A$5:AU$105,43,FALSE)/VLOOKUP(A45,Ergebnis_je_Aktie_verwässert!A$3:AJ$103,14,FALSE),""),"")</f>
        <v>16.135714285714286</v>
      </c>
      <c r="L45" s="79">
        <f>IF(VLOOKUP(A45,Ergebnis_je_Aktie_verwässert!A$3:AJ$103,15,FALSE)&gt;0,IF(VLOOKUP(A45,Schlußkurse!A$5:AU$105,44,FALSE)&gt;0,VLOOKUP(A45,Schlußkurse!A$5:AU$105,44,FALSE)/VLOOKUP(A45,Ergebnis_je_Aktie_verwässert!A$3:AJ$103,15,FALSE),""),"")</f>
        <v>20.885869565217391</v>
      </c>
      <c r="M45" s="79">
        <f>IF(VLOOKUP(A45,Ergebnis_je_Aktie_verwässert!A$3:AJ$103,16,FALSE)&gt;0,IF(VLOOKUP(A45,Schlußkurse!A$5:AU$105,45,FALSE)&gt;0,VLOOKUP(A45,Schlußkurse!A$5:AU$105,45,FALSE)/VLOOKUP(A45,Ergebnis_je_Aktie_verwässert!A$3:AJ$103,16,FALSE),""),"")</f>
        <v>17.364485981308409</v>
      </c>
      <c r="N45" s="79">
        <f>IF(VLOOKUP(A45,Ergebnis_je_Aktie_verwässert!A$3:AJ$103,17,FALSE)&gt;0,IF(VLOOKUP(A45,Schlußkurse!A$5:AU$105,46,FALSE)&gt;0,VLOOKUP(A45,Schlußkurse!A$5:AU$105,46,FALSE)/VLOOKUP(A45,Ergebnis_je_Aktie_verwässert!A$3:AJ$103,17,FALSE),""),"")</f>
        <v>14.2378391959799</v>
      </c>
      <c r="O45" s="80">
        <f>IF(VLOOKUP(A45,Ergebnis_je_Aktie_verwässert!A$3:AJ$103,18,FALSE)&gt;0,IF(VLOOKUP(A45,Schlußkurse!A$5:AU$105,47,FALSE)&gt;0,VLOOKUP(A45,Schlußkurse!A$5:AU$105,47,FALSE)/VLOOKUP(A45,Ergebnis_je_Aktie_verwässert!A$3:AJ$103,18,FALSE),""),"")</f>
        <v>12.052711864406779</v>
      </c>
      <c r="P45" s="3">
        <f t="shared" si="2"/>
        <v>16.948228882833789</v>
      </c>
      <c r="Q45" s="3">
        <f ca="1">VLOOKUP(A45,Schlußkurse!A$5:AU$105,35,FALSE)/VLOOKUP(A45,Ergebnis_je_Aktie_verwässert!A$3:AK$103,23,FALSE)</f>
        <v>21.994361320059429</v>
      </c>
      <c r="R45" s="5">
        <f t="shared" ca="1" si="3"/>
        <v>0.29773803930254172</v>
      </c>
    </row>
    <row r="46" spans="1:18" x14ac:dyDescent="0.25">
      <c r="A46" t="s">
        <v>273</v>
      </c>
      <c r="B46" t="s">
        <v>278</v>
      </c>
      <c r="C46" s="78">
        <f>IF(VLOOKUP(A46,Ergebnis_je_Aktie_verwässert!A$3:AJ$103,6,FALSE)&gt;0,IF(VLOOKUP(A46,Schlußkurse!A$5:AU$105,35,FALSE)&gt;0,VLOOKUP(A46,Schlußkurse!A$5:AU$105,35,FALSE)/VLOOKUP(A46,Ergebnis_je_Aktie_verwässert!A$3:AJ$103,6,FALSE),""),"")</f>
        <v>17.647357723577237</v>
      </c>
      <c r="D46" s="79">
        <f>IF(VLOOKUP(A46,Ergebnis_je_Aktie_verwässert!A$3:AJ$103,7,FALSE)&gt;0,IF(VLOOKUP(A46,Schlußkurse!A$5:AU$105,36,FALSE)&gt;0,VLOOKUP(A46,Schlußkurse!A$5:AU$105,36,FALSE)/VLOOKUP(A46,Ergebnis_je_Aktie_verwässert!A$3:AJ$103,7,FALSE),""),"")</f>
        <v>19.511235955056179</v>
      </c>
      <c r="E46" s="79">
        <f>IF(VLOOKUP(A46,Ergebnis_je_Aktie_verwässert!A$3:AJ$103,8,FALSE)&gt;0,IF(VLOOKUP(A46,Schlußkurse!A$5:AU$105,37,FALSE)&gt;0,VLOOKUP(A46,Schlußkurse!A$5:AU$105,37,FALSE)/VLOOKUP(A46,Ergebnis_je_Aktie_verwässert!A$3:AJ$103,8,FALSE),""),"")</f>
        <v>19.820051413881746</v>
      </c>
      <c r="F46" s="79">
        <f>IF(VLOOKUP(A46,Ergebnis_je_Aktie_verwässert!A$3:AJ$103,9,FALSE)&gt;0,IF(VLOOKUP(A46,Schlußkurse!A$5:AU$105,38,FALSE)&gt;0,VLOOKUP(A46,Schlußkurse!A$5:AU$105,38,FALSE)/VLOOKUP(A46,Ergebnis_je_Aktie_verwässert!A$3:AJ$103,9,FALSE),""),"")</f>
        <v>25.597643097643097</v>
      </c>
      <c r="G46" s="79">
        <f>IF(VLOOKUP(A46,Ergebnis_je_Aktie_verwässert!A$3:AJ$103,10,FALSE)&gt;0,IF(VLOOKUP(A46,Schlußkurse!A$5:AU$105,39,FALSE)&gt;0,VLOOKUP(A46,Schlußkurse!A$5:AU$105,39,FALSE)/VLOOKUP(A46,Ergebnis_je_Aktie_verwässert!A$3:AJ$103,10,FALSE),""),"")</f>
        <v>18.64406779661017</v>
      </c>
      <c r="H46" s="79">
        <f>IF(VLOOKUP(A46,Ergebnis_je_Aktie_verwässert!A$3:AJ$103,11,FALSE)&gt;0,IF(VLOOKUP(A46,Schlußkurse!A$5:AU$105,40,FALSE)&gt;0,VLOOKUP(A46,Schlußkurse!A$5:AU$105,40,FALSE)/VLOOKUP(A46,Ergebnis_je_Aktie_verwässert!A$3:AJ$103,11,FALSE),""),"")</f>
        <v>16.492109038737446</v>
      </c>
      <c r="I46" s="79">
        <f>IF(VLOOKUP(A46,Ergebnis_je_Aktie_verwässert!A$3:AJ$103,12,FALSE)&gt;0,IF(VLOOKUP(A46,Schlußkurse!A$5:AU$105,41,FALSE)&gt;0,VLOOKUP(A46,Schlußkurse!A$5:AU$105,41,FALSE)/VLOOKUP(A46,Ergebnis_je_Aktie_verwässert!A$3:AJ$103,12,FALSE),""),"")</f>
        <v>16.649560117302052</v>
      </c>
      <c r="J46" s="79">
        <f>IF(VLOOKUP(A46,Ergebnis_je_Aktie_verwässert!A$3:AJ$103,13,FALSE)&gt;0,IF(VLOOKUP(A46,Schlußkurse!A$5:AU$105,42,FALSE)&gt;0,VLOOKUP(A46,Schlußkurse!A$5:AU$105,42,FALSE)/VLOOKUP(A46,Ergebnis_je_Aktie_verwässert!A$3:AJ$103,13,FALSE),""),"")</f>
        <v>14.361774744027302</v>
      </c>
      <c r="K46" s="79">
        <f>IF(VLOOKUP(A46,Ergebnis_je_Aktie_verwässert!A$3:AJ$103,14,FALSE)&gt;0,IF(VLOOKUP(A46,Schlußkurse!A$5:AU$105,43,FALSE)&gt;0,VLOOKUP(A46,Schlußkurse!A$5:AU$105,43,FALSE)/VLOOKUP(A46,Ergebnis_je_Aktie_verwässert!A$3:AJ$103,14,FALSE),""),"")</f>
        <v>17.198275862068964</v>
      </c>
      <c r="L46" s="79">
        <f>IF(VLOOKUP(A46,Ergebnis_je_Aktie_verwässert!A$3:AJ$103,15,FALSE)&gt;0,IF(VLOOKUP(A46,Schlußkurse!A$5:AU$105,44,FALSE)&gt;0,VLOOKUP(A46,Schlußkurse!A$5:AU$105,44,FALSE)/VLOOKUP(A46,Ergebnis_je_Aktie_verwässert!A$3:AJ$103,15,FALSE),""),"")</f>
        <v>21.33254716981132</v>
      </c>
      <c r="M46" s="79">
        <f>IF(VLOOKUP(A46,Ergebnis_je_Aktie_verwässert!A$3:AJ$103,16,FALSE)&gt;0,IF(VLOOKUP(A46,Schlußkurse!A$5:AU$105,45,FALSE)&gt;0,VLOOKUP(A46,Schlußkurse!A$5:AU$105,45,FALSE)/VLOOKUP(A46,Ergebnis_je_Aktie_verwässert!A$3:AJ$103,16,FALSE),""),"")</f>
        <v>25.01918158567775</v>
      </c>
      <c r="N46" s="79">
        <f>IF(VLOOKUP(A46,Ergebnis_je_Aktie_verwässert!A$3:AJ$103,17,FALSE)&gt;0,IF(VLOOKUP(A46,Schlußkurse!A$5:AU$105,46,FALSE)&gt;0,VLOOKUP(A46,Schlußkurse!A$5:AU$105,46,FALSE)/VLOOKUP(A46,Ergebnis_je_Aktie_verwässert!A$3:AJ$103,17,FALSE),""),"")</f>
        <v>13.687825182101976</v>
      </c>
      <c r="O46" s="80">
        <f>IF(VLOOKUP(A46,Ergebnis_je_Aktie_verwässert!A$3:AJ$103,18,FALSE)&gt;0,IF(VLOOKUP(A46,Schlußkurse!A$5:AU$105,47,FALSE)&gt;0,VLOOKUP(A46,Schlußkurse!A$5:AU$105,47,FALSE)/VLOOKUP(A46,Ergebnis_je_Aktie_verwässert!A$3:AJ$103,18,FALSE),""),"")</f>
        <v>11.631313131313131</v>
      </c>
      <c r="P46" s="3">
        <f t="shared" si="2"/>
        <v>17.647357723577237</v>
      </c>
      <c r="Q46" s="3">
        <f ca="1">VLOOKUP(A46,Schlußkurse!A$5:AU$105,35,FALSE)/VLOOKUP(A46,Ergebnis_je_Aktie_verwässert!A$3:AK$103,23,FALSE)</f>
        <v>21.281796394139114</v>
      </c>
      <c r="R46" s="5">
        <f t="shared" ca="1" si="3"/>
        <v>0.20594803638542403</v>
      </c>
    </row>
    <row r="47" spans="1:18" x14ac:dyDescent="0.25">
      <c r="A47" t="s">
        <v>275</v>
      </c>
      <c r="B47" t="s">
        <v>280</v>
      </c>
      <c r="C47" s="78">
        <f>IF(VLOOKUP(A47,Ergebnis_je_Aktie_verwässert!A$3:AJ$103,6,FALSE)&gt;0,IF(VLOOKUP(A47,Schlußkurse!A$5:AU$105,35,FALSE)&gt;0,VLOOKUP(A47,Schlußkurse!A$5:AU$105,35,FALSE)/VLOOKUP(A47,Ergebnis_je_Aktie_verwässert!A$3:AJ$103,6,FALSE),""),"")</f>
        <v>21.686046511627907</v>
      </c>
      <c r="D47" s="79">
        <f>IF(VLOOKUP(A47,Ergebnis_je_Aktie_verwässert!A$3:AJ$103,7,FALSE)&gt;0,IF(VLOOKUP(A47,Schlußkurse!A$5:AU$105,36,FALSE)&gt;0,VLOOKUP(A47,Schlußkurse!A$5:AU$105,36,FALSE)/VLOOKUP(A47,Ergebnis_je_Aktie_verwässert!A$3:AJ$103,7,FALSE),""),"")</f>
        <v>24.539473684210527</v>
      </c>
      <c r="E47" s="79">
        <f>IF(VLOOKUP(A47,Ergebnis_je_Aktie_verwässert!A$3:AJ$103,8,FALSE)&gt;0,IF(VLOOKUP(A47,Schlußkurse!A$5:AU$105,37,FALSE)&gt;0,VLOOKUP(A47,Schlußkurse!A$5:AU$105,37,FALSE)/VLOOKUP(A47,Ergebnis_je_Aktie_verwässert!A$3:AJ$103,8,FALSE),""),"")</f>
        <v>21.331967213114755</v>
      </c>
      <c r="F47" s="79">
        <f>IF(VLOOKUP(A47,Ergebnis_je_Aktie_verwässert!A$3:AJ$103,9,FALSE)&gt;0,IF(VLOOKUP(A47,Schlußkurse!A$5:AU$105,38,FALSE)&gt;0,VLOOKUP(A47,Schlußkurse!A$5:AU$105,38,FALSE)/VLOOKUP(A47,Ergebnis_je_Aktie_verwässert!A$3:AJ$103,9,FALSE),""),"")</f>
        <v>19.736842105263158</v>
      </c>
      <c r="G47" s="79">
        <f>IF(VLOOKUP(A47,Ergebnis_je_Aktie_verwässert!A$3:AJ$103,10,FALSE)&gt;0,IF(VLOOKUP(A47,Schlußkurse!A$5:AU$105,39,FALSE)&gt;0,VLOOKUP(A47,Schlußkurse!A$5:AU$105,39,FALSE)/VLOOKUP(A47,Ergebnis_je_Aktie_verwässert!A$3:AJ$103,10,FALSE),""),"")</f>
        <v>20.133689839572192</v>
      </c>
      <c r="H47" s="79">
        <f>IF(VLOOKUP(A47,Ergebnis_je_Aktie_verwässert!A$3:AJ$103,11,FALSE)&gt;0,IF(VLOOKUP(A47,Schlußkurse!A$5:AU$105,40,FALSE)&gt;0,VLOOKUP(A47,Schlußkurse!A$5:AU$105,40,FALSE)/VLOOKUP(A47,Ergebnis_je_Aktie_verwässert!A$3:AJ$103,11,FALSE),""),"")</f>
        <v>17.065637065637066</v>
      </c>
      <c r="I47" s="79">
        <f>IF(VLOOKUP(A47,Ergebnis_je_Aktie_verwässert!A$3:AJ$103,12,FALSE)&gt;0,IF(VLOOKUP(A47,Schlußkurse!A$5:AU$105,41,FALSE)&gt;0,VLOOKUP(A47,Schlußkurse!A$5:AU$105,41,FALSE)/VLOOKUP(A47,Ergebnis_je_Aktie_verwässert!A$3:AJ$103,12,FALSE),""),"")</f>
        <v>21.125</v>
      </c>
      <c r="J47" s="79">
        <f>IF(VLOOKUP(A47,Ergebnis_je_Aktie_verwässert!A$3:AJ$103,13,FALSE)&gt;0,IF(VLOOKUP(A47,Schlußkurse!A$5:AU$105,42,FALSE)&gt;0,VLOOKUP(A47,Schlußkurse!A$5:AU$105,42,FALSE)/VLOOKUP(A47,Ergebnis_je_Aktie_verwässert!A$3:AJ$103,13,FALSE),""),"")</f>
        <v>13.498983739837399</v>
      </c>
      <c r="K47" s="79" t="str">
        <f>IF(VLOOKUP(A47,Ergebnis_je_Aktie_verwässert!A$3:AJ$103,14,FALSE)&gt;0,IF(VLOOKUP(A47,Schlußkurse!A$5:AU$105,43,FALSE)&gt;0,VLOOKUP(A47,Schlußkurse!A$5:AU$105,43,FALSE)/VLOOKUP(A47,Ergebnis_je_Aktie_verwässert!A$3:AJ$103,14,FALSE),""),"")</f>
        <v/>
      </c>
      <c r="L47" s="79" t="str">
        <f>IF(VLOOKUP(A47,Ergebnis_je_Aktie_verwässert!A$3:AJ$103,15,FALSE)&gt;0,IF(VLOOKUP(A47,Schlußkurse!A$5:AU$105,44,FALSE)&gt;0,VLOOKUP(A47,Schlußkurse!A$5:AU$105,44,FALSE)/VLOOKUP(A47,Ergebnis_je_Aktie_verwässert!A$3:AJ$103,15,FALSE),""),"")</f>
        <v/>
      </c>
      <c r="M47" s="79" t="str">
        <f>IF(VLOOKUP(A47,Ergebnis_je_Aktie_verwässert!A$3:AJ$103,16,FALSE)&gt;0,IF(VLOOKUP(A47,Schlußkurse!A$5:AU$105,45,FALSE)&gt;0,VLOOKUP(A47,Schlußkurse!A$5:AU$105,45,FALSE)/VLOOKUP(A47,Ergebnis_je_Aktie_verwässert!A$3:AJ$103,16,FALSE),""),"")</f>
        <v/>
      </c>
      <c r="N47" s="79" t="str">
        <f>IF(VLOOKUP(A47,Ergebnis_je_Aktie_verwässert!A$3:AJ$103,17,FALSE)&gt;0,IF(VLOOKUP(A47,Schlußkurse!A$5:AU$105,46,FALSE)&gt;0,VLOOKUP(A47,Schlußkurse!A$5:AU$105,46,FALSE)/VLOOKUP(A47,Ergebnis_je_Aktie_verwässert!A$3:AJ$103,17,FALSE),""),"")</f>
        <v/>
      </c>
      <c r="O47" s="80" t="str">
        <f>IF(VLOOKUP(A47,Ergebnis_je_Aktie_verwässert!A$3:AJ$103,18,FALSE)&gt;0,IF(VLOOKUP(A47,Schlußkurse!A$5:AU$105,47,FALSE)&gt;0,VLOOKUP(A47,Schlußkurse!A$5:AU$105,47,FALSE)/VLOOKUP(A47,Ergebnis_je_Aktie_verwässert!A$3:AJ$103,18,FALSE),""),"")</f>
        <v/>
      </c>
      <c r="P47" s="3">
        <f t="shared" si="2"/>
        <v>20.629344919786096</v>
      </c>
      <c r="Q47" s="3">
        <f ca="1">VLOOKUP(A47,Schlußkurse!A$5:AU$105,35,FALSE)/VLOOKUP(A47,Ergebnis_je_Aktie_verwässert!A$3:AK$103,23,FALSE)</f>
        <v>28.221941992433795</v>
      </c>
      <c r="R47" s="5">
        <f t="shared" ca="1" si="3"/>
        <v>0.36804838457887512</v>
      </c>
    </row>
    <row r="48" spans="1:18" x14ac:dyDescent="0.25">
      <c r="A48" t="s">
        <v>83</v>
      </c>
      <c r="B48" t="s">
        <v>84</v>
      </c>
      <c r="C48" s="78">
        <f>IF(VLOOKUP(A48,Ergebnis_je_Aktie_verwässert!A$3:AJ$103,6,FALSE)&gt;0,IF(VLOOKUP(A48,Schlußkurse!A$5:AU$105,35,FALSE)&gt;0,VLOOKUP(A48,Schlußkurse!A$5:AU$105,35,FALSE)/VLOOKUP(A48,Ergebnis_je_Aktie_verwässert!A$3:AJ$103,6,FALSE),""),"")</f>
        <v>23.434903047091414</v>
      </c>
      <c r="D48" s="79">
        <f>IF(VLOOKUP(A48,Ergebnis_je_Aktie_verwässert!A$3:AJ$103,7,FALSE)&gt;0,IF(VLOOKUP(A48,Schlußkurse!A$5:AU$105,36,FALSE)&gt;0,VLOOKUP(A48,Schlußkurse!A$5:AU$105,36,FALSE)/VLOOKUP(A48,Ergebnis_je_Aktie_verwässert!A$3:AJ$103,7,FALSE),""),"")</f>
        <v>25.216095380029806</v>
      </c>
      <c r="E48" s="79">
        <f>IF(VLOOKUP(A48,Ergebnis_je_Aktie_verwässert!A$3:AJ$103,8,FALSE)&gt;0,IF(VLOOKUP(A48,Schlußkurse!A$5:AU$105,37,FALSE)&gt;0,VLOOKUP(A48,Schlußkurse!A$5:AU$105,37,FALSE)/VLOOKUP(A48,Ergebnis_je_Aktie_verwässert!A$3:AJ$103,8,FALSE),""),"")</f>
        <v>22.43156199677939</v>
      </c>
      <c r="F48" s="79">
        <f>IF(VLOOKUP(A48,Ergebnis_je_Aktie_verwässert!A$3:AJ$103,9,FALSE)&gt;0,IF(VLOOKUP(A48,Schlußkurse!A$5:AU$105,38,FALSE)&gt;0,VLOOKUP(A48,Schlußkurse!A$5:AU$105,38,FALSE)/VLOOKUP(A48,Ergebnis_je_Aktie_verwässert!A$3:AJ$103,9,FALSE),""),"")</f>
        <v>23.913857677902623</v>
      </c>
      <c r="G48" s="79">
        <f>IF(VLOOKUP(A48,Ergebnis_je_Aktie_verwässert!A$3:AJ$103,10,FALSE)&gt;0,IF(VLOOKUP(A48,Schlußkurse!A$5:AU$105,39,FALSE)&gt;0,VLOOKUP(A48,Schlußkurse!A$5:AU$105,39,FALSE)/VLOOKUP(A48,Ergebnis_je_Aktie_verwässert!A$3:AJ$103,10,FALSE),""),"")</f>
        <v>20.448343079922029</v>
      </c>
      <c r="H48" s="79">
        <f>IF(VLOOKUP(A48,Ergebnis_je_Aktie_verwässert!A$3:AJ$103,11,FALSE)&gt;0,IF(VLOOKUP(A48,Schlußkurse!A$5:AU$105,40,FALSE)&gt;0,VLOOKUP(A48,Schlußkurse!A$5:AU$105,40,FALSE)/VLOOKUP(A48,Ergebnis_je_Aktie_verwässert!A$3:AJ$103,11,FALSE),""),"")</f>
        <v>16.435845213849287</v>
      </c>
      <c r="I48" s="79">
        <f>IF(VLOOKUP(A48,Ergebnis_je_Aktie_verwässert!A$3:AJ$103,12,FALSE)&gt;0,IF(VLOOKUP(A48,Schlußkurse!A$5:AU$105,41,FALSE)&gt;0,VLOOKUP(A48,Schlußkurse!A$5:AU$105,41,FALSE)/VLOOKUP(A48,Ergebnis_je_Aktie_verwässert!A$3:AJ$103,12,FALSE),""),"")</f>
        <v>19.231481481481481</v>
      </c>
      <c r="J48" s="79">
        <f>IF(VLOOKUP(A48,Ergebnis_je_Aktie_verwässert!A$3:AJ$103,13,FALSE)&gt;0,IF(VLOOKUP(A48,Schlußkurse!A$5:AU$105,42,FALSE)&gt;0,VLOOKUP(A48,Schlußkurse!A$5:AU$105,42,FALSE)/VLOOKUP(A48,Ergebnis_je_Aktie_verwässert!A$3:AJ$103,13,FALSE),""),"")</f>
        <v>19.451371571072322</v>
      </c>
      <c r="K48" s="79">
        <f>IF(VLOOKUP(A48,Ergebnis_je_Aktie_verwässert!A$3:AJ$103,14,FALSE)&gt;0,IF(VLOOKUP(A48,Schlußkurse!A$5:AU$105,43,FALSE)&gt;0,VLOOKUP(A48,Schlußkurse!A$5:AU$105,43,FALSE)/VLOOKUP(A48,Ergebnis_je_Aktie_verwässert!A$3:AJ$103,14,FALSE),""),"")</f>
        <v>18.216374269005847</v>
      </c>
      <c r="L48" s="79">
        <f>IF(VLOOKUP(A48,Ergebnis_je_Aktie_verwässert!A$3:AJ$103,15,FALSE)&gt;0,IF(VLOOKUP(A48,Schlußkurse!A$5:AU$105,44,FALSE)&gt;0,VLOOKUP(A48,Schlußkurse!A$5:AU$105,44,FALSE)/VLOOKUP(A48,Ergebnis_je_Aktie_verwässert!A$3:AJ$103,15,FALSE),""),"")</f>
        <v>28.074498567335244</v>
      </c>
      <c r="M48" s="79">
        <f>IF(VLOOKUP(A48,Ergebnis_je_Aktie_verwässert!A$3:AJ$103,16,FALSE)&gt;0,IF(VLOOKUP(A48,Schlußkurse!A$5:AU$105,45,FALSE)&gt;0,VLOOKUP(A48,Schlußkurse!A$5:AU$105,45,FALSE)/VLOOKUP(A48,Ergebnis_je_Aktie_verwässert!A$3:AJ$103,16,FALSE),""),"")</f>
        <v>22.589285714285715</v>
      </c>
      <c r="N48" s="79">
        <f>IF(VLOOKUP(A48,Ergebnis_je_Aktie_verwässert!A$3:AJ$103,17,FALSE)&gt;0,IF(VLOOKUP(A48,Schlußkurse!A$5:AU$105,46,FALSE)&gt;0,VLOOKUP(A48,Schlußkurse!A$5:AU$105,46,FALSE)/VLOOKUP(A48,Ergebnis_je_Aktie_verwässert!A$3:AJ$103,17,FALSE),""),"")</f>
        <v>21.073825503355703</v>
      </c>
      <c r="O48" s="80">
        <f>IF(VLOOKUP(A48,Ergebnis_je_Aktie_verwässert!A$3:AJ$103,18,FALSE)&gt;0,IF(VLOOKUP(A48,Schlußkurse!A$5:AU$105,47,FALSE)&gt;0,VLOOKUP(A48,Schlußkurse!A$5:AU$105,47,FALSE)/VLOOKUP(A48,Ergebnis_je_Aktie_verwässert!A$3:AJ$103,18,FALSE),""),"")</f>
        <v>21.48076923076923</v>
      </c>
      <c r="P48" s="3">
        <f t="shared" si="2"/>
        <v>21.48076923076923</v>
      </c>
      <c r="Q48" s="3">
        <f ca="1">VLOOKUP(A48,Schlußkurse!A$5:AU$105,35,FALSE)/VLOOKUP(A48,Ergebnis_je_Aktie_verwässert!A$3:AK$103,23,FALSE)</f>
        <v>26.52268570930941</v>
      </c>
      <c r="R48" s="5">
        <f t="shared" ca="1" si="3"/>
        <v>0.23471768745218391</v>
      </c>
    </row>
    <row r="49" spans="1:18" x14ac:dyDescent="0.25">
      <c r="A49" t="s">
        <v>85</v>
      </c>
      <c r="B49" t="s">
        <v>86</v>
      </c>
      <c r="C49" s="78">
        <f>IF(VLOOKUP(A49,Ergebnis_je_Aktie_verwässert!A$3:AJ$103,6,FALSE)&gt;0,IF(VLOOKUP(A49,Schlußkurse!A$5:AU$105,35,FALSE)&gt;0,VLOOKUP(A49,Schlußkurse!A$5:AU$105,35,FALSE)/VLOOKUP(A49,Ergebnis_je_Aktie_verwässert!A$3:AJ$103,6,FALSE),""),"")</f>
        <v>17.210526315789473</v>
      </c>
      <c r="D49" s="79">
        <f>IF(VLOOKUP(A49,Ergebnis_je_Aktie_verwässert!A$3:AJ$103,7,FALSE)&gt;0,IF(VLOOKUP(A49,Schlußkurse!A$5:AU$105,36,FALSE)&gt;0,VLOOKUP(A49,Schlußkurse!A$5:AU$105,36,FALSE)/VLOOKUP(A49,Ergebnis_je_Aktie_verwässert!A$3:AJ$103,7,FALSE),""),"")</f>
        <v>18.995850622406639</v>
      </c>
      <c r="E49" s="79">
        <f>IF(VLOOKUP(A49,Ergebnis_je_Aktie_verwässert!A$3:AJ$103,8,FALSE)&gt;0,IF(VLOOKUP(A49,Schlußkurse!A$5:AU$105,37,FALSE)&gt;0,VLOOKUP(A49,Schlußkurse!A$5:AU$105,37,FALSE)/VLOOKUP(A49,Ergebnis_je_Aktie_verwässert!A$3:AJ$103,8,FALSE),""),"")</f>
        <v>16.776053215077606</v>
      </c>
      <c r="F49" s="79">
        <f>IF(VLOOKUP(A49,Ergebnis_je_Aktie_verwässert!A$3:AJ$103,9,FALSE)&gt;0,IF(VLOOKUP(A49,Schlußkurse!A$5:AU$105,38,FALSE)&gt;0,VLOOKUP(A49,Schlußkurse!A$5:AU$105,38,FALSE)/VLOOKUP(A49,Ergebnis_je_Aktie_verwässert!A$3:AJ$103,9,FALSE),""),"")</f>
        <v>23.369696969696971</v>
      </c>
      <c r="G49" s="79">
        <f>IF(VLOOKUP(A49,Ergebnis_je_Aktie_verwässert!A$3:AJ$103,10,FALSE)&gt;0,IF(VLOOKUP(A49,Schlußkurse!A$5:AU$105,39,FALSE)&gt;0,VLOOKUP(A49,Schlußkurse!A$5:AU$105,39,FALSE)/VLOOKUP(A49,Ergebnis_je_Aktie_verwässert!A$3:AJ$103,10,FALSE),""),"")</f>
        <v>25.679856115107917</v>
      </c>
      <c r="H49" s="79">
        <f>IF(VLOOKUP(A49,Ergebnis_je_Aktie_verwässert!A$3:AJ$103,11,FALSE)&gt;0,IF(VLOOKUP(A49,Schlußkurse!A$5:AU$105,40,FALSE)&gt;0,VLOOKUP(A49,Schlußkurse!A$5:AU$105,40,FALSE)/VLOOKUP(A49,Ergebnis_je_Aktie_verwässert!A$3:AJ$103,11,FALSE),""),"")</f>
        <v>15.173796791443849</v>
      </c>
      <c r="I49" s="79">
        <f>IF(VLOOKUP(A49,Ergebnis_je_Aktie_verwässert!A$3:AJ$103,12,FALSE)&gt;0,IF(VLOOKUP(A49,Schlußkurse!A$5:AU$105,41,FALSE)&gt;0,VLOOKUP(A49,Schlußkurse!A$5:AU$105,41,FALSE)/VLOOKUP(A49,Ergebnis_je_Aktie_verwässert!A$3:AJ$103,12,FALSE),""),"")</f>
        <v>11.153846153846153</v>
      </c>
      <c r="J49" s="79">
        <f>IF(VLOOKUP(A49,Ergebnis_je_Aktie_verwässert!A$3:AJ$103,13,FALSE)&gt;0,IF(VLOOKUP(A49,Schlußkurse!A$5:AU$105,42,FALSE)&gt;0,VLOOKUP(A49,Schlußkurse!A$5:AU$105,42,FALSE)/VLOOKUP(A49,Ergebnis_je_Aktie_verwässert!A$3:AJ$103,13,FALSE),""),"")</f>
        <v>13.172248803827753</v>
      </c>
      <c r="K49" s="79">
        <f>IF(VLOOKUP(A49,Ergebnis_je_Aktie_verwässert!A$3:AJ$103,14,FALSE)&gt;0,IF(VLOOKUP(A49,Schlußkurse!A$5:AU$105,43,FALSE)&gt;0,VLOOKUP(A49,Schlußkurse!A$5:AU$105,43,FALSE)/VLOOKUP(A49,Ergebnis_je_Aktie_verwässert!A$3:AJ$103,14,FALSE),""),"")</f>
        <v>11.265508684863523</v>
      </c>
      <c r="L49" s="79">
        <f>IF(VLOOKUP(A49,Ergebnis_je_Aktie_verwässert!A$3:AJ$103,15,FALSE)&gt;0,IF(VLOOKUP(A49,Schlußkurse!A$5:AU$105,44,FALSE)&gt;0,VLOOKUP(A49,Schlußkurse!A$5:AU$105,44,FALSE)/VLOOKUP(A49,Ergebnis_je_Aktie_verwässert!A$3:AJ$103,15,FALSE),""),"")</f>
        <v>21.421768707482993</v>
      </c>
      <c r="M49" s="79">
        <f>IF(VLOOKUP(A49,Ergebnis_je_Aktie_verwässert!A$3:AJ$103,16,FALSE)&gt;0,IF(VLOOKUP(A49,Schlußkurse!A$5:AU$105,45,FALSE)&gt;0,VLOOKUP(A49,Schlußkurse!A$5:AU$105,45,FALSE)/VLOOKUP(A49,Ergebnis_je_Aktie_verwässert!A$3:AJ$103,16,FALSE),""),"")</f>
        <v>17.982005141388175</v>
      </c>
      <c r="N49" s="79">
        <f>IF(VLOOKUP(A49,Ergebnis_je_Aktie_verwässert!A$3:AJ$103,17,FALSE)&gt;0,IF(VLOOKUP(A49,Schlußkurse!A$5:AU$105,46,FALSE)&gt;0,VLOOKUP(A49,Schlußkurse!A$5:AU$105,46,FALSE)/VLOOKUP(A49,Ergebnis_je_Aktie_verwässert!A$3:AJ$103,17,FALSE),""),"")</f>
        <v>25.084745762711862</v>
      </c>
      <c r="O49" s="80">
        <f>IF(VLOOKUP(A49,Ergebnis_je_Aktie_verwässert!A$3:AJ$103,18,FALSE)&gt;0,IF(VLOOKUP(A49,Schlußkurse!A$5:AU$105,47,FALSE)&gt;0,VLOOKUP(A49,Schlußkurse!A$5:AU$105,47,FALSE)/VLOOKUP(A49,Ergebnis_je_Aktie_verwässert!A$3:AJ$103,18,FALSE),""),"")</f>
        <v>35</v>
      </c>
      <c r="P49" s="3">
        <f t="shared" si="2"/>
        <v>17.982005141388175</v>
      </c>
      <c r="Q49" s="3">
        <f ca="1">VLOOKUP(A49,Schlußkurse!A$5:AU$105,35,FALSE)/VLOOKUP(A49,Ergebnis_je_Aktie_verwässert!A$3:AK$103,23,FALSE)</f>
        <v>19.839414476772884</v>
      </c>
      <c r="R49" s="5">
        <f t="shared" ca="1" si="3"/>
        <v>0.10329267068829906</v>
      </c>
    </row>
    <row r="50" spans="1:18" x14ac:dyDescent="0.25">
      <c r="A50" t="s">
        <v>87</v>
      </c>
      <c r="B50" t="s">
        <v>88</v>
      </c>
      <c r="C50" s="78">
        <f>IF(VLOOKUP(A50,Ergebnis_je_Aktie_verwässert!A$3:AJ$103,6,FALSE)&gt;0,IF(VLOOKUP(A50,Schlußkurse!A$5:AU$105,35,FALSE)&gt;0,VLOOKUP(A50,Schlußkurse!A$5:AU$105,35,FALSE)/VLOOKUP(A50,Ergebnis_je_Aktie_verwässert!A$3:AJ$103,6,FALSE),""),"")</f>
        <v>17.27403846153846</v>
      </c>
      <c r="D50" s="79">
        <f>IF(VLOOKUP(A50,Ergebnis_je_Aktie_verwässert!A$3:AJ$103,7,FALSE)&gt;0,IF(VLOOKUP(A50,Schlußkurse!A$5:AU$105,36,FALSE)&gt;0,VLOOKUP(A50,Schlußkurse!A$5:AU$105,36,FALSE)/VLOOKUP(A50,Ergebnis_je_Aktie_verwässert!A$3:AJ$103,7,FALSE),""),"")</f>
        <v>18.539731682146542</v>
      </c>
      <c r="E50" s="79">
        <f>IF(VLOOKUP(A50,Ergebnis_je_Aktie_verwässert!A$3:AJ$103,8,FALSE)&gt;0,IF(VLOOKUP(A50,Schlußkurse!A$5:AU$105,37,FALSE)&gt;0,VLOOKUP(A50,Schlußkurse!A$5:AU$105,37,FALSE)/VLOOKUP(A50,Ergebnis_je_Aktie_verwässert!A$3:AJ$103,8,FALSE),""),"")</f>
        <v>21.277080957810718</v>
      </c>
      <c r="F50" s="79">
        <f>IF(VLOOKUP(A50,Ergebnis_je_Aktie_verwässert!A$3:AJ$103,9,FALSE)&gt;0,IF(VLOOKUP(A50,Schlußkurse!A$5:AU$105,38,FALSE)&gt;0,VLOOKUP(A50,Schlußkurse!A$5:AU$105,38,FALSE)/VLOOKUP(A50,Ergebnis_je_Aktie_verwässert!A$3:AJ$103,9,FALSE),""),"")</f>
        <v>21.05263157894737</v>
      </c>
      <c r="G50" s="79">
        <f>IF(VLOOKUP(A50,Ergebnis_je_Aktie_verwässert!A$3:AJ$103,10,FALSE)&gt;0,IF(VLOOKUP(A50,Schlußkurse!A$5:AU$105,39,FALSE)&gt;0,VLOOKUP(A50,Schlußkurse!A$5:AU$105,39,FALSE)/VLOOKUP(A50,Ergebnis_je_Aktie_verwässert!A$3:AJ$103,10,FALSE),""),"")</f>
        <v>16.585858585858588</v>
      </c>
      <c r="H50" s="79">
        <f>IF(VLOOKUP(A50,Ergebnis_je_Aktie_verwässert!A$3:AJ$103,11,FALSE)&gt;0,IF(VLOOKUP(A50,Schlußkurse!A$5:AU$105,40,FALSE)&gt;0,VLOOKUP(A50,Schlußkurse!A$5:AU$105,40,FALSE)/VLOOKUP(A50,Ergebnis_je_Aktie_verwässert!A$3:AJ$103,11,FALSE),""),"")</f>
        <v>16.532467532467532</v>
      </c>
      <c r="I50" s="79">
        <f>IF(VLOOKUP(A50,Ergebnis_je_Aktie_verwässert!A$3:AJ$103,12,FALSE)&gt;0,IF(VLOOKUP(A50,Schlußkurse!A$5:AU$105,41,FALSE)&gt;0,VLOOKUP(A50,Schlußkurse!A$5:AU$105,41,FALSE)/VLOOKUP(A50,Ergebnis_je_Aktie_verwässert!A$3:AJ$103,12,FALSE),""),"")</f>
        <v>13.94736842105263</v>
      </c>
      <c r="J50" s="79">
        <f>IF(VLOOKUP(A50,Ergebnis_je_Aktie_verwässert!A$3:AJ$103,13,FALSE)&gt;0,IF(VLOOKUP(A50,Schlußkurse!A$5:AU$105,42,FALSE)&gt;0,VLOOKUP(A50,Schlußkurse!A$5:AU$105,42,FALSE)/VLOOKUP(A50,Ergebnis_je_Aktie_verwässert!A$3:AJ$103,13,FALSE),""),"")</f>
        <v>13.204545454545453</v>
      </c>
      <c r="K50" s="79">
        <f>IF(VLOOKUP(A50,Ergebnis_je_Aktie_verwässert!A$3:AJ$103,14,FALSE)&gt;0,IF(VLOOKUP(A50,Schlußkurse!A$5:AU$105,43,FALSE)&gt;0,VLOOKUP(A50,Schlußkurse!A$5:AU$105,43,FALSE)/VLOOKUP(A50,Ergebnis_je_Aktie_verwässert!A$3:AJ$103,14,FALSE),""),"")</f>
        <v>14.215384615384615</v>
      </c>
      <c r="L50" s="79">
        <f>IF(VLOOKUP(A50,Ergebnis_je_Aktie_verwässert!A$3:AJ$103,15,FALSE)&gt;0,IF(VLOOKUP(A50,Schlußkurse!A$5:AU$105,44,FALSE)&gt;0,VLOOKUP(A50,Schlußkurse!A$5:AU$105,44,FALSE)/VLOOKUP(A50,Ergebnis_je_Aktie_verwässert!A$3:AJ$103,15,FALSE),""),"")</f>
        <v>17.576271186440678</v>
      </c>
      <c r="M50" s="79">
        <f>IF(VLOOKUP(A50,Ergebnis_je_Aktie_verwässert!A$3:AJ$103,16,FALSE)&gt;0,IF(VLOOKUP(A50,Schlußkurse!A$5:AU$105,45,FALSE)&gt;0,VLOOKUP(A50,Schlußkurse!A$5:AU$105,45,FALSE)/VLOOKUP(A50,Ergebnis_je_Aktie_verwässert!A$3:AJ$103,16,FALSE),""),"")</f>
        <v>16.536363636363635</v>
      </c>
      <c r="N50" s="79">
        <f>IF(VLOOKUP(A50,Ergebnis_je_Aktie_verwässert!A$3:AJ$103,17,FALSE)&gt;0,IF(VLOOKUP(A50,Schlußkurse!A$5:AU$105,46,FALSE)&gt;0,VLOOKUP(A50,Schlußkurse!A$5:AU$105,46,FALSE)/VLOOKUP(A50,Ergebnis_je_Aktie_verwässert!A$3:AJ$103,17,FALSE),""),"")</f>
        <v>12.283582089552239</v>
      </c>
      <c r="O50" s="80">
        <f>IF(VLOOKUP(A50,Ergebnis_je_Aktie_verwässert!A$3:AJ$103,18,FALSE)&gt;0,IF(VLOOKUP(A50,Schlußkurse!A$5:AU$105,47,FALSE)&gt;0,VLOOKUP(A50,Schlußkurse!A$5:AU$105,47,FALSE)/VLOOKUP(A50,Ergebnis_je_Aktie_verwässert!A$3:AJ$103,18,FALSE),""),"")</f>
        <v>16.163043478260867</v>
      </c>
      <c r="P50" s="3">
        <f t="shared" si="2"/>
        <v>16.536363636363635</v>
      </c>
      <c r="Q50" s="3">
        <f ca="1">VLOOKUP(A50,Schlußkurse!A$5:AU$105,35,FALSE)/VLOOKUP(A50,Ergebnis_je_Aktie_verwässert!A$3:AK$103,23,FALSE)</f>
        <v>18.822687109279503</v>
      </c>
      <c r="R50" s="5">
        <f t="shared" ca="1" si="3"/>
        <v>0.13826035295258143</v>
      </c>
    </row>
    <row r="51" spans="1:18" x14ac:dyDescent="0.25">
      <c r="A51" t="s">
        <v>89</v>
      </c>
      <c r="B51" t="s">
        <v>90</v>
      </c>
      <c r="C51" s="78">
        <f>IF(VLOOKUP(A51,Ergebnis_je_Aktie_verwässert!A$3:AJ$103,6,FALSE)&gt;0,IF(VLOOKUP(A51,Schlußkurse!A$5:AU$105,35,FALSE)&gt;0,VLOOKUP(A51,Schlußkurse!A$5:AU$105,35,FALSE)/VLOOKUP(A51,Ergebnis_je_Aktie_verwässert!A$3:AJ$103,6,FALSE),""),"")</f>
        <v>21.800012408163266</v>
      </c>
      <c r="D51" s="79">
        <f>IF(VLOOKUP(A51,Ergebnis_je_Aktie_verwässert!A$3:AJ$103,7,FALSE)&gt;0,IF(VLOOKUP(A51,Schlußkurse!A$5:AU$105,36,FALSE)&gt;0,VLOOKUP(A51,Schlußkurse!A$5:AU$105,36,FALSE)/VLOOKUP(A51,Ergebnis_je_Aktie_verwässert!A$3:AJ$103,7,FALSE),""),"")</f>
        <v>23.359279999999998</v>
      </c>
      <c r="E51" s="79">
        <f>IF(VLOOKUP(A51,Ergebnis_je_Aktie_verwässert!A$3:AJ$103,8,FALSE)&gt;0,IF(VLOOKUP(A51,Schlußkurse!A$5:AU$105,37,FALSE)&gt;0,VLOOKUP(A51,Schlußkurse!A$5:AU$105,37,FALSE)/VLOOKUP(A51,Ergebnis_je_Aktie_verwässert!A$3:AJ$103,8,FALSE),""),"")</f>
        <v>21.574372294372292</v>
      </c>
      <c r="F51" s="79">
        <f>IF(VLOOKUP(A51,Ergebnis_je_Aktie_verwässert!A$3:AJ$103,9,FALSE)&gt;0,IF(VLOOKUP(A51,Schlußkurse!A$5:AU$105,38,FALSE)&gt;0,VLOOKUP(A51,Schlußkurse!A$5:AU$105,38,FALSE)/VLOOKUP(A51,Ergebnis_je_Aktie_verwässert!A$3:AJ$103,9,FALSE),""),"")</f>
        <v>25.18941244019139</v>
      </c>
      <c r="G51" s="79">
        <f>IF(VLOOKUP(A51,Ergebnis_je_Aktie_verwässert!A$3:AJ$103,10,FALSE)&gt;0,IF(VLOOKUP(A51,Schlußkurse!A$5:AU$105,39,FALSE)&gt;0,VLOOKUP(A51,Schlußkurse!A$5:AU$105,39,FALSE)/VLOOKUP(A51,Ergebnis_je_Aktie_verwässert!A$3:AJ$103,10,FALSE),""),"")</f>
        <v>19.695884558823526</v>
      </c>
      <c r="H51" s="79">
        <f>IF(VLOOKUP(A51,Ergebnis_je_Aktie_verwässert!A$3:AJ$103,11,FALSE)&gt;0,IF(VLOOKUP(A51,Schlußkurse!A$5:AU$105,40,FALSE)&gt;0,VLOOKUP(A51,Schlußkurse!A$5:AU$105,40,FALSE)/VLOOKUP(A51,Ergebnis_je_Aktie_verwässert!A$3:AJ$103,11,FALSE),""),"")</f>
        <v>13.406381628787877</v>
      </c>
      <c r="I51" s="79">
        <f>IF(VLOOKUP(A51,Ergebnis_je_Aktie_verwässert!A$3:AJ$103,12,FALSE)&gt;0,IF(VLOOKUP(A51,Schlußkurse!A$5:AU$105,41,FALSE)&gt;0,VLOOKUP(A51,Schlußkurse!A$5:AU$105,41,FALSE)/VLOOKUP(A51,Ergebnis_je_Aktie_verwässert!A$3:AJ$103,12,FALSE),""),"")</f>
        <v>19.297121052631578</v>
      </c>
      <c r="J51" s="79">
        <f>IF(VLOOKUP(A51,Ergebnis_je_Aktie_verwässert!A$3:AJ$103,13,FALSE)&gt;0,IF(VLOOKUP(A51,Schlußkurse!A$5:AU$105,42,FALSE)&gt;0,VLOOKUP(A51,Schlußkurse!A$5:AU$105,42,FALSE)/VLOOKUP(A51,Ergebnis_je_Aktie_verwässert!A$3:AJ$103,13,FALSE),""),"")</f>
        <v>12.18985</v>
      </c>
      <c r="K51" s="79">
        <f>IF(VLOOKUP(A51,Ergebnis_je_Aktie_verwässert!A$3:AJ$103,14,FALSE)&gt;0,IF(VLOOKUP(A51,Schlußkurse!A$5:AU$105,43,FALSE)&gt;0,VLOOKUP(A51,Schlußkurse!A$5:AU$105,43,FALSE)/VLOOKUP(A51,Ergebnis_je_Aktie_verwässert!A$3:AJ$103,14,FALSE),""),"")</f>
        <v>17.529753599999999</v>
      </c>
      <c r="L51" s="79">
        <f>IF(VLOOKUP(A51,Ergebnis_je_Aktie_verwässert!A$3:AJ$103,15,FALSE)&gt;0,IF(VLOOKUP(A51,Schlußkurse!A$5:AU$105,44,FALSE)&gt;0,VLOOKUP(A51,Schlußkurse!A$5:AU$105,44,FALSE)/VLOOKUP(A51,Ergebnis_je_Aktie_verwässert!A$3:AJ$103,15,FALSE),""),"")</f>
        <v>16.37469029850746</v>
      </c>
      <c r="M51" s="79">
        <f>IF(VLOOKUP(A51,Ergebnis_je_Aktie_verwässert!A$3:AJ$103,16,FALSE)&gt;0,IF(VLOOKUP(A51,Schlußkurse!A$5:AU$105,45,FALSE)&gt;0,VLOOKUP(A51,Schlußkurse!A$5:AU$105,45,FALSE)/VLOOKUP(A51,Ergebnis_je_Aktie_verwässert!A$3:AJ$103,16,FALSE),""),"")</f>
        <v>17.942603636363636</v>
      </c>
      <c r="N51" s="79" t="str">
        <f>IF(VLOOKUP(A51,Ergebnis_je_Aktie_verwässert!A$3:AJ$103,17,FALSE)&gt;0,IF(VLOOKUP(A51,Schlußkurse!A$5:AU$105,46,FALSE)&gt;0,VLOOKUP(A51,Schlußkurse!A$5:AU$105,46,FALSE)/VLOOKUP(A51,Ergebnis_je_Aktie_verwässert!A$3:AJ$103,17,FALSE),""),"")</f>
        <v/>
      </c>
      <c r="O51" s="80" t="str">
        <f>IF(VLOOKUP(A51,Ergebnis_je_Aktie_verwässert!A$3:AJ$103,18,FALSE)&gt;0,IF(VLOOKUP(A51,Schlußkurse!A$5:AU$105,47,FALSE)&gt;0,VLOOKUP(A51,Schlußkurse!A$5:AU$105,47,FALSE)/VLOOKUP(A51,Ergebnis_je_Aktie_verwässert!A$3:AJ$103,18,FALSE),""),"")</f>
        <v/>
      </c>
      <c r="P51" s="3">
        <f t="shared" si="2"/>
        <v>19.297121052631578</v>
      </c>
      <c r="Q51" s="3">
        <f ca="1">VLOOKUP(A51,Schlußkurse!A$5:AU$105,35,FALSE)/VLOOKUP(A51,Ergebnis_je_Aktie_verwässert!A$3:AK$103,23,FALSE)</f>
        <v>23.551703753062224</v>
      </c>
      <c r="R51" s="5">
        <f t="shared" ca="1" si="3"/>
        <v>0.22047758776174753</v>
      </c>
    </row>
    <row r="52" spans="1:18" x14ac:dyDescent="0.25">
      <c r="A52" t="s">
        <v>91</v>
      </c>
      <c r="B52" t="s">
        <v>92</v>
      </c>
      <c r="C52" s="78">
        <f>IF(VLOOKUP(A52,Ergebnis_je_Aktie_verwässert!A$3:AJ$103,6,FALSE)&gt;0,IF(VLOOKUP(A52,Schlußkurse!A$5:AU$105,35,FALSE)&gt;0,VLOOKUP(A52,Schlußkurse!A$5:AU$105,35,FALSE)/VLOOKUP(A52,Ergebnis_je_Aktie_verwässert!A$3:AJ$103,6,FALSE),""),"")</f>
        <v>21.032608695652172</v>
      </c>
      <c r="D52" s="79">
        <f>IF(VLOOKUP(A52,Ergebnis_je_Aktie_verwässert!A$3:AJ$103,7,FALSE)&gt;0,IF(VLOOKUP(A52,Schlußkurse!A$5:AU$105,36,FALSE)&gt;0,VLOOKUP(A52,Schlußkurse!A$5:AU$105,36,FALSE)/VLOOKUP(A52,Ergebnis_je_Aktie_verwässert!A$3:AJ$103,7,FALSE),""),"")</f>
        <v>22.854330708661415</v>
      </c>
      <c r="E52" s="79">
        <f>IF(VLOOKUP(A52,Ergebnis_je_Aktie_verwässert!A$3:AJ$103,8,FALSE)&gt;0,IF(VLOOKUP(A52,Schlußkurse!A$5:AU$105,37,FALSE)&gt;0,VLOOKUP(A52,Schlußkurse!A$5:AU$105,37,FALSE)/VLOOKUP(A52,Ergebnis_je_Aktie_verwässert!A$3:AJ$103,8,FALSE),""),"")</f>
        <v>22.076271186440678</v>
      </c>
      <c r="F52" s="79">
        <f>IF(VLOOKUP(A52,Ergebnis_je_Aktie_verwässert!A$3:AJ$103,9,FALSE)&gt;0,IF(VLOOKUP(A52,Schlußkurse!A$5:AU$105,38,FALSE)&gt;0,VLOOKUP(A52,Schlußkurse!A$5:AU$105,38,FALSE)/VLOOKUP(A52,Ergebnis_je_Aktie_verwässert!A$3:AJ$103,9,FALSE),""),"")</f>
        <v>20.210902386117134</v>
      </c>
      <c r="G52" s="79">
        <f>IF(VLOOKUP(A52,Ergebnis_je_Aktie_verwässert!A$3:AJ$103,10,FALSE)&gt;0,IF(VLOOKUP(A52,Schlußkurse!A$5:AU$105,39,FALSE)&gt;0,VLOOKUP(A52,Schlußkurse!A$5:AU$105,39,FALSE)/VLOOKUP(A52,Ergebnis_je_Aktie_verwässert!A$3:AJ$103,10,FALSE),""),"")</f>
        <v>16.975416479063483</v>
      </c>
      <c r="H52" s="79">
        <f>IF(VLOOKUP(A52,Ergebnis_je_Aktie_verwässert!A$3:AJ$103,11,FALSE)&gt;0,IF(VLOOKUP(A52,Schlußkurse!A$5:AU$105,40,FALSE)&gt;0,VLOOKUP(A52,Schlußkurse!A$5:AU$105,40,FALSE)/VLOOKUP(A52,Ergebnis_je_Aktie_verwässert!A$3:AJ$103,11,FALSE),""),"")</f>
        <v>12.363356</v>
      </c>
      <c r="I52" s="79">
        <f>IF(VLOOKUP(A52,Ergebnis_je_Aktie_verwässert!A$3:AJ$103,12,FALSE)&gt;0,IF(VLOOKUP(A52,Schlußkurse!A$5:AU$105,41,FALSE)&gt;0,VLOOKUP(A52,Schlußkurse!A$5:AU$105,41,FALSE)/VLOOKUP(A52,Ergebnis_je_Aktie_verwässert!A$3:AJ$103,12,FALSE),""),"")</f>
        <v>14.456396624472573</v>
      </c>
      <c r="J52" s="79">
        <f>IF(VLOOKUP(A52,Ergebnis_je_Aktie_verwässert!A$3:AJ$103,13,FALSE)&gt;0,IF(VLOOKUP(A52,Schlußkurse!A$5:AU$105,42,FALSE)&gt;0,VLOOKUP(A52,Schlußkurse!A$5:AU$105,42,FALSE)/VLOOKUP(A52,Ergebnis_je_Aktie_verwässert!A$3:AJ$103,13,FALSE),""),"")</f>
        <v>15.242542056074765</v>
      </c>
      <c r="K52" s="79">
        <f>IF(VLOOKUP(A52,Ergebnis_je_Aktie_verwässert!A$3:AJ$103,14,FALSE)&gt;0,IF(VLOOKUP(A52,Schlußkurse!A$5:AU$105,43,FALSE)&gt;0,VLOOKUP(A52,Schlußkurse!A$5:AU$105,43,FALSE)/VLOOKUP(A52,Ergebnis_je_Aktie_verwässert!A$3:AJ$103,14,FALSE),""),"")</f>
        <v>12.849835897435897</v>
      </c>
      <c r="L52" s="79">
        <f>IF(VLOOKUP(A52,Ergebnis_je_Aktie_verwässert!A$3:AJ$103,15,FALSE)&gt;0,IF(VLOOKUP(A52,Schlußkurse!A$5:AU$105,44,FALSE)&gt;0,VLOOKUP(A52,Schlußkurse!A$5:AU$105,44,FALSE)/VLOOKUP(A52,Ergebnis_je_Aktie_verwässert!A$3:AJ$103,15,FALSE),""),"")</f>
        <v>18.272883870967743</v>
      </c>
      <c r="M52" s="79">
        <f>IF(VLOOKUP(A52,Ergebnis_je_Aktie_verwässert!A$3:AJ$103,16,FALSE)&gt;0,IF(VLOOKUP(A52,Schlußkurse!A$5:AU$105,45,FALSE)&gt;0,VLOOKUP(A52,Schlußkurse!A$5:AU$105,45,FALSE)/VLOOKUP(A52,Ergebnis_je_Aktie_verwässert!A$3:AJ$103,16,FALSE),""),"")</f>
        <v>17.723117187500002</v>
      </c>
      <c r="N52" s="79">
        <f>IF(VLOOKUP(A52,Ergebnis_je_Aktie_verwässert!A$3:AJ$103,17,FALSE)&gt;0,IF(VLOOKUP(A52,Schlußkurse!A$5:AU$105,46,FALSE)&gt;0,VLOOKUP(A52,Schlußkurse!A$5:AU$105,46,FALSE)/VLOOKUP(A52,Ergebnis_je_Aktie_verwässert!A$3:AJ$103,17,FALSE),""),"")</f>
        <v>20.284423913043479</v>
      </c>
      <c r="O52" s="80">
        <f>IF(VLOOKUP(A52,Ergebnis_je_Aktie_verwässert!A$3:AJ$103,18,FALSE)&gt;0,IF(VLOOKUP(A52,Schlußkurse!A$5:AU$105,47,FALSE)&gt;0,VLOOKUP(A52,Schlußkurse!A$5:AU$105,47,FALSE)/VLOOKUP(A52,Ergebnis_je_Aktie_verwässert!A$3:AJ$103,18,FALSE),""),"")</f>
        <v>16.998533333333331</v>
      </c>
      <c r="P52" s="3">
        <f t="shared" si="2"/>
        <v>17.723117187500002</v>
      </c>
      <c r="Q52" s="3">
        <f ca="1">VLOOKUP(A52,Schlußkurse!A$5:AU$105,35,FALSE)/VLOOKUP(A52,Ergebnis_je_Aktie_verwässert!A$3:AK$103,23,FALSE)</f>
        <v>23.977695167286246</v>
      </c>
      <c r="R52" s="5">
        <f t="shared" ca="1" si="3"/>
        <v>0.3529050738431927</v>
      </c>
    </row>
    <row r="53" spans="1:18" x14ac:dyDescent="0.25">
      <c r="A53" t="s">
        <v>288</v>
      </c>
      <c r="B53" t="s">
        <v>289</v>
      </c>
      <c r="C53" s="78">
        <f>IF(VLOOKUP(A53,Ergebnis_je_Aktie_verwässert!A$3:AJ$103,6,FALSE)&gt;0,IF(VLOOKUP(A53,Schlußkurse!A$5:AU$105,35,FALSE)&gt;0,VLOOKUP(A53,Schlußkurse!A$5:AU$105,35,FALSE)/VLOOKUP(A53,Ergebnis_je_Aktie_verwässert!A$3:AJ$103,6,FALSE),""),"")</f>
        <v>16.372377622377623</v>
      </c>
      <c r="D53" s="79">
        <f>IF(VLOOKUP(A53,Ergebnis_je_Aktie_verwässert!A$3:AJ$103,7,FALSE)&gt;0,IF(VLOOKUP(A53,Schlußkurse!A$5:AU$105,36,FALSE)&gt;0,VLOOKUP(A53,Schlußkurse!A$5:AU$105,36,FALSE)/VLOOKUP(A53,Ergebnis_je_Aktie_verwässert!A$3:AJ$103,7,FALSE),""),"")</f>
        <v>18.149224806201552</v>
      </c>
      <c r="E53" s="79">
        <f>IF(VLOOKUP(A53,Ergebnis_je_Aktie_verwässert!A$3:AJ$103,8,FALSE)&gt;0,IF(VLOOKUP(A53,Schlußkurse!A$5:AU$105,37,FALSE)&gt;0,VLOOKUP(A53,Schlußkurse!A$5:AU$105,37,FALSE)/VLOOKUP(A53,Ergebnis_je_Aktie_verwässert!A$3:AJ$103,8,FALSE),""),"")</f>
        <v>17.173728813559322</v>
      </c>
      <c r="F53" s="79">
        <f>IF(VLOOKUP(A53,Ergebnis_je_Aktie_verwässert!A$3:AJ$103,9,FALSE)&gt;0,IF(VLOOKUP(A53,Schlußkurse!A$5:AU$105,38,FALSE)&gt;0,VLOOKUP(A53,Schlußkurse!A$5:AU$105,38,FALSE)/VLOOKUP(A53,Ergebnis_je_Aktie_verwässert!A$3:AJ$103,9,FALSE),""),"")</f>
        <v>15.984513274336285</v>
      </c>
      <c r="G53" s="79">
        <f>IF(VLOOKUP(A53,Ergebnis_je_Aktie_verwässert!A$3:AJ$103,10,FALSE)&gt;0,IF(VLOOKUP(A53,Schlußkurse!A$5:AU$105,39,FALSE)&gt;0,VLOOKUP(A53,Schlußkurse!A$5:AU$105,39,FALSE)/VLOOKUP(A53,Ergebnis_je_Aktie_verwässert!A$3:AJ$103,10,FALSE),""),"")</f>
        <v>14.631828978622329</v>
      </c>
      <c r="H53" s="79">
        <f>IF(VLOOKUP(A53,Ergebnis_je_Aktie_verwässert!A$3:AJ$103,11,FALSE)&gt;0,IF(VLOOKUP(A53,Schlußkurse!A$5:AU$105,40,FALSE)&gt;0,VLOOKUP(A53,Schlußkurse!A$5:AU$105,40,FALSE)/VLOOKUP(A53,Ergebnis_je_Aktie_verwässert!A$3:AJ$103,11,FALSE),""),"")</f>
        <v>13.955729166666668</v>
      </c>
      <c r="I53" s="79">
        <f>IF(VLOOKUP(A53,Ergebnis_je_Aktie_verwässert!A$3:AJ$103,12,FALSE)&gt;0,IF(VLOOKUP(A53,Schlußkurse!A$5:AU$105,41,FALSE)&gt;0,VLOOKUP(A53,Schlußkurse!A$5:AU$105,41,FALSE)/VLOOKUP(A53,Ergebnis_je_Aktie_verwässert!A$3:AJ$103,12,FALSE),""),"")</f>
        <v>10.764705882352942</v>
      </c>
      <c r="J53" s="79">
        <f>IF(VLOOKUP(A53,Ergebnis_je_Aktie_verwässert!A$3:AJ$103,13,FALSE)&gt;0,IF(VLOOKUP(A53,Schlußkurse!A$5:AU$105,42,FALSE)&gt;0,VLOOKUP(A53,Schlußkurse!A$5:AU$105,42,FALSE)/VLOOKUP(A53,Ergebnis_je_Aktie_verwässert!A$3:AJ$103,13,FALSE),""),"")</f>
        <v>12.406015037593985</v>
      </c>
      <c r="K53" s="79">
        <f>IF(VLOOKUP(A53,Ergebnis_je_Aktie_verwässert!A$3:AJ$103,14,FALSE)&gt;0,IF(VLOOKUP(A53,Schlußkurse!A$5:AU$105,43,FALSE)&gt;0,VLOOKUP(A53,Schlußkurse!A$5:AU$105,43,FALSE)/VLOOKUP(A53,Ergebnis_je_Aktie_verwässert!A$3:AJ$103,14,FALSE),""),"")</f>
        <v>16.950819672131146</v>
      </c>
      <c r="L53" s="79">
        <f>IF(VLOOKUP(A53,Ergebnis_je_Aktie_verwässert!A$3:AJ$103,15,FALSE)&gt;0,IF(VLOOKUP(A53,Schlußkurse!A$5:AU$105,44,FALSE)&gt;0,VLOOKUP(A53,Schlußkurse!A$5:AU$105,44,FALSE)/VLOOKUP(A53,Ergebnis_je_Aktie_verwässert!A$3:AJ$103,15,FALSE),""),"")</f>
        <v>15.550943396226415</v>
      </c>
      <c r="M53" s="79">
        <f>IF(VLOOKUP(A53,Ergebnis_je_Aktie_verwässert!A$3:AJ$103,16,FALSE)&gt;0,IF(VLOOKUP(A53,Schlußkurse!A$5:AU$105,45,FALSE)&gt;0,VLOOKUP(A53,Schlußkurse!A$5:AU$105,45,FALSE)/VLOOKUP(A53,Ergebnis_je_Aktie_verwässert!A$3:AJ$103,16,FALSE),""),"")</f>
        <v>15.055837563451776</v>
      </c>
      <c r="N53" s="79">
        <f>IF(VLOOKUP(A53,Ergebnis_je_Aktie_verwässert!A$3:AJ$103,17,FALSE)&gt;0,IF(VLOOKUP(A53,Schlußkurse!A$5:AU$105,46,FALSE)&gt;0,VLOOKUP(A53,Schlußkurse!A$5:AU$105,46,FALSE)/VLOOKUP(A53,Ergebnis_je_Aktie_verwässert!A$3:AJ$103,17,FALSE),""),"")</f>
        <v>15.345911949685533</v>
      </c>
      <c r="O53" s="80">
        <f>IF(VLOOKUP(A53,Ergebnis_je_Aktie_verwässert!A$3:AJ$103,18,FALSE)&gt;0,IF(VLOOKUP(A53,Schlußkurse!A$5:AU$105,47,FALSE)&gt;0,VLOOKUP(A53,Schlußkurse!A$5:AU$105,47,FALSE)/VLOOKUP(A53,Ergebnis_je_Aktie_verwässert!A$3:AJ$103,18,FALSE),""),"")</f>
        <v>16.73076923076923</v>
      </c>
      <c r="P53" s="3">
        <f t="shared" si="2"/>
        <v>15.550943396226415</v>
      </c>
      <c r="Q53" s="3">
        <f ca="1">VLOOKUP(A53,Schlußkurse!A$5:AU$105,35,FALSE)/VLOOKUP(A53,Ergebnis_je_Aktie_verwässert!A$3:AK$103,23,FALSE)</f>
        <v>18.67108236232334</v>
      </c>
      <c r="R53" s="5">
        <f t="shared" ca="1" si="3"/>
        <v>0.20063985101084314</v>
      </c>
    </row>
    <row r="54" spans="1:18" x14ac:dyDescent="0.25">
      <c r="A54" t="s">
        <v>257</v>
      </c>
      <c r="B54" t="s">
        <v>258</v>
      </c>
      <c r="C54" s="78">
        <f>IF(VLOOKUP(A54,Ergebnis_je_Aktie_verwässert!A$3:AJ$103,6,FALSE)&gt;0,IF(VLOOKUP(A54,Schlußkurse!A$5:AU$105,35,FALSE) &gt;0,VLOOKUP(A54,Schlußkurse!A$5:AU$105,35,FALSE) /VLOOKUP(A54,Ergebnis_je_Aktie_verwässert!A$3:AJ$103,6,FALSE),""),"")</f>
        <v>20.13031914893617</v>
      </c>
      <c r="D54" s="79">
        <f>IF(VLOOKUP(A54,Ergebnis_je_Aktie_verwässert!A$3:AJ$103,7,FALSE)&gt;0,IF(VLOOKUP(A54,Schlußkurse!A$5:AU$105,36,FALSE) &gt;0,VLOOKUP(A54,Schlußkurse!A$5:AU$105,36,FALSE)/VLOOKUP(A54,Ergebnis_je_Aktie_verwässert!A$3:AJ$103,7,FALSE),""),"")</f>
        <v>21.832844574780058</v>
      </c>
      <c r="E54" s="79">
        <f>IF(VLOOKUP(A54,Ergebnis_je_Aktie_verwässert!A$3:AJ$103,8,FALSE)&gt;0,IF(VLOOKUP(A54,Schlußkurse!A$5:AU$105,37,FALSE) &gt;0,VLOOKUP(A54,Schlußkurse!A$5:AU$105,37,FALSE)/VLOOKUP(A54,Ergebnis_je_Aktie_verwässert!A$3:AJ$103,8,FALSE),""),"")</f>
        <v>15.8544474393531</v>
      </c>
      <c r="F54" s="79">
        <f>IF(VLOOKUP(A54,Ergebnis_je_Aktie_verwässert!A$3:AJ$103,9,FALSE)&gt;0,IF(VLOOKUP(A54,Schlußkurse!A$5:AU$105,38,FALSE) &gt;0,VLOOKUP(A54,Schlußkurse!A$5:AU$105,38,FALSE)/VLOOKUP(A54,Ergebnis_je_Aktie_verwässert!A$3:AJ$103,9,FALSE),""),"")</f>
        <v>12.354497354497356</v>
      </c>
      <c r="G54" s="79">
        <f>IF(VLOOKUP(A54,Ergebnis_je_Aktie_verwässert!A$3:AJ$103,10,FALSE)&gt;0,IF(VLOOKUP(A54,Schlußkurse!A$5:AU$105,39,FALSE) &gt;0,VLOOKUP(A54,Schlußkurse!A$5:AU$105,39,FALSE)/VLOOKUP(A54,Ergebnis_je_Aktie_verwässert!A$3:AJ$103,10,FALSE),""),"")</f>
        <v>11.335311572700297</v>
      </c>
      <c r="H54" s="79">
        <f>IF(VLOOKUP(A54,Ergebnis_je_Aktie_verwässert!A$3:AJ$103,11,FALSE)&gt;0,IF(VLOOKUP(A54,Schlußkurse!A$5:AU$105,40,FALSE) &gt;0,VLOOKUP(A54,Schlußkurse!A$5:AU$105,40,FALSE)/VLOOKUP(A54,Ergebnis_je_Aktie_verwässert!A$3:AJ$103,11,FALSE),""),"")</f>
        <v>12.243401759530791</v>
      </c>
      <c r="I54" s="79">
        <f>IF(VLOOKUP(A54,Ergebnis_je_Aktie_verwässert!A$3:AJ$103,12,FALSE)&gt;0,IF(VLOOKUP(A54,Schlußkurse!A$5:AU$105,41,FALSE) &gt;0,VLOOKUP(A54,Schlußkurse!A$5:AU$105,41,FALSE)/VLOOKUP(A54,Ergebnis_je_Aktie_verwässert!A$3:AJ$103,12,FALSE),""),"")</f>
        <v>15.276223776223777</v>
      </c>
      <c r="J54" s="79">
        <f>IF(VLOOKUP(A54,Ergebnis_je_Aktie_verwässert!A$3:AJ$103,13,FALSE)&gt;0,IF(VLOOKUP(A54,Schlußkurse!A$5:AU$105,42,FALSE) &gt;0,VLOOKUP(A54,Schlußkurse!A$5:AU$105,42,FALSE)/VLOOKUP(A54,Ergebnis_je_Aktie_verwässert!A$3:AJ$103,13,FALSE),""),"")</f>
        <v>11.469534050179211</v>
      </c>
      <c r="K54" s="79">
        <f>IF(VLOOKUP(A54,Ergebnis_je_Aktie_verwässert!A$3:AJ$103,14,FALSE)&gt;0,IF(VLOOKUP(A54,Schlußkurse!A$5:AU$105,43,FALSE) &gt;0,VLOOKUP(A54,Schlußkurse!A$5:AU$105,43,FALSE)/VLOOKUP(A54,Ergebnis_je_Aktie_verwässert!A$3:AJ$103,14,FALSE),""),"")</f>
        <v>19.708502024291498</v>
      </c>
      <c r="L54" s="79">
        <f>IF(VLOOKUP(A54,Ergebnis_je_Aktie_verwässert!A$3:AJ$103,15,FALSE)&gt;0,IF(VLOOKUP(A54,Schlußkurse!A$5:AU$105,44,FALSE) &gt;0,VLOOKUP(A54,Schlußkurse!A$5:AU$105,44,FALSE)/VLOOKUP(A54,Ergebnis_je_Aktie_verwässert!A$3:AJ$103,15,FALSE),""),"")</f>
        <v>24.187214611872147</v>
      </c>
      <c r="M54" s="79">
        <f>IF(VLOOKUP(A54,Ergebnis_je_Aktie_verwässert!A$3:AJ$103,16,FALSE)&gt;0,IF(VLOOKUP(A54,Schlußkurse!A$5:AU$105,45,FALSE) &gt;0,VLOOKUP(A54,Schlußkurse!A$5:AU$105,45,FALSE)/VLOOKUP(A54,Ergebnis_je_Aktie_verwässert!A$3:AJ$103,16,FALSE),""),"")</f>
        <v>20.796680497925308</v>
      </c>
      <c r="N54" s="79">
        <f>IF(VLOOKUP(A54,Ergebnis_je_Aktie_verwässert!A$3:AJ$103,17,FALSE)&gt;0,IF(VLOOKUP(A54,Schlußkurse!A$5:AU$105,46,FALSE) &gt;0,VLOOKUP(A54,Schlußkurse!A$5:AU$105,46,FALSE)/VLOOKUP(A54,Ergebnis_je_Aktie_verwässert!A$3:AJ$103,17,FALSE),""),"")</f>
        <v>19.330143540669859</v>
      </c>
      <c r="O54" s="80">
        <f>IF(VLOOKUP(A54,Ergebnis_je_Aktie_verwässert!A$3:AJ$103,18,FALSE)&gt;0,IF(VLOOKUP(A54,Schlußkurse!A$5:AU$105,47,FALSE) &gt;0,VLOOKUP(A54,Schlußkurse!A$5:AU$105,47,FALSE)/VLOOKUP(A54,Ergebnis_je_Aktie_verwässert!A$3:AJ$103,18,FALSE),""),"")</f>
        <v>22.263157894736842</v>
      </c>
      <c r="P54" s="3">
        <f t="shared" si="2"/>
        <v>19.330143540669859</v>
      </c>
      <c r="Q54" s="3">
        <f ca="1">VLOOKUP(A54,Schlußkurse!A$5:AU$105,35,FALSE)/VLOOKUP(A54,Ergebnis_je_Aktie_verwässert!A$3:AK$103,23,FALSE)</f>
        <v>22.177511903308506</v>
      </c>
      <c r="R54" s="5">
        <f t="shared" ca="1" si="3"/>
        <v>0.14730197717610816</v>
      </c>
    </row>
    <row r="55" spans="1:18" x14ac:dyDescent="0.25">
      <c r="A55" t="s">
        <v>93</v>
      </c>
      <c r="B55" t="s">
        <v>94</v>
      </c>
      <c r="C55" s="78">
        <f>IF(VLOOKUP(A55,Ergebnis_je_Aktie_verwässert!A$3:AJ$103,6,FALSE)&gt;0,IF(VLOOKUP(A55,Schlußkurse!A$5:AU$105,35,FALSE)&gt;0,VLOOKUP(A55,Schlußkurse!A$5:AU$105,35,FALSE)/VLOOKUP(A55,Ergebnis_je_Aktie_verwässert!A$3:AJ$103,6,FALSE),""),"")</f>
        <v>15.638629283489097</v>
      </c>
      <c r="D55" s="79">
        <f>IF(VLOOKUP(A55,Ergebnis_je_Aktie_verwässert!A$3:AJ$103,7,FALSE)&gt;0,IF(VLOOKUP(A55,Schlußkurse!A$5:AU$105,36,FALSE)&gt;0,VLOOKUP(A55,Schlußkurse!A$5:AU$105,36,FALSE)/VLOOKUP(A55,Ergebnis_je_Aktie_verwässert!A$3:AJ$103,7,FALSE),""),"")</f>
        <v>16.622516556291391</v>
      </c>
      <c r="E55" s="79">
        <f>IF(VLOOKUP(A55,Ergebnis_je_Aktie_verwässert!A$3:AJ$103,8,FALSE)&gt;0,IF(VLOOKUP(A55,Schlußkurse!A$5:AU$105,37,FALSE)&gt;0,VLOOKUP(A55,Schlußkurse!A$5:AU$105,37,FALSE)/VLOOKUP(A55,Ergebnis_je_Aktie_verwässert!A$3:AJ$103,8,FALSE),""),"")</f>
        <v>17.787003610108304</v>
      </c>
      <c r="F55" s="79">
        <f>IF(VLOOKUP(A55,Ergebnis_je_Aktie_verwässert!A$3:AJ$103,9,FALSE)&gt;0,IF(VLOOKUP(A55,Schlußkurse!A$5:AU$105,38,FALSE)&gt;0,VLOOKUP(A55,Schlußkurse!A$5:AU$105,38,FALSE)/VLOOKUP(A55,Ergebnis_je_Aktie_verwässert!A$3:AJ$103,9,FALSE),""),"")</f>
        <v>14.99609375</v>
      </c>
      <c r="G55" s="79">
        <f>IF(VLOOKUP(A55,Ergebnis_je_Aktie_verwässert!A$3:AJ$103,10,FALSE)&gt;0,IF(VLOOKUP(A55,Schlußkurse!A$5:AU$105,39,FALSE)&gt;0,VLOOKUP(A55,Schlußkurse!A$5:AU$105,39,FALSE)/VLOOKUP(A55,Ergebnis_je_Aktie_verwässert!A$3:AJ$103,10,FALSE),""),"")</f>
        <v>13.911504424778762</v>
      </c>
      <c r="H55" s="79">
        <f>IF(VLOOKUP(A55,Ergebnis_je_Aktie_verwässert!A$3:AJ$103,11,FALSE)&gt;0,IF(VLOOKUP(A55,Schlußkurse!A$5:AU$105,40,FALSE)&gt;0,VLOOKUP(A55,Schlußkurse!A$5:AU$105,40,FALSE)/VLOOKUP(A55,Ergebnis_je_Aktie_verwässert!A$3:AJ$103,11,FALSE),""),"")</f>
        <v>14.393203883495145</v>
      </c>
      <c r="I55" s="79">
        <f>IF(VLOOKUP(A55,Ergebnis_je_Aktie_verwässert!A$3:AJ$103,12,FALSE)&gt;0,IF(VLOOKUP(A55,Schlußkurse!A$5:AU$105,41,FALSE)&gt;0,VLOOKUP(A55,Schlußkurse!A$5:AU$105,41,FALSE)/VLOOKUP(A55,Ergebnis_je_Aktie_verwässert!A$3:AJ$103,12,FALSE),""),"")</f>
        <v>15.012195121951221</v>
      </c>
      <c r="J55" s="79">
        <f>IF(VLOOKUP(A55,Ergebnis_je_Aktie_verwässert!A$3:AJ$103,13,FALSE)&gt;0,IF(VLOOKUP(A55,Schlußkurse!A$5:AU$105,42,FALSE)&gt;0,VLOOKUP(A55,Schlußkurse!A$5:AU$105,42,FALSE)/VLOOKUP(A55,Ergebnis_je_Aktie_verwässert!A$3:AJ$103,13,FALSE),""),"")</f>
        <v>10.497326203208555</v>
      </c>
      <c r="K55" s="79">
        <f>IF(VLOOKUP(A55,Ergebnis_je_Aktie_verwässert!A$3:AJ$103,14,FALSE)&gt;0,IF(VLOOKUP(A55,Schlußkurse!A$5:AU$105,43,FALSE)&gt;0,VLOOKUP(A55,Schlußkurse!A$5:AU$105,43,FALSE)/VLOOKUP(A55,Ergebnis_je_Aktie_verwässert!A$3:AJ$103,14,FALSE),""),"")</f>
        <v>6.0545454545454547</v>
      </c>
      <c r="L55" s="79">
        <f>IF(VLOOKUP(A55,Ergebnis_je_Aktie_verwässert!A$3:AJ$103,15,FALSE)&gt;0,IF(VLOOKUP(A55,Schlußkurse!A$5:AU$105,44,FALSE)&gt;0,VLOOKUP(A55,Schlußkurse!A$5:AU$105,44,FALSE)/VLOOKUP(A55,Ergebnis_je_Aktie_verwässert!A$3:AJ$103,15,FALSE),""),"")</f>
        <v>16.2</v>
      </c>
      <c r="M55" s="79">
        <f>IF(VLOOKUP(A55,Ergebnis_je_Aktie_verwässert!A$3:AJ$103,16,FALSE)&gt;0,IF(VLOOKUP(A55,Schlußkurse!A$5:AU$105,45,FALSE)&gt;0,VLOOKUP(A55,Schlußkurse!A$5:AU$105,45,FALSE)/VLOOKUP(A55,Ergebnis_je_Aktie_verwässert!A$3:AJ$103,16,FALSE),""),"")</f>
        <v>15.202027027027029</v>
      </c>
      <c r="N55" s="79">
        <f>IF(VLOOKUP(A55,Ergebnis_je_Aktie_verwässert!A$3:AJ$103,17,FALSE)&gt;0,IF(VLOOKUP(A55,Schlußkurse!A$5:AU$105,46,FALSE)&gt;0,VLOOKUP(A55,Schlußkurse!A$5:AU$105,46,FALSE)/VLOOKUP(A55,Ergebnis_je_Aktie_verwässert!A$3:AJ$103,17,FALSE),""),"")</f>
        <v>11.957615894039735</v>
      </c>
      <c r="O55" s="80">
        <f>IF(VLOOKUP(A55,Ergebnis_je_Aktie_verwässert!A$3:AJ$103,18,FALSE)&gt;0,IF(VLOOKUP(A55,Schlußkurse!A$5:AU$105,47,FALSE)&gt;0,VLOOKUP(A55,Schlußkurse!A$5:AU$105,47,FALSE)/VLOOKUP(A55,Ergebnis_je_Aktie_verwässert!A$3:AJ$103,18,FALSE),""),"")</f>
        <v>13.627049180327869</v>
      </c>
      <c r="P55" s="3">
        <f t="shared" si="2"/>
        <v>14.99609375</v>
      </c>
      <c r="Q55" s="3">
        <f ca="1">VLOOKUP(A55,Schlußkurse!A$5:AU$105,35,FALSE)/VLOOKUP(A55,Ergebnis_je_Aktie_verwässert!A$3:AK$103,23,FALSE)</f>
        <v>17.584898316629367</v>
      </c>
      <c r="R55" s="5">
        <f t="shared" ca="1" si="3"/>
        <v>0.17263192733970256</v>
      </c>
    </row>
    <row r="56" spans="1:18" x14ac:dyDescent="0.25">
      <c r="A56" t="s">
        <v>274</v>
      </c>
      <c r="B56" t="s">
        <v>279</v>
      </c>
      <c r="C56" s="78">
        <f>IF(VLOOKUP(A56,Ergebnis_je_Aktie_verwässert!A$3:AJ$103,6,FALSE)&gt;0,IF(VLOOKUP(A56,Schlußkurse!A$5:AU$105,35,FALSE)&gt;0,VLOOKUP(A56,Schlußkurse!A$5:AU$105,35,FALSE)/VLOOKUP(A56,Ergebnis_je_Aktie_verwässert!A$3:AJ$103,6,FALSE),""),"")</f>
        <v>15.416539050535988</v>
      </c>
      <c r="D56" s="79">
        <f>IF(VLOOKUP(A56,Ergebnis_je_Aktie_verwässert!A$3:AJ$103,7,FALSE)&gt;0,IF(VLOOKUP(A56,Schlußkurse!A$5:AU$105,36,FALSE)&gt;0,VLOOKUP(A56,Schlußkurse!A$5:AU$105,36,FALSE)/VLOOKUP(A56,Ergebnis_je_Aktie_verwässert!A$3:AJ$103,7,FALSE),""),"")</f>
        <v>17.849290780141846</v>
      </c>
      <c r="E56" s="79">
        <f>IF(VLOOKUP(A56,Ergebnis_je_Aktie_verwässert!A$3:AJ$103,8,FALSE)&gt;0,IF(VLOOKUP(A56,Schlußkurse!A$5:AU$105,37,FALSE)&gt;0,VLOOKUP(A56,Schlußkurse!A$5:AU$105,37,FALSE)/VLOOKUP(A56,Ergebnis_je_Aktie_verwässert!A$3:AJ$103,8,FALSE),""),"")</f>
        <v>19.695296523517385</v>
      </c>
      <c r="F56" s="79">
        <f>IF(VLOOKUP(A56,Ergebnis_je_Aktie_verwässert!A$3:AJ$103,9,FALSE)&gt;0,IF(VLOOKUP(A56,Schlußkurse!A$5:AU$105,38,FALSE)&gt;0,VLOOKUP(A56,Schlußkurse!A$5:AU$105,38,FALSE)/VLOOKUP(A56,Ergebnis_je_Aktie_verwässert!A$3:AJ$103,9,FALSE),""),"")</f>
        <v>18.073232323232322</v>
      </c>
      <c r="G56" s="79">
        <f>IF(VLOOKUP(A56,Ergebnis_je_Aktie_verwässert!A$3:AJ$103,10,FALSE)&gt;0,IF(VLOOKUP(A56,Schlußkurse!A$5:AU$105,39,FALSE)&gt;0,VLOOKUP(A56,Schlußkurse!A$5:AU$105,39,FALSE)/VLOOKUP(A56,Ergebnis_je_Aktie_verwässert!A$3:AJ$103,10,FALSE),""),"")</f>
        <v>12.927807486631016</v>
      </c>
      <c r="H56" s="79">
        <f>IF(VLOOKUP(A56,Ergebnis_je_Aktie_verwässert!A$3:AJ$103,11,FALSE)&gt;0,IF(VLOOKUP(A56,Schlußkurse!A$5:AU$105,40,FALSE)&gt;0,VLOOKUP(A56,Schlußkurse!A$5:AU$105,40,FALSE)/VLOOKUP(A56,Ergebnis_je_Aktie_verwässert!A$3:AJ$103,11,FALSE),""),"")</f>
        <v>13.503311258278146</v>
      </c>
      <c r="I56" s="79">
        <f>IF(VLOOKUP(A56,Ergebnis_je_Aktie_verwässert!A$3:AJ$103,12,FALSE)&gt;0,IF(VLOOKUP(A56,Schlußkurse!A$5:AU$105,41,FALSE)&gt;0,VLOOKUP(A56,Schlußkurse!A$5:AU$105,41,FALSE)/VLOOKUP(A56,Ergebnis_je_Aktie_verwässert!A$3:AJ$103,12,FALSE),""),"")</f>
        <v>13.529182879377434</v>
      </c>
      <c r="J56" s="79">
        <f>IF(VLOOKUP(A56,Ergebnis_je_Aktie_verwässert!A$3:AJ$103,13,FALSE)&gt;0,IF(VLOOKUP(A56,Schlußkurse!A$5:AU$105,42,FALSE)&gt;0,VLOOKUP(A56,Schlußkurse!A$5:AU$105,42,FALSE)/VLOOKUP(A56,Ergebnis_je_Aktie_verwässert!A$3:AJ$103,13,FALSE),""),"")</f>
        <v>12.935742971887549</v>
      </c>
      <c r="K56" s="79">
        <f>IF(VLOOKUP(A56,Ergebnis_je_Aktie_verwässert!A$3:AJ$103,14,FALSE)&gt;0,IF(VLOOKUP(A56,Schlußkurse!A$5:AU$105,43,FALSE)&gt;0,VLOOKUP(A56,Schlußkurse!A$5:AU$105,43,FALSE)/VLOOKUP(A56,Ergebnis_je_Aktie_verwässert!A$3:AJ$103,14,FALSE),""),"")</f>
        <v>11.270588235294118</v>
      </c>
      <c r="L56" s="79">
        <f>IF(VLOOKUP(A56,Ergebnis_je_Aktie_verwässert!A$3:AJ$103,15,FALSE)&gt;0,IF(VLOOKUP(A56,Schlußkurse!A$5:AU$105,44,FALSE)&gt;0,VLOOKUP(A56,Schlußkurse!A$5:AU$105,44,FALSE)/VLOOKUP(A56,Ergebnis_je_Aktie_verwässert!A$3:AJ$103,15,FALSE),""),"")</f>
        <v>18.23394495412844</v>
      </c>
      <c r="M56" s="79">
        <f>IF(VLOOKUP(A56,Ergebnis_je_Aktie_verwässert!A$3:AJ$103,16,FALSE)&gt;0,IF(VLOOKUP(A56,Schlußkurse!A$5:AU$105,45,FALSE)&gt;0,VLOOKUP(A56,Schlußkurse!A$5:AU$105,45,FALSE)/VLOOKUP(A56,Ergebnis_je_Aktie_verwässert!A$3:AJ$103,16,FALSE),""),"")</f>
        <v>16.098958333333336</v>
      </c>
      <c r="N56" s="79">
        <f>IF(VLOOKUP(A56,Ergebnis_je_Aktie_verwässert!A$3:AJ$103,17,FALSE)&gt;0,IF(VLOOKUP(A56,Schlußkurse!A$5:AU$105,46,FALSE)&gt;0,VLOOKUP(A56,Schlußkurse!A$5:AU$105,46,FALSE)/VLOOKUP(A56,Ergebnis_je_Aktie_verwässert!A$3:AJ$103,17,FALSE),""),"")</f>
        <v>16.481249999999999</v>
      </c>
      <c r="O56" s="80">
        <f>IF(VLOOKUP(A56,Ergebnis_je_Aktie_verwässert!A$3:AJ$103,18,FALSE)&gt;0,IF(VLOOKUP(A56,Schlußkurse!A$5:AU$105,47,FALSE)&gt;0,VLOOKUP(A56,Schlußkurse!A$5:AU$105,47,FALSE)/VLOOKUP(A56,Ergebnis_je_Aktie_verwässert!A$3:AJ$103,18,FALSE),""),"")</f>
        <v>15.565517241379311</v>
      </c>
      <c r="P56" s="3">
        <f t="shared" si="2"/>
        <v>15.565517241379311</v>
      </c>
      <c r="Q56" s="3">
        <f ca="1">VLOOKUP(A56,Schlußkurse!A$5:AU$105,35,FALSE)/VLOOKUP(A56,Ergebnis_je_Aktie_verwässert!A$3:AK$103,23,FALSE)</f>
        <v>19.569739186781145</v>
      </c>
      <c r="R56" s="5">
        <f t="shared" ca="1" si="3"/>
        <v>0.25724952684238644</v>
      </c>
    </row>
    <row r="57" spans="1:18" x14ac:dyDescent="0.25">
      <c r="A57" t="s">
        <v>291</v>
      </c>
      <c r="B57" t="s">
        <v>292</v>
      </c>
      <c r="C57" s="78">
        <f>IF(VLOOKUP(A57,Ergebnis_je_Aktie_verwässert!A$3:AJ$103,6,FALSE)&gt;0,IF(VLOOKUP(A57,Schlußkurse!A$5:AU$105,35,FALSE)&gt;0,VLOOKUP(A57,Schlußkurse!A$5:AU$105,35,FALSE)/VLOOKUP(A57,Ergebnis_je_Aktie_verwässert!A$3:AJ$103,6,FALSE),""),"")</f>
        <v>13.899521531100479</v>
      </c>
      <c r="D57" s="79">
        <f>IF(VLOOKUP(A57,Ergebnis_je_Aktie_verwässert!A$3:AJ$103,7,FALSE)&gt;0,IF(VLOOKUP(A57,Schlußkurse!A$5:AU$105,36,FALSE)&gt;0,VLOOKUP(A57,Schlußkurse!A$5:AU$105,36,FALSE)/VLOOKUP(A57,Ergebnis_je_Aktie_verwässert!A$3:AJ$103,7,FALSE),""),"")</f>
        <v>15.130208333333334</v>
      </c>
      <c r="E57" s="79">
        <f>IF(VLOOKUP(A57,Ergebnis_je_Aktie_verwässert!A$3:AJ$103,8,FALSE)&gt;0,IF(VLOOKUP(A57,Schlußkurse!A$5:AU$105,37,FALSE)&gt;0,VLOOKUP(A57,Schlußkurse!A$5:AU$105,37,FALSE)/VLOOKUP(A57,Ergebnis_je_Aktie_verwässert!A$3:AJ$103,8,FALSE),""),"")</f>
        <v>14.417142857142858</v>
      </c>
      <c r="F57" s="79">
        <f>IF(VLOOKUP(A57,Ergebnis_je_Aktie_verwässert!A$3:AJ$103,9,FALSE)&gt;0,IF(VLOOKUP(A57,Schlußkurse!A$5:AU$105,38,FALSE)&gt;0,VLOOKUP(A57,Schlußkurse!A$5:AU$105,38,FALSE)/VLOOKUP(A57,Ergebnis_je_Aktie_verwässert!A$3:AJ$103,9,FALSE),""),"")</f>
        <v>17.174496644295303</v>
      </c>
      <c r="G57" s="79">
        <f>IF(VLOOKUP(A57,Ergebnis_je_Aktie_verwässert!A$3:AJ$103,10,FALSE)&gt;0,IF(VLOOKUP(A57,Schlußkurse!A$5:AU$105,39,FALSE)&gt;0,VLOOKUP(A57,Schlußkurse!A$5:AU$105,39,FALSE)/VLOOKUP(A57,Ergebnis_je_Aktie_verwässert!A$3:AJ$103,10,FALSE),""),"")</f>
        <v>8.5752688172043001</v>
      </c>
      <c r="H57" s="79">
        <f>IF(VLOOKUP(A57,Ergebnis_je_Aktie_verwässert!A$3:AJ$103,11,FALSE)&gt;0,IF(VLOOKUP(A57,Schlußkurse!A$5:AU$105,40,FALSE)&gt;0,VLOOKUP(A57,Schlußkurse!A$5:AU$105,40,FALSE)/VLOOKUP(A57,Ergebnis_je_Aktie_verwässert!A$3:AJ$103,11,FALSE),""),"")</f>
        <v>10.718120805369129</v>
      </c>
      <c r="I57" s="79">
        <f>IF(VLOOKUP(A57,Ergebnis_je_Aktie_verwässert!A$3:AJ$103,12,FALSE)&gt;0,IF(VLOOKUP(A57,Schlußkurse!A$5:AU$105,41,FALSE)&gt;0,VLOOKUP(A57,Schlußkurse!A$5:AU$105,41,FALSE)/VLOOKUP(A57,Ergebnis_je_Aktie_verwässert!A$3:AJ$103,12,FALSE),""),"")</f>
        <v>17.883720930232556</v>
      </c>
      <c r="J57" s="79">
        <f>IF(VLOOKUP(A57,Ergebnis_je_Aktie_verwässert!A$3:AJ$103,13,FALSE)&gt;0,IF(VLOOKUP(A57,Schlußkurse!A$5:AU$105,42,FALSE)&gt;0,VLOOKUP(A57,Schlußkurse!A$5:AU$105,42,FALSE)/VLOOKUP(A57,Ergebnis_je_Aktie_verwässert!A$3:AJ$103,13,FALSE),""),"")</f>
        <v>16.548872180451127</v>
      </c>
      <c r="K57" s="79">
        <f>IF(VLOOKUP(A57,Ergebnis_je_Aktie_verwässert!A$3:AJ$103,14,FALSE)&gt;0,IF(VLOOKUP(A57,Schlußkurse!A$5:AU$105,43,FALSE)&gt;0,VLOOKUP(A57,Schlußkurse!A$5:AU$105,43,FALSE)/VLOOKUP(A57,Ergebnis_je_Aktie_verwässert!A$3:AJ$103,14,FALSE),""),"")</f>
        <v>20.94285714285714</v>
      </c>
      <c r="L57" s="79">
        <f>IF(VLOOKUP(A57,Ergebnis_je_Aktie_verwässert!A$3:AJ$103,15,FALSE)&gt;0,IF(VLOOKUP(A57,Schlußkurse!A$5:AU$105,44,FALSE)&gt;0,VLOOKUP(A57,Schlußkurse!A$5:AU$105,44,FALSE)/VLOOKUP(A57,Ergebnis_je_Aktie_verwässert!A$3:AJ$103,15,FALSE),""),"")</f>
        <v>22.068702290076335</v>
      </c>
      <c r="M57" s="79">
        <f>IF(VLOOKUP(A57,Ergebnis_je_Aktie_verwässert!A$3:AJ$103,16,FALSE)&gt;0,IF(VLOOKUP(A57,Schlußkurse!A$5:AU$105,45,FALSE)&gt;0,VLOOKUP(A57,Schlußkurse!A$5:AU$105,45,FALSE)/VLOOKUP(A57,Ergebnis_je_Aktie_verwässert!A$3:AJ$103,16,FALSE),""),"")</f>
        <v>15.282051282051283</v>
      </c>
      <c r="N57" s="79">
        <f>IF(VLOOKUP(A57,Ergebnis_je_Aktie_verwässert!A$3:AJ$103,17,FALSE)&gt;0,IF(VLOOKUP(A57,Schlußkurse!A$5:AU$105,46,FALSE)&gt;0,VLOOKUP(A57,Schlußkurse!A$5:AU$105,46,FALSE)/VLOOKUP(A57,Ergebnis_je_Aktie_verwässert!A$3:AJ$103,17,FALSE),""),"")</f>
        <v>21.516853932584269</v>
      </c>
      <c r="O57" s="80">
        <f>IF(VLOOKUP(A57,Ergebnis_je_Aktie_verwässert!A$3:AJ$103,18,FALSE)&gt;0,IF(VLOOKUP(A57,Schlußkurse!A$5:AU$105,47,FALSE)&gt;0,VLOOKUP(A57,Schlußkurse!A$5:AU$105,47,FALSE)/VLOOKUP(A57,Ergebnis_je_Aktie_verwässert!A$3:AJ$103,18,FALSE),""),"")</f>
        <v>24.045977011494255</v>
      </c>
      <c r="P57" s="3">
        <f t="shared" si="2"/>
        <v>16.548872180451127</v>
      </c>
      <c r="Q57" s="3">
        <f ca="1">VLOOKUP(A57,Schlußkurse!A$5:AU$105,35,FALSE)/VLOOKUP(A57,Ergebnis_je_Aktie_verwässert!A$3:AK$103,23,FALSE)</f>
        <v>15.464923695729327</v>
      </c>
      <c r="R57" s="5">
        <f t="shared" ca="1" si="3"/>
        <v>-6.5499840285324629E-2</v>
      </c>
    </row>
    <row r="58" spans="1:18" x14ac:dyDescent="0.25">
      <c r="A58" t="s">
        <v>272</v>
      </c>
      <c r="B58" t="s">
        <v>277</v>
      </c>
      <c r="C58" s="78">
        <f>IF(VLOOKUP(A58,Ergebnis_je_Aktie_verwässert!A$3:AJ$103,6,FALSE)&gt;0,IF(VLOOKUP(A58,Schlußkurse!A$5:AU$105,35,FALSE)&gt;0,VLOOKUP(A58,Schlußkurse!A$5:AU$105,35,FALSE)/VLOOKUP(A58,Ergebnis_je_Aktie_verwässert!A$3:AJ$103,6,FALSE),""),"")</f>
        <v>13.536496350364963</v>
      </c>
      <c r="D58" s="79">
        <f>IF(VLOOKUP(A58,Ergebnis_je_Aktie_verwässert!A$3:AJ$103,7,FALSE)&gt;0,IF(VLOOKUP(A58,Schlußkurse!A$5:AU$105,36,FALSE)&gt;0,VLOOKUP(A58,Schlußkurse!A$5:AU$105,36,FALSE)/VLOOKUP(A58,Ergebnis_je_Aktie_verwässert!A$3:AJ$103,7,FALSE),""),"")</f>
        <v>15.850427350427353</v>
      </c>
      <c r="E58" s="79">
        <f>IF(VLOOKUP(A58,Ergebnis_je_Aktie_verwässert!A$3:AJ$103,8,FALSE)&gt;0,IF(VLOOKUP(A58,Schlußkurse!A$5:AU$105,37,FALSE)&gt;0,VLOOKUP(A58,Schlußkurse!A$5:AU$105,37,FALSE)/VLOOKUP(A58,Ergebnis_je_Aktie_verwässert!A$3:AJ$103,8,FALSE),""),"")</f>
        <v>19.056701030927837</v>
      </c>
      <c r="F58" s="79">
        <f>IF(VLOOKUP(A58,Ergebnis_je_Aktie_verwässert!A$3:AJ$103,9,FALSE)&gt;0,IF(VLOOKUP(A58,Schlußkurse!A$5:AU$105,38,FALSE)&gt;0,VLOOKUP(A58,Schlußkurse!A$5:AU$105,38,FALSE)/VLOOKUP(A58,Ergebnis_je_Aktie_verwässert!A$3:AJ$103,9,FALSE),""),"")</f>
        <v>16.573979591836736</v>
      </c>
      <c r="G58" s="79">
        <f>IF(VLOOKUP(A58,Ergebnis_je_Aktie_verwässert!A$3:AJ$103,10,FALSE)&gt;0,IF(VLOOKUP(A58,Schlußkurse!A$5:AU$105,39,FALSE)&gt;0,VLOOKUP(A58,Schlußkurse!A$5:AU$105,39,FALSE)/VLOOKUP(A58,Ergebnis_je_Aktie_verwässert!A$3:AJ$103,10,FALSE),""),"")</f>
        <v>14.476504666881233</v>
      </c>
      <c r="H58" s="79">
        <f>IF(VLOOKUP(A58,Ergebnis_je_Aktie_verwässert!A$3:AJ$103,11,FALSE)&gt;0,IF(VLOOKUP(A58,Schlußkurse!A$5:AU$105,40,FALSE)&gt;0,VLOOKUP(A58,Schlußkurse!A$5:AU$105,40,FALSE)/VLOOKUP(A58,Ergebnis_je_Aktie_verwässert!A$3:AJ$103,11,FALSE),""),"")</f>
        <v>15.518644067796609</v>
      </c>
      <c r="I58" s="79">
        <f>IF(VLOOKUP(A58,Ergebnis_je_Aktie_verwässert!A$3:AJ$103,12,FALSE)&gt;0,IF(VLOOKUP(A58,Schlußkurse!A$5:AU$105,41,FALSE)&gt;0,VLOOKUP(A58,Schlußkurse!A$5:AU$105,41,FALSE)/VLOOKUP(A58,Ergebnis_je_Aktie_verwässert!A$3:AJ$103,12,FALSE),""),"")</f>
        <v>13.554347826086957</v>
      </c>
      <c r="J58" s="79">
        <f>IF(VLOOKUP(A58,Ergebnis_je_Aktie_verwässert!A$3:AJ$103,13,FALSE)&gt;0,IF(VLOOKUP(A58,Schlußkurse!A$5:AU$105,42,FALSE)&gt;0,VLOOKUP(A58,Schlußkurse!A$5:AU$105,42,FALSE)/VLOOKUP(A58,Ergebnis_je_Aktie_verwässert!A$3:AJ$103,13,FALSE),""),"")</f>
        <v>10.265243902439025</v>
      </c>
      <c r="K58" s="79">
        <f>IF(VLOOKUP(A58,Ergebnis_je_Aktie_verwässert!A$3:AJ$103,14,FALSE)&gt;0,IF(VLOOKUP(A58,Schlußkurse!A$5:AU$105,43,FALSE)&gt;0,VLOOKUP(A58,Schlußkurse!A$5:AU$105,43,FALSE)/VLOOKUP(A58,Ergebnis_je_Aktie_verwässert!A$3:AJ$103,14,FALSE),""),"")</f>
        <v>13.177083333333334</v>
      </c>
      <c r="L58" s="79">
        <f>IF(VLOOKUP(A58,Ergebnis_je_Aktie_verwässert!A$3:AJ$103,15,FALSE)&gt;0,IF(VLOOKUP(A58,Schlußkurse!A$5:AU$105,44,FALSE)&gt;0,VLOOKUP(A58,Schlußkurse!A$5:AU$105,44,FALSE)/VLOOKUP(A58,Ergebnis_je_Aktie_verwässert!A$3:AJ$103,15,FALSE),""),"")</f>
        <v>17.56573705179283</v>
      </c>
      <c r="M58" s="79">
        <f>IF(VLOOKUP(A58,Ergebnis_je_Aktie_verwässert!A$3:AJ$103,16,FALSE)&gt;0,IF(VLOOKUP(A58,Schlußkurse!A$5:AU$105,45,FALSE)&gt;0,VLOOKUP(A58,Schlußkurse!A$5:AU$105,45,FALSE)/VLOOKUP(A58,Ergebnis_je_Aktie_verwässert!A$3:AJ$103,16,FALSE),""),"")</f>
        <v>15.155279503105588</v>
      </c>
      <c r="N58" s="79">
        <f>IF(VLOOKUP(A58,Ergebnis_je_Aktie_verwässert!A$3:AJ$103,17,FALSE)&gt;0,IF(VLOOKUP(A58,Schlußkurse!A$5:AU$105,46,FALSE)&gt;0,VLOOKUP(A58,Schlußkurse!A$5:AU$105,46,FALSE)/VLOOKUP(A58,Ergebnis_je_Aktie_verwässert!A$3:AJ$103,17,FALSE),""),"")</f>
        <v>12.57396449704142</v>
      </c>
      <c r="O58" s="80">
        <f>IF(VLOOKUP(A58,Ergebnis_je_Aktie_verwässert!A$3:AJ$103,18,FALSE)&gt;0,IF(VLOOKUP(A58,Schlußkurse!A$5:AU$105,47,FALSE)&gt;0,VLOOKUP(A58,Schlußkurse!A$5:AU$105,47,FALSE)/VLOOKUP(A58,Ergebnis_je_Aktie_verwässert!A$3:AJ$103,18,FALSE),""),"")</f>
        <v>23.695652173913043</v>
      </c>
      <c r="P58" s="3">
        <f t="shared" si="2"/>
        <v>15.155279503105588</v>
      </c>
      <c r="Q58" s="3">
        <f ca="1">VLOOKUP(A58,Schlußkurse!A$5:AU$105,35,FALSE)/VLOOKUP(A58,Ergebnis_je_Aktie_verwässert!A$3:AK$103,23,FALSE)</f>
        <v>17.869914346895079</v>
      </c>
      <c r="R58" s="5">
        <f t="shared" ca="1" si="3"/>
        <v>0.17912139747955247</v>
      </c>
    </row>
    <row r="59" spans="1:18" x14ac:dyDescent="0.25">
      <c r="A59" t="s">
        <v>97</v>
      </c>
      <c r="B59" t="s">
        <v>98</v>
      </c>
      <c r="C59" s="78">
        <f>IF(VLOOKUP(A59,Ergebnis_je_Aktie_verwässert!A$3:AJ$103,6,FALSE)&gt;0,IF(VLOOKUP(A59,Schlußkurse!A$5:AU$105,35,FALSE)&gt;0,VLOOKUP(A59,Schlußkurse!A$5:AU$105,35,FALSE)/VLOOKUP(A59,Ergebnis_je_Aktie_verwässert!A$3:AJ$103,6,FALSE),""),"")</f>
        <v>17.204334365325078</v>
      </c>
      <c r="D59" s="79">
        <f>IF(VLOOKUP(A59,Ergebnis_je_Aktie_verwässert!A$3:AJ$103,7,FALSE)&gt;0,IF(VLOOKUP(A59,Schlußkurse!A$5:AU$105,36,FALSE)&gt;0,VLOOKUP(A59,Schlußkurse!A$5:AU$105,36,FALSE)/VLOOKUP(A59,Ergebnis_je_Aktie_verwässert!A$3:AJ$103,7,FALSE),""),"")</f>
        <v>18.585284280936452</v>
      </c>
      <c r="E59" s="79">
        <f>IF(VLOOKUP(A59,Ergebnis_je_Aktie_verwässert!A$3:AJ$103,8,FALSE)&gt;0,IF(VLOOKUP(A59,Schlußkurse!A$5:AU$105,37,FALSE)&gt;0,VLOOKUP(A59,Schlußkurse!A$5:AU$105,37,FALSE)/VLOOKUP(A59,Ergebnis_je_Aktie_verwässert!A$3:AJ$103,8,FALSE),""),"")</f>
        <v>21.625984251968504</v>
      </c>
      <c r="F59" s="79">
        <f>IF(VLOOKUP(A59,Ergebnis_je_Aktie_verwässert!A$3:AJ$103,9,FALSE)&gt;0,IF(VLOOKUP(A59,Schlußkurse!A$5:AU$105,38,FALSE)&gt;0,VLOOKUP(A59,Schlußkurse!A$5:AU$105,38,FALSE)/VLOOKUP(A59,Ergebnis_je_Aktie_verwässert!A$3:AJ$103,9,FALSE),""),"")</f>
        <v>16.636042402826853</v>
      </c>
      <c r="G59" s="79">
        <f>IF(VLOOKUP(A59,Ergebnis_je_Aktie_verwässert!A$3:AJ$103,10,FALSE)&gt;0,IF(VLOOKUP(A59,Schlußkurse!A$5:AU$105,39,FALSE)&gt;0,VLOOKUP(A59,Schlußkurse!A$5:AU$105,39,FALSE)/VLOOKUP(A59,Ergebnis_je_Aktie_verwässert!A$3:AJ$103,10,FALSE),""),"")</f>
        <v>13.736559139784948</v>
      </c>
      <c r="H59" s="79">
        <f>IF(VLOOKUP(A59,Ergebnis_je_Aktie_verwässert!A$3:AJ$103,11,FALSE)&gt;0,IF(VLOOKUP(A59,Schlußkurse!A$5:AU$105,40,FALSE)&gt;0,VLOOKUP(A59,Schlußkurse!A$5:AU$105,40,FALSE)/VLOOKUP(A59,Ergebnis_je_Aktie_verwässert!A$3:AJ$103,11,FALSE),""),"")</f>
        <v>16.923404255319149</v>
      </c>
      <c r="I59" s="79">
        <f>IF(VLOOKUP(A59,Ergebnis_je_Aktie_verwässert!A$3:AJ$103,12,FALSE)&gt;0,IF(VLOOKUP(A59,Schlußkurse!A$5:AU$105,41,FALSE)&gt;0,VLOOKUP(A59,Schlußkurse!A$5:AU$105,41,FALSE)/VLOOKUP(A59,Ergebnis_je_Aktie_verwässert!A$3:AJ$103,12,FALSE),""),"")</f>
        <v>13.19074074074074</v>
      </c>
      <c r="J59" s="79">
        <f>IF(VLOOKUP(A59,Ergebnis_je_Aktie_verwässert!A$3:AJ$103,13,FALSE)&gt;0,IF(VLOOKUP(A59,Schlußkurse!A$5:AU$105,42,FALSE)&gt;0,VLOOKUP(A59,Schlußkurse!A$5:AU$105,42,FALSE)/VLOOKUP(A59,Ergebnis_je_Aktie_verwässert!A$3:AJ$103,13,FALSE),""),"")</f>
        <v>11.424107142857142</v>
      </c>
      <c r="K59" s="79">
        <f>IF(VLOOKUP(A59,Ergebnis_je_Aktie_verwässert!A$3:AJ$103,14,FALSE)&gt;0,IF(VLOOKUP(A59,Schlußkurse!A$5:AU$105,43,FALSE)&gt;0,VLOOKUP(A59,Schlußkurse!A$5:AU$105,43,FALSE)/VLOOKUP(A59,Ergebnis_je_Aktie_verwässert!A$3:AJ$103,14,FALSE),""),"")</f>
        <v>16.631578947368421</v>
      </c>
      <c r="L59" s="79">
        <f>IF(VLOOKUP(A59,Ergebnis_je_Aktie_verwässert!A$3:AJ$103,15,FALSE)&gt;0,IF(VLOOKUP(A59,Schlußkurse!A$5:AU$105,44,FALSE)&gt;0,VLOOKUP(A59,Schlußkurse!A$5:AU$105,44,FALSE)/VLOOKUP(A59,Ergebnis_je_Aktie_verwässert!A$3:AJ$103,15,FALSE),""),"")</f>
        <v>16.451612903225808</v>
      </c>
      <c r="M59" s="79">
        <f>IF(VLOOKUP(A59,Ergebnis_je_Aktie_verwässert!A$3:AJ$103,16,FALSE)&gt;0,IF(VLOOKUP(A59,Schlußkurse!A$5:AU$105,45,FALSE)&gt;0,VLOOKUP(A59,Schlußkurse!A$5:AU$105,45,FALSE)/VLOOKUP(A59,Ergebnis_je_Aktie_verwässert!A$3:AJ$103,16,FALSE),""),"")</f>
        <v>16.317610062893081</v>
      </c>
      <c r="N59" s="79">
        <f>IF(VLOOKUP(A59,Ergebnis_je_Aktie_verwässert!A$3:AJ$103,17,FALSE)&gt;0,IF(VLOOKUP(A59,Schlußkurse!A$5:AU$105,46,FALSE)&gt;0,VLOOKUP(A59,Schlußkurse!A$5:AU$105,46,FALSE)/VLOOKUP(A59,Ergebnis_je_Aktie_verwässert!A$3:AJ$103,17,FALSE),""),"")</f>
        <v>17.068965517241381</v>
      </c>
      <c r="O59" s="80">
        <f>IF(VLOOKUP(A59,Ergebnis_je_Aktie_verwässert!A$3:AJ$103,18,FALSE)&gt;0,IF(VLOOKUP(A59,Schlußkurse!A$5:AU$105,47,FALSE)&gt;0,VLOOKUP(A59,Schlußkurse!A$5:AU$105,47,FALSE)/VLOOKUP(A59,Ergebnis_je_Aktie_verwässert!A$3:AJ$103,18,FALSE),""),"")</f>
        <v>14.9512987012987</v>
      </c>
      <c r="P59" s="3">
        <f t="shared" si="2"/>
        <v>16.631578947368421</v>
      </c>
      <c r="Q59" s="3">
        <f ca="1">VLOOKUP(A59,Schlußkurse!A$5:AU$105,35,FALSE)/VLOOKUP(A59,Ergebnis_je_Aktie_verwässert!A$3:AK$103,23,FALSE)</f>
        <v>18.805414551607445</v>
      </c>
      <c r="R59" s="5">
        <f t="shared" ca="1" si="3"/>
        <v>0.13070530531816904</v>
      </c>
    </row>
    <row r="60" spans="1:18" x14ac:dyDescent="0.25">
      <c r="A60" t="s">
        <v>259</v>
      </c>
      <c r="B60" t="s">
        <v>260</v>
      </c>
      <c r="C60" s="78">
        <f>IF(VLOOKUP(A60,Ergebnis_je_Aktie_verwässert!A$3:AJ$103,6,FALSE)&gt;0,IF(VLOOKUP(A60,Schlußkurse!A$5:AU$105,35,FALSE)&gt;0,VLOOKUP(A60,Schlußkurse!A$5:AU$105,35,FALSE)/VLOOKUP(A60,Ergebnis_je_Aktie_verwässert!A$3:AJ$103,6,FALSE),""),"")</f>
        <v>15.805486284289278</v>
      </c>
      <c r="D60" s="79">
        <f>IF(VLOOKUP(A60,Ergebnis_je_Aktie_verwässert!A$3:AJ$103,7,FALSE)&gt;0,IF(VLOOKUP(A60,Schlußkurse!A$5:AU$105,36,FALSE)&gt;0,VLOOKUP(A60,Schlußkurse!A$5:AU$105,36,FALSE)/VLOOKUP(A60,Ergebnis_je_Aktie_verwässert!A$3:AJ$103,7,FALSE),""),"")</f>
        <v>17.269754768392371</v>
      </c>
      <c r="E60" s="79">
        <f>IF(VLOOKUP(A60,Ergebnis_je_Aktie_verwässert!A$3:AJ$103,8,FALSE)&gt;0,IF(VLOOKUP(A60,Schlußkurse!A$5:AU$105,37,FALSE)&gt;0,VLOOKUP(A60,Schlußkurse!A$5:AU$105,37,FALSE)/VLOOKUP(A60,Ergebnis_je_Aktie_verwässert!A$3:AJ$103,8,FALSE),""),"")</f>
        <v>18.643874643874643</v>
      </c>
      <c r="F60" s="79">
        <f>IF(VLOOKUP(A60,Ergebnis_je_Aktie_verwässert!A$3:AJ$103,9,FALSE)&gt;0,IF(VLOOKUP(A60,Schlußkurse!A$5:AU$105,38,FALSE)&gt;0,VLOOKUP(A60,Schlußkurse!A$5:AU$105,38,FALSE)/VLOOKUP(A60,Ergebnis_je_Aktie_verwässert!A$3:AJ$103,9,FALSE),""),"")</f>
        <v>15.986910994764399</v>
      </c>
      <c r="G60" s="79">
        <f>IF(VLOOKUP(A60,Ergebnis_je_Aktie_verwässert!A$3:AJ$103,10,FALSE)&gt;0,IF(VLOOKUP(A60,Schlußkurse!A$5:AU$105,39,FALSE)&gt;0,VLOOKUP(A60,Schlußkurse!A$5:AU$105,39,FALSE)/VLOOKUP(A60,Ergebnis_je_Aktie_verwässert!A$3:AJ$103,10,FALSE),""),"")</f>
        <v>14.697368421052632</v>
      </c>
      <c r="H60" s="79">
        <f>IF(VLOOKUP(A60,Ergebnis_je_Aktie_verwässert!A$3:AJ$103,11,FALSE)&gt;0,IF(VLOOKUP(A60,Schlußkurse!A$5:AU$105,40,FALSE)&gt;0,VLOOKUP(A60,Schlußkurse!A$5:AU$105,40,FALSE)/VLOOKUP(A60,Ergebnis_je_Aktie_verwässert!A$3:AJ$103,11,FALSE),""),"")</f>
        <v>13.969613259668508</v>
      </c>
      <c r="I60" s="79">
        <f>IF(VLOOKUP(A60,Ergebnis_je_Aktie_verwässert!A$3:AJ$103,12,FALSE)&gt;0,IF(VLOOKUP(A60,Schlußkurse!A$5:AU$105,41,FALSE)&gt;0,VLOOKUP(A60,Schlußkurse!A$5:AU$105,41,FALSE)/VLOOKUP(A60,Ergebnis_je_Aktie_verwässert!A$3:AJ$103,12,FALSE),""),"")</f>
        <v>14.032967032967033</v>
      </c>
      <c r="J60" s="79">
        <f>IF(VLOOKUP(A60,Ergebnis_je_Aktie_verwässert!A$3:AJ$103,13,FALSE)&gt;0,IF(VLOOKUP(A60,Schlußkurse!A$5:AU$105,42,FALSE)&gt;0,VLOOKUP(A60,Schlußkurse!A$5:AU$105,42,FALSE)/VLOOKUP(A60,Ergebnis_je_Aktie_verwässert!A$3:AJ$103,13,FALSE),""),"")</f>
        <v>16.121212121212125</v>
      </c>
      <c r="K60" s="79">
        <f>IF(VLOOKUP(A60,Ergebnis_je_Aktie_verwässert!A$3:AJ$103,14,FALSE)&gt;0,IF(VLOOKUP(A60,Schlußkurse!A$5:AU$105,43,FALSE)&gt;0,VLOOKUP(A60,Schlußkurse!A$5:AU$105,43,FALSE)/VLOOKUP(A60,Ergebnis_je_Aktie_verwässert!A$3:AJ$103,14,FALSE),""),"")</f>
        <v>13.876582278481013</v>
      </c>
      <c r="L60" s="79">
        <f>IF(VLOOKUP(A60,Ergebnis_je_Aktie_verwässert!A$3:AJ$103,15,FALSE)&gt;0,IF(VLOOKUP(A60,Schlußkurse!A$5:AU$105,44,FALSE)&gt;0,VLOOKUP(A60,Schlußkurse!A$5:AU$105,44,FALSE)/VLOOKUP(A60,Ergebnis_je_Aktie_verwässert!A$3:AJ$103,15,FALSE),""),"")</f>
        <v>17.535117056856187</v>
      </c>
      <c r="M60" s="79">
        <f>IF(VLOOKUP(A60,Ergebnis_je_Aktie_verwässert!A$3:AJ$103,16,FALSE)&gt;0,IF(VLOOKUP(A60,Schlußkurse!A$5:AU$105,45,FALSE)&gt;0,VLOOKUP(A60,Schlußkurse!A$5:AU$105,45,FALSE)/VLOOKUP(A60,Ergebnis_je_Aktie_verwässert!A$3:AJ$103,16,FALSE),""),"")</f>
        <v>18.166666666666668</v>
      </c>
      <c r="N60" s="79">
        <f>IF(VLOOKUP(A60,Ergebnis_je_Aktie_verwässert!A$3:AJ$103,17,FALSE)&gt;0,IF(VLOOKUP(A60,Schlußkurse!A$5:AU$105,46,FALSE)&gt;0,VLOOKUP(A60,Schlußkurse!A$5:AU$105,46,FALSE)/VLOOKUP(A60,Ergebnis_je_Aktie_verwässert!A$3:AJ$103,17,FALSE),""),"")</f>
        <v>17.438247011952193</v>
      </c>
      <c r="O60" s="80" t="str">
        <f>IF(VLOOKUP(A60,Ergebnis_je_Aktie_verwässert!A$3:AJ$103,18,FALSE)&gt;0,IF(VLOOKUP(A60,Schlußkurse!A$5:AU$105,47,FALSE)&gt;0,VLOOKUP(A60,Schlußkurse!A$5:AU$105,47,FALSE)/VLOOKUP(A60,Ergebnis_je_Aktie_verwässert!A$3:AJ$103,18,FALSE),""),"")</f>
        <v/>
      </c>
      <c r="P60" s="3">
        <f t="shared" si="2"/>
        <v>16.054061557988263</v>
      </c>
      <c r="Q60" s="3">
        <f ca="1">VLOOKUP(A60,Schlußkurse!A$5:AU$105,35,FALSE)/VLOOKUP(A60,Ergebnis_je_Aktie_verwässert!A$3:AK$103,23,FALSE)</f>
        <v>17.782280690816137</v>
      </c>
      <c r="R60" s="5">
        <f t="shared" ca="1" si="3"/>
        <v>0.10764996300689633</v>
      </c>
    </row>
    <row r="61" spans="1:18" x14ac:dyDescent="0.25">
      <c r="A61" t="s">
        <v>99</v>
      </c>
      <c r="B61" t="s">
        <v>100</v>
      </c>
      <c r="C61" s="78">
        <f>IF(VLOOKUP(A61,Ergebnis_je_Aktie_verwässert!A$3:AJ$103,6,FALSE)&gt;0,IF(VLOOKUP(A61,Schlußkurse!A$5:AU$105,35,FALSE)&gt;0,VLOOKUP(A61,Schlußkurse!A$5:AU$105,35,FALSE)/VLOOKUP(A61,Ergebnis_je_Aktie_verwässert!A$3:AJ$103,6,FALSE),""),"")</f>
        <v>17.007680491551461</v>
      </c>
      <c r="D61" s="79">
        <f>IF(VLOOKUP(A61,Ergebnis_je_Aktie_verwässert!A$3:AJ$103,7,FALSE)&gt;0,IF(VLOOKUP(A61,Schlußkurse!A$5:AU$105,36,FALSE)&gt;0,VLOOKUP(A61,Schlußkurse!A$5:AU$105,36,FALSE)/VLOOKUP(A61,Ergebnis_je_Aktie_verwässert!A$3:AJ$103,7,FALSE),""),"")</f>
        <v>17.944894651539709</v>
      </c>
      <c r="E61" s="79">
        <f>IF(VLOOKUP(A61,Ergebnis_je_Aktie_verwässert!A$3:AJ$103,8,FALSE)&gt;0,IF(VLOOKUP(A61,Schlußkurse!A$5:AU$105,37,FALSE)&gt;0,VLOOKUP(A61,Schlußkurse!A$5:AU$105,37,FALSE)/VLOOKUP(A61,Ergebnis_je_Aktie_verwässert!A$3:AJ$103,8,FALSE),""),"")</f>
        <v>21.758945386064031</v>
      </c>
      <c r="F61" s="79">
        <f>IF(VLOOKUP(A61,Ergebnis_je_Aktie_verwässert!A$3:AJ$103,9,FALSE)&gt;0,IF(VLOOKUP(A61,Schlußkurse!A$5:AU$105,38,FALSE)&gt;0,VLOOKUP(A61,Schlußkurse!A$5:AU$105,38,FALSE)/VLOOKUP(A61,Ergebnis_je_Aktie_verwässert!A$3:AJ$103,9,FALSE),""),"")</f>
        <v>18.958257713248639</v>
      </c>
      <c r="G61" s="79">
        <f>IF(VLOOKUP(A61,Ergebnis_je_Aktie_verwässert!A$3:AJ$103,10,FALSE)&gt;0,IF(VLOOKUP(A61,Schlußkurse!A$5:AU$105,39,FALSE)&gt;0,VLOOKUP(A61,Schlußkurse!A$5:AU$105,39,FALSE)/VLOOKUP(A61,Ergebnis_je_Aktie_verwässert!A$3:AJ$103,10,FALSE),""),"")</f>
        <v>15.267631103074141</v>
      </c>
      <c r="H61" s="79">
        <f>IF(VLOOKUP(A61,Ergebnis_je_Aktie_verwässert!A$3:AJ$103,11,FALSE)&gt;0,IF(VLOOKUP(A61,Schlußkurse!A$5:AU$105,40,FALSE)&gt;0,VLOOKUP(A61,Schlußkurse!A$5:AU$105,40,FALSE)/VLOOKUP(A61,Ergebnis_je_Aktie_verwässert!A$3:AJ$103,11,FALSE),""),"")</f>
        <v>16.642533936651585</v>
      </c>
      <c r="I61" s="79">
        <f>IF(VLOOKUP(A61,Ergebnis_je_Aktie_verwässert!A$3:AJ$103,12,FALSE)&gt;0,IF(VLOOKUP(A61,Schlußkurse!A$5:AU$105,41,FALSE)&gt;0,VLOOKUP(A61,Schlußkurse!A$5:AU$105,41,FALSE)/VLOOKUP(A61,Ergebnis_je_Aktie_verwässert!A$3:AJ$103,12,FALSE),""),"")</f>
        <v>15.799498746867167</v>
      </c>
      <c r="J61" s="79">
        <f>IF(VLOOKUP(A61,Ergebnis_je_Aktie_verwässert!A$3:AJ$103,13,FALSE)&gt;0,IF(VLOOKUP(A61,Schlußkurse!A$5:AU$105,42,FALSE)&gt;0,VLOOKUP(A61,Schlußkurse!A$5:AU$105,42,FALSE)/VLOOKUP(A61,Ergebnis_je_Aktie_verwässert!A$3:AJ$103,13,FALSE),""),"")</f>
        <v>14.316853932584269</v>
      </c>
      <c r="K61" s="79">
        <f>IF(VLOOKUP(A61,Ergebnis_je_Aktie_verwässert!A$3:AJ$103,14,FALSE)&gt;0,IF(VLOOKUP(A61,Schlußkurse!A$5:AU$105,43,FALSE)&gt;0,VLOOKUP(A61,Schlußkurse!A$5:AU$105,43,FALSE)/VLOOKUP(A61,Ergebnis_je_Aktie_verwässert!A$3:AJ$103,14,FALSE),""),"")</f>
        <v>11.668141592920355</v>
      </c>
      <c r="L61" s="79">
        <f>IF(VLOOKUP(A61,Ergebnis_je_Aktie_verwässert!A$3:AJ$103,15,FALSE)&gt;0,IF(VLOOKUP(A61,Schlußkurse!A$5:AU$105,44,FALSE)&gt;0,VLOOKUP(A61,Schlußkurse!A$5:AU$105,44,FALSE)/VLOOKUP(A61,Ergebnis_je_Aktie_verwässert!A$3:AJ$103,15,FALSE),""),"")</f>
        <v>17.163366336633665</v>
      </c>
      <c r="M61" s="79">
        <f>IF(VLOOKUP(A61,Ergebnis_je_Aktie_verwässert!A$3:AJ$103,16,FALSE)&gt;0,IF(VLOOKUP(A61,Schlußkurse!A$5:AU$105,45,FALSE)&gt;0,VLOOKUP(A61,Schlußkurse!A$5:AU$105,45,FALSE)/VLOOKUP(A61,Ergebnis_je_Aktie_verwässert!A$3:AJ$103,16,FALSE),""),"")</f>
        <v>16.613691931540345</v>
      </c>
      <c r="N61" s="79">
        <f>IF(VLOOKUP(A61,Ergebnis_je_Aktie_verwässert!A$3:AJ$103,17,FALSE)&gt;0,IF(VLOOKUP(A61,Schlußkurse!A$5:AU$105,46,FALSE)&gt;0,VLOOKUP(A61,Schlußkurse!A$5:AU$105,46,FALSE)/VLOOKUP(A61,Ergebnis_je_Aktie_verwässert!A$3:AJ$103,17,FALSE),""),"")</f>
        <v>18.661538461538463</v>
      </c>
      <c r="O61" s="80">
        <f>IF(VLOOKUP(A61,Ergebnis_je_Aktie_verwässert!A$3:AJ$103,18,FALSE)&gt;0,IF(VLOOKUP(A61,Schlußkurse!A$5:AU$105,47,FALSE)&gt;0,VLOOKUP(A61,Schlußkurse!A$5:AU$105,47,FALSE)/VLOOKUP(A61,Ergebnis_je_Aktie_verwässert!A$3:AJ$103,18,FALSE),""),"")</f>
        <v>20.064024390243905</v>
      </c>
      <c r="P61" s="3">
        <f t="shared" si="2"/>
        <v>17.007680491551461</v>
      </c>
      <c r="Q61" s="3">
        <f ca="1">VLOOKUP(A61,Schlußkurse!A$5:AU$105,35,FALSE)/VLOOKUP(A61,Ergebnis_je_Aktie_verwässert!A$3:AK$103,23,FALSE)</f>
        <v>19.766330113264434</v>
      </c>
      <c r="R61" s="5">
        <f t="shared" ca="1" si="3"/>
        <v>0.16220022613214824</v>
      </c>
    </row>
    <row r="62" spans="1:18" x14ac:dyDescent="0.25">
      <c r="A62" t="s">
        <v>261</v>
      </c>
      <c r="B62" t="s">
        <v>262</v>
      </c>
      <c r="C62" s="78">
        <f>IF(VLOOKUP(A62,Ergebnis_je_Aktie_verwässert!A$3:AJ$103,6,FALSE)&gt;0,IF(VLOOKUP(A62,Schlußkurse!A$5:AU$105,35,FALSE)&gt;0,VLOOKUP(A62,Schlußkurse!A$5:AU$105,35,FALSE)/VLOOKUP(A62,Ergebnis_je_Aktie_verwässert!A$3:AJ$103,6,FALSE),""),"")</f>
        <v>17.871287128712872</v>
      </c>
      <c r="D62" s="79">
        <f>IF(VLOOKUP(A62,Ergebnis_je_Aktie_verwässert!A$3:AJ$103,7,FALSE)&gt;0,IF(VLOOKUP(A62,Schlußkurse!A$5:AU$105,36,FALSE)&gt;0,VLOOKUP(A62,Schlußkurse!A$5:AU$105,36,FALSE)/VLOOKUP(A62,Ergebnis_je_Aktie_verwässert!A$3:AJ$103,7,FALSE),""),"")</f>
        <v>21.694711538461537</v>
      </c>
      <c r="E62" s="79">
        <f>IF(VLOOKUP(A62,Ergebnis_je_Aktie_verwässert!A$3:AJ$103,8,FALSE)&gt;0,IF(VLOOKUP(A62,Schlußkurse!A$5:AU$105,37,FALSE)&gt;0,VLOOKUP(A62,Schlußkurse!A$5:AU$105,37,FALSE)/VLOOKUP(A62,Ergebnis_je_Aktie_verwässert!A$3:AJ$103,8,FALSE),""),"")</f>
        <v>24.901734104046241</v>
      </c>
      <c r="F62" s="79">
        <f>IF(VLOOKUP(A62,Ergebnis_je_Aktie_verwässert!A$3:AJ$103,9,FALSE)&gt;0,IF(VLOOKUP(A62,Schlußkurse!A$5:AU$105,38,FALSE)&gt;0,VLOOKUP(A62,Schlußkurse!A$5:AU$105,38,FALSE)/VLOOKUP(A62,Ergebnis_je_Aktie_verwässert!A$3:AJ$103,9,FALSE),""),"")</f>
        <v>26.950322580645164</v>
      </c>
      <c r="G62" s="79">
        <f>IF(VLOOKUP(A62,Ergebnis_je_Aktie_verwässert!A$3:AJ$103,10,FALSE)&gt;0,IF(VLOOKUP(A62,Schlußkurse!A$5:AU$105,39,FALSE)&gt;0,VLOOKUP(A62,Schlußkurse!A$5:AU$105,39,FALSE)/VLOOKUP(A62,Ergebnis_je_Aktie_verwässert!A$3:AJ$103,10,FALSE),""),"")</f>
        <v>19.190625000000001</v>
      </c>
      <c r="H62" s="79">
        <f>IF(VLOOKUP(A62,Ergebnis_je_Aktie_verwässert!A$3:AJ$103,11,FALSE)&gt;0,IF(VLOOKUP(A62,Schlußkurse!A$5:AU$105,40,FALSE)&gt;0,VLOOKUP(A62,Schlußkurse!A$5:AU$105,40,FALSE)/VLOOKUP(A62,Ergebnis_je_Aktie_verwässert!A$3:AJ$103,11,FALSE),""),"")</f>
        <v>17.023744292237442</v>
      </c>
      <c r="I62" s="79">
        <f>IF(VLOOKUP(A62,Ergebnis_je_Aktie_verwässert!A$3:AJ$103,12,FALSE)&gt;0,IF(VLOOKUP(A62,Schlußkurse!A$5:AU$105,41,FALSE)&gt;0,VLOOKUP(A62,Schlußkurse!A$5:AU$105,41,FALSE)/VLOOKUP(A62,Ergebnis_je_Aktie_verwässert!A$3:AJ$103,12,FALSE),""),"")</f>
        <v>15.040939597315438</v>
      </c>
      <c r="J62" s="79">
        <f>IF(VLOOKUP(A62,Ergebnis_je_Aktie_verwässert!A$3:AJ$103,13,FALSE)&gt;0,IF(VLOOKUP(A62,Schlußkurse!A$5:AU$105,42,FALSE)&gt;0,VLOOKUP(A62,Schlußkurse!A$5:AU$105,42,FALSE)/VLOOKUP(A62,Ergebnis_je_Aktie_verwässert!A$3:AJ$103,13,FALSE),""),"")</f>
        <v>18.154609929078013</v>
      </c>
      <c r="K62" s="79">
        <f>IF(VLOOKUP(A62,Ergebnis_je_Aktie_verwässert!A$3:AJ$103,14,FALSE)&gt;0,IF(VLOOKUP(A62,Schlußkurse!A$5:AU$105,43,FALSE)&gt;0,VLOOKUP(A62,Schlußkurse!A$5:AU$105,43,FALSE)/VLOOKUP(A62,Ergebnis_je_Aktie_verwässert!A$3:AJ$103,14,FALSE),""),"")</f>
        <v>12.761607142857141</v>
      </c>
      <c r="L62" s="79">
        <f>IF(VLOOKUP(A62,Ergebnis_je_Aktie_verwässert!A$3:AJ$103,15,FALSE)&gt;0,IF(VLOOKUP(A62,Schlußkurse!A$5:AU$105,44,FALSE)&gt;0,VLOOKUP(A62,Schlußkurse!A$5:AU$105,44,FALSE)/VLOOKUP(A62,Ergebnis_je_Aktie_verwässert!A$3:AJ$103,15,FALSE),""),"")</f>
        <v>20.495238095238093</v>
      </c>
      <c r="M62" s="79" t="str">
        <f>IF(VLOOKUP(A62,Ergebnis_je_Aktie_verwässert!A$3:AJ$103,16,FALSE)&gt;0,IF(VLOOKUP(A62,Schlußkurse!A$5:AU$105,45,FALSE)&gt;0,VLOOKUP(A62,Schlußkurse!A$5:AU$105,45,FALSE)/VLOOKUP(A62,Ergebnis_je_Aktie_verwässert!A$3:AJ$103,16,FALSE),""),"")</f>
        <v/>
      </c>
      <c r="N62" s="79" t="str">
        <f>IF(VLOOKUP(A62,Ergebnis_je_Aktie_verwässert!A$3:AJ$103,17,FALSE)&gt;0,IF(VLOOKUP(A62,Schlußkurse!A$5:AU$105,46,FALSE)&gt;0,VLOOKUP(A62,Schlußkurse!A$5:AU$105,46,FALSE)/VLOOKUP(A62,Ergebnis_je_Aktie_verwässert!A$3:AJ$103,17,FALSE),""),"")</f>
        <v/>
      </c>
      <c r="O62" s="80" t="str">
        <f>IF(VLOOKUP(A62,Ergebnis_je_Aktie_verwässert!A$3:AJ$103,18,FALSE)&gt;0,IF(VLOOKUP(A62,Schlußkurse!A$5:AU$105,47,FALSE)&gt;0,VLOOKUP(A62,Schlußkurse!A$5:AU$105,47,FALSE)/VLOOKUP(A62,Ergebnis_je_Aktie_verwässert!A$3:AJ$103,18,FALSE),""),"")</f>
        <v/>
      </c>
      <c r="P62" s="3">
        <f t="shared" si="2"/>
        <v>18.672617464539009</v>
      </c>
      <c r="Q62" s="3">
        <f ca="1">VLOOKUP(A62,Schlußkurse!A$5:AU$105,35,FALSE)/VLOOKUP(A62,Ergebnis_je_Aktie_verwässert!A$3:AK$103,23,FALSE)</f>
        <v>24.410217881292262</v>
      </c>
      <c r="R62" s="5">
        <f t="shared" ca="1" si="3"/>
        <v>0.3072734943373352</v>
      </c>
    </row>
    <row r="63" spans="1:18" x14ac:dyDescent="0.25">
      <c r="A63" t="s">
        <v>263</v>
      </c>
      <c r="B63" t="s">
        <v>264</v>
      </c>
      <c r="C63" s="78">
        <f>IF(VLOOKUP(A63,Ergebnis_je_Aktie_verwässert!A$3:AJ$103,6,FALSE)&gt;0,IF(VLOOKUP(A63,Schlußkurse!A$5:AU$105,35,FALSE)&gt;0,VLOOKUP(A63,Schlußkurse!A$5:AU$105,35,FALSE)/VLOOKUP(A63,Ergebnis_je_Aktie_verwässert!A$3:AJ$103,6,FALSE),""),"")</f>
        <v>18.850877192982455</v>
      </c>
      <c r="D63" s="79">
        <f>IF(VLOOKUP(A63,Ergebnis_je_Aktie_verwässert!A$3:AJ$103,7,FALSE)&gt;0,IF(VLOOKUP(A63,Schlußkurse!A$5:AU$105,36,FALSE)&gt;0,VLOOKUP(A63,Schlußkurse!A$5:AU$105,36,FALSE)/VLOOKUP(A63,Ergebnis_je_Aktie_verwässert!A$3:AJ$103,7,FALSE),""),"")</f>
        <v>20.703275529865124</v>
      </c>
      <c r="E63" s="79">
        <f>IF(VLOOKUP(A63,Ergebnis_je_Aktie_verwässert!A$3:AJ$103,8,FALSE)&gt;0,IF(VLOOKUP(A63,Schlußkurse!A$5:AU$105,37,FALSE)&gt;0,VLOOKUP(A63,Schlußkurse!A$5:AU$105,37,FALSE)/VLOOKUP(A63,Ergebnis_je_Aktie_verwässert!A$3:AJ$103,8,FALSE),""),"")</f>
        <v>20.964989059080963</v>
      </c>
      <c r="F63" s="79">
        <f>IF(VLOOKUP(A63,Ergebnis_je_Aktie_verwässert!A$3:AJ$103,9,FALSE)&gt;0,IF(VLOOKUP(A63,Schlußkurse!A$5:AU$105,38,FALSE)&gt;0,VLOOKUP(A63,Schlußkurse!A$5:AU$105,38,FALSE)/VLOOKUP(A63,Ergebnis_je_Aktie_verwässert!A$3:AJ$103,9,FALSE),""),"")</f>
        <v>17.021691973969631</v>
      </c>
      <c r="G63" s="79">
        <f>IF(VLOOKUP(A63,Ergebnis_je_Aktie_verwässert!A$3:AJ$103,10,FALSE)&gt;0,IF(VLOOKUP(A63,Schlußkurse!A$5:AU$105,39,FALSE)&gt;0,VLOOKUP(A63,Schlußkurse!A$5:AU$105,39,FALSE)/VLOOKUP(A63,Ergebnis_je_Aktie_verwässert!A$3:AJ$103,10,FALSE),""),"")</f>
        <v>13.977777777777778</v>
      </c>
      <c r="H63" s="79">
        <f>IF(VLOOKUP(A63,Ergebnis_je_Aktie_verwässert!A$3:AJ$103,11,FALSE)&gt;0,IF(VLOOKUP(A63,Schlußkurse!A$5:AU$105,40,FALSE)&gt;0,VLOOKUP(A63,Schlußkurse!A$5:AU$105,40,FALSE)/VLOOKUP(A63,Ergebnis_je_Aktie_verwässert!A$3:AJ$103,11,FALSE),""),"")</f>
        <v>11.042622950819673</v>
      </c>
      <c r="I63" s="79">
        <f>IF(VLOOKUP(A63,Ergebnis_je_Aktie_verwässert!A$3:AJ$103,12,FALSE)&gt;0,IF(VLOOKUP(A63,Schlußkurse!A$5:AU$105,41,FALSE)&gt;0,VLOOKUP(A63,Schlußkurse!A$5:AU$105,41,FALSE)/VLOOKUP(A63,Ergebnis_je_Aktie_verwässert!A$3:AJ$103,12,FALSE),""),"")</f>
        <v>10.65863453815261</v>
      </c>
      <c r="J63" s="79">
        <f>IF(VLOOKUP(A63,Ergebnis_je_Aktie_verwässert!A$3:AJ$103,13,FALSE)&gt;0,IF(VLOOKUP(A63,Schlußkurse!A$5:AU$105,42,FALSE)&gt;0,VLOOKUP(A63,Schlußkurse!A$5:AU$105,42,FALSE)/VLOOKUP(A63,Ergebnis_je_Aktie_verwässert!A$3:AJ$103,13,FALSE),""),"")</f>
        <v>12.465116279069768</v>
      </c>
      <c r="K63" s="79">
        <f>IF(VLOOKUP(A63,Ergebnis_je_Aktie_verwässert!A$3:AJ$103,14,FALSE)&gt;0,IF(VLOOKUP(A63,Schlußkurse!A$5:AU$105,43,FALSE)&gt;0,VLOOKUP(A63,Schlußkurse!A$5:AU$105,43,FALSE)/VLOOKUP(A63,Ergebnis_je_Aktie_verwässert!A$3:AJ$103,14,FALSE),""),"")</f>
        <v>11.887573964497042</v>
      </c>
      <c r="L63" s="79">
        <f>IF(VLOOKUP(A63,Ergebnis_je_Aktie_verwässert!A$3:AJ$103,15,FALSE)&gt;0,IF(VLOOKUP(A63,Schlußkurse!A$5:AU$105,44,FALSE)&gt;0,VLOOKUP(A63,Schlußkurse!A$5:AU$105,44,FALSE)/VLOOKUP(A63,Ergebnis_je_Aktie_verwässert!A$3:AJ$103,15,FALSE),""),"")</f>
        <v>19.09090909090909</v>
      </c>
      <c r="M63" s="79">
        <f>IF(VLOOKUP(A63,Ergebnis_je_Aktie_verwässert!A$3:AJ$103,16,FALSE)&gt;0,IF(VLOOKUP(A63,Schlußkurse!A$5:AU$105,45,FALSE)&gt;0,VLOOKUP(A63,Schlußkurse!A$5:AU$105,45,FALSE)/VLOOKUP(A63,Ergebnis_je_Aktie_verwässert!A$3:AJ$103,16,FALSE),""),"")</f>
        <v>26.767441860465116</v>
      </c>
      <c r="N63" s="79">
        <f>IF(VLOOKUP(A63,Ergebnis_je_Aktie_verwässert!A$3:AJ$103,17,FALSE)&gt;0,IF(VLOOKUP(A63,Schlußkurse!A$5:AU$105,46,FALSE)&gt;0,VLOOKUP(A63,Schlußkurse!A$5:AU$105,46,FALSE)/VLOOKUP(A63,Ergebnis_je_Aktie_verwässert!A$3:AJ$103,17,FALSE),""),"")</f>
        <v>23.97674418604651</v>
      </c>
      <c r="O63" s="80" t="str">
        <f>IF(VLOOKUP(A63,Ergebnis_je_Aktie_verwässert!A$3:AJ$103,18,FALSE)&gt;0,IF(VLOOKUP(A63,Schlußkurse!A$5:AU$105,47,FALSE)&gt;0,VLOOKUP(A63,Schlußkurse!A$5:AU$105,47,FALSE)/VLOOKUP(A63,Ergebnis_je_Aktie_verwässert!A$3:AJ$103,18,FALSE),""),"")</f>
        <v/>
      </c>
      <c r="P63" s="3">
        <f t="shared" si="2"/>
        <v>17.936284583476045</v>
      </c>
      <c r="Q63" s="3">
        <f ca="1">VLOOKUP(A63,Schlußkurse!A$5:AU$105,35,FALSE)/VLOOKUP(A63,Ergebnis_je_Aktie_verwässert!A$3:AK$103,23,FALSE)</f>
        <v>22.478556983798612</v>
      </c>
      <c r="R63" s="5">
        <f t="shared" ca="1" si="3"/>
        <v>0.25324488910636345</v>
      </c>
    </row>
    <row r="64" spans="1:18" x14ac:dyDescent="0.25">
      <c r="A64" t="s">
        <v>276</v>
      </c>
      <c r="B64" t="s">
        <v>281</v>
      </c>
      <c r="C64" s="78">
        <f>IF(VLOOKUP(A64,Ergebnis_je_Aktie_verwässert!A$3:AJ$103,6,FALSE)&gt;0,IF(VLOOKUP(A64,Schlußkurse!A$5:AU$105,35,FALSE)&gt;0,VLOOKUP(A64,Schlußkurse!A$5:AU$105,35,FALSE)/VLOOKUP(A64,Ergebnis_je_Aktie_verwässert!A$3:AJ$103,6,FALSE),""),"")</f>
        <v>14.078066914498141</v>
      </c>
      <c r="D64" s="79">
        <f>IF(VLOOKUP(A64,Ergebnis_je_Aktie_verwässert!A$3:AJ$103,7,FALSE)&gt;0,IF(VLOOKUP(A64,Schlußkurse!A$5:AU$105,36,FALSE)&gt;0,VLOOKUP(A64,Schlußkurse!A$5:AU$105,36,FALSE)/VLOOKUP(A64,Ergebnis_je_Aktie_verwässert!A$3:AJ$103,7,FALSE),""),"")</f>
        <v>16.183760683760685</v>
      </c>
      <c r="E64" s="79">
        <f>IF(VLOOKUP(A64,Ergebnis_je_Aktie_verwässert!A$3:AJ$103,8,FALSE)&gt;0,IF(VLOOKUP(A64,Schlußkurse!A$5:AU$105,37,FALSE)&gt;0,VLOOKUP(A64,Schlußkurse!A$5:AU$105,37,FALSE)/VLOOKUP(A64,Ergebnis_je_Aktie_verwässert!A$3:AJ$103,8,FALSE),""),"")</f>
        <v>16.174400000000002</v>
      </c>
      <c r="F64" s="79">
        <f>IF(VLOOKUP(A64,Ergebnis_je_Aktie_verwässert!A$3:AJ$103,9,FALSE)&gt;0,IF(VLOOKUP(A64,Schlußkurse!A$5:AU$105,38,FALSE)&gt;0,VLOOKUP(A64,Schlußkurse!A$5:AU$105,38,FALSE)/VLOOKUP(A64,Ergebnis_je_Aktie_verwässert!A$3:AJ$103,9,FALSE),""),"")</f>
        <v>13.210526315789473</v>
      </c>
      <c r="G64" s="79">
        <f>IF(VLOOKUP(A64,Ergebnis_je_Aktie_verwässert!A$3:AJ$103,10,FALSE)&gt;0,IF(VLOOKUP(A64,Schlußkurse!A$5:AU$105,39,FALSE)&gt;0,VLOOKUP(A64,Schlußkurse!A$5:AU$105,39,FALSE)/VLOOKUP(A64,Ergebnis_je_Aktie_verwässert!A$3:AJ$103,10,FALSE),""),"")</f>
        <v>9.8618181818181814</v>
      </c>
      <c r="H64" s="79">
        <f>IF(VLOOKUP(A64,Ergebnis_je_Aktie_verwässert!A$3:AJ$103,11,FALSE)&gt;0,IF(VLOOKUP(A64,Schlußkurse!A$5:AU$105,40,FALSE)&gt;0,VLOOKUP(A64,Schlußkurse!A$5:AU$105,40,FALSE)/VLOOKUP(A64,Ergebnis_je_Aktie_verwässert!A$3:AJ$103,11,FALSE),""),"")</f>
        <v>9.5984848484848477</v>
      </c>
      <c r="I64" s="79">
        <f>IF(VLOOKUP(A64,Ergebnis_je_Aktie_verwässert!A$3:AJ$103,12,FALSE)&gt;0,IF(VLOOKUP(A64,Schlußkurse!A$5:AU$105,41,FALSE)&gt;0,VLOOKUP(A64,Schlußkurse!A$5:AU$105,41,FALSE)/VLOOKUP(A64,Ergebnis_je_Aktie_verwässert!A$3:AJ$103,12,FALSE),""),"")</f>
        <v>7.634249471458773</v>
      </c>
      <c r="J64" s="79">
        <f>IF(VLOOKUP(A64,Ergebnis_je_Aktie_verwässert!A$3:AJ$103,13,FALSE)&gt;0,IF(VLOOKUP(A64,Schlußkurse!A$5:AU$105,42,FALSE)&gt;0,VLOOKUP(A64,Schlußkurse!A$5:AU$105,42,FALSE)/VLOOKUP(A64,Ergebnis_je_Aktie_verwässert!A$3:AJ$103,13,FALSE),""),"")</f>
        <v>7.434146341463415</v>
      </c>
      <c r="K64" s="79">
        <f>IF(VLOOKUP(A64,Ergebnis_je_Aktie_verwässert!A$3:AJ$103,14,FALSE)&gt;0,IF(VLOOKUP(A64,Schlußkurse!A$5:AU$105,43,FALSE)&gt;0,VLOOKUP(A64,Schlußkurse!A$5:AU$105,43,FALSE)/VLOOKUP(A64,Ergebnis_je_Aktie_verwässert!A$3:AJ$103,14,FALSE),""),"")</f>
        <v>8.2098765432098766</v>
      </c>
      <c r="L64" s="79">
        <f>IF(VLOOKUP(A64,Ergebnis_je_Aktie_verwässert!A$3:AJ$103,15,FALSE)&gt;0,IF(VLOOKUP(A64,Schlußkurse!A$5:AU$105,44,FALSE)&gt;0,VLOOKUP(A64,Schlußkurse!A$5:AU$105,44,FALSE)/VLOOKUP(A64,Ergebnis_je_Aktie_verwässert!A$3:AJ$103,15,FALSE),""),"")</f>
        <v>24.250000000000004</v>
      </c>
      <c r="M64" s="79">
        <f>IF(VLOOKUP(A64,Ergebnis_je_Aktie_verwässert!A$3:AJ$103,16,FALSE)&gt;0,IF(VLOOKUP(A64,Schlußkurse!A$5:AU$105,45,FALSE)&gt;0,VLOOKUP(A64,Schlußkurse!A$5:AU$105,45,FALSE)/VLOOKUP(A64,Ergebnis_je_Aktie_verwässert!A$3:AJ$103,16,FALSE),""),"")</f>
        <v>15.730994152046783</v>
      </c>
      <c r="N64" s="79">
        <f>IF(VLOOKUP(A64,Ergebnis_je_Aktie_verwässert!A$3:AJ$103,17,FALSE)&gt;0,IF(VLOOKUP(A64,Schlußkurse!A$5:AU$105,46,FALSE)&gt;0,VLOOKUP(A64,Schlußkurse!A$5:AU$105,46,FALSE)/VLOOKUP(A64,Ergebnis_je_Aktie_verwässert!A$3:AJ$103,17,FALSE),""),"")</f>
        <v>20.915824915824913</v>
      </c>
      <c r="O64" s="80">
        <f>IF(VLOOKUP(A64,Ergebnis_je_Aktie_verwässert!A$3:AJ$103,18,FALSE)&gt;0,IF(VLOOKUP(A64,Schlußkurse!A$5:AU$105,47,FALSE)&gt;0,VLOOKUP(A64,Schlußkurse!A$5:AU$105,47,FALSE)/VLOOKUP(A64,Ergebnis_je_Aktie_verwässert!A$3:AJ$103,18,FALSE),""),"")</f>
        <v>17.778225806451616</v>
      </c>
      <c r="P64" s="3">
        <f t="shared" si="2"/>
        <v>14.078066914498141</v>
      </c>
      <c r="Q64" s="3">
        <f ca="1">VLOOKUP(A64,Schlußkurse!A$5:AU$105,35,FALSE)/VLOOKUP(A64,Ergebnis_je_Aktie_verwässert!A$3:AK$103,23,FALSE)</f>
        <v>17.449081461129552</v>
      </c>
      <c r="R64" s="5">
        <f t="shared" ca="1" si="3"/>
        <v>0.23945152179663309</v>
      </c>
    </row>
    <row r="65" spans="1:18" x14ac:dyDescent="0.25">
      <c r="A65" t="s">
        <v>265</v>
      </c>
      <c r="B65" t="s">
        <v>266</v>
      </c>
      <c r="C65" s="78">
        <f>IF(VLOOKUP(A65,Ergebnis_je_Aktie_verwässert!A$3:AJ$103,6,FALSE)&gt;0,IF(VLOOKUP(A65,Schlußkurse!A$5:AU$105,35,FALSE)&gt;0,VLOOKUP(A65,Schlußkurse!A$5:AU$105,35,FALSE)/VLOOKUP(A65,Ergebnis_je_Aktie_verwässert!A$3:AJ$103,6,FALSE),""),"")</f>
        <v>19.295128939828079</v>
      </c>
      <c r="D65" s="79">
        <f>IF(VLOOKUP(A65,Ergebnis_je_Aktie_verwässert!A$3:AJ$103,7,FALSE)&gt;0,IF(VLOOKUP(A65,Schlußkurse!A$5:AU$105,36,FALSE)&gt;0,VLOOKUP(A65,Schlußkurse!A$5:AU$105,36,FALSE)/VLOOKUP(A65,Ergebnis_je_Aktie_verwässert!A$3:AJ$103,7,FALSE),""),"")</f>
        <v>22.521739130434781</v>
      </c>
      <c r="E65" s="79">
        <f>IF(VLOOKUP(A65,Ergebnis_je_Aktie_verwässert!A$3:AJ$103,8,FALSE)&gt;0,IF(VLOOKUP(A65,Schlußkurse!A$5:AU$105,37,FALSE)&gt;0,VLOOKUP(A65,Schlußkurse!A$5:AU$105,37,FALSE)/VLOOKUP(A65,Ergebnis_je_Aktie_verwässert!A$3:AJ$103,8,FALSE),""),"")</f>
        <v>20.595559845559848</v>
      </c>
      <c r="F65" s="79">
        <f>IF(VLOOKUP(A65,Ergebnis_je_Aktie_verwässert!A$3:AJ$103,9,FALSE)&gt;0,IF(VLOOKUP(A65,Schlußkurse!A$5:AU$105,38,FALSE)&gt;0,VLOOKUP(A65,Schlußkurse!A$5:AU$105,38,FALSE)/VLOOKUP(A65,Ergebnis_je_Aktie_verwässert!A$3:AJ$103,9,FALSE),""),"")</f>
        <v>22.220930232558139</v>
      </c>
      <c r="G65" s="79">
        <f>IF(VLOOKUP(A65,Ergebnis_je_Aktie_verwässert!A$3:AJ$103,10,FALSE)&gt;0,IF(VLOOKUP(A65,Schlußkurse!A$5:AU$105,39,FALSE)&gt;0,VLOOKUP(A65,Schlußkurse!A$5:AU$105,39,FALSE)/VLOOKUP(A65,Ergebnis_je_Aktie_verwässert!A$3:AJ$103,10,FALSE),""),"")</f>
        <v>17.668421052631579</v>
      </c>
      <c r="H65" s="79">
        <f>IF(VLOOKUP(A65,Ergebnis_je_Aktie_verwässert!A$3:AJ$103,11,FALSE)&gt;0,IF(VLOOKUP(A65,Schlußkurse!A$5:AU$105,40,FALSE)&gt;0,VLOOKUP(A65,Schlußkurse!A$5:AU$105,40,FALSE)/VLOOKUP(A65,Ergebnis_je_Aktie_verwässert!A$3:AJ$103,11,FALSE),""),"")</f>
        <v>13.915584415584416</v>
      </c>
      <c r="I65" s="79">
        <f>IF(VLOOKUP(A65,Ergebnis_je_Aktie_verwässert!A$3:AJ$103,12,FALSE)&gt;0,IF(VLOOKUP(A65,Schlußkurse!A$5:AU$105,41,FALSE)&gt;0,VLOOKUP(A65,Schlußkurse!A$5:AU$105,41,FALSE)/VLOOKUP(A65,Ergebnis_je_Aktie_verwässert!A$3:AJ$103,12,FALSE),""),"")</f>
        <v>14.391472868217054</v>
      </c>
      <c r="J65" s="79">
        <f>IF(VLOOKUP(A65,Ergebnis_je_Aktie_verwässert!A$3:AJ$103,13,FALSE)&gt;0,IF(VLOOKUP(A65,Schlußkurse!A$5:AU$105,42,FALSE)&gt;0,VLOOKUP(A65,Schlußkurse!A$5:AU$105,42,FALSE)/VLOOKUP(A65,Ergebnis_je_Aktie_verwässert!A$3:AJ$103,13,FALSE),""),"")</f>
        <v>17.2775</v>
      </c>
      <c r="K65" s="79">
        <f>IF(VLOOKUP(A65,Ergebnis_je_Aktie_verwässert!A$3:AJ$103,14,FALSE)&gt;0,IF(VLOOKUP(A65,Schlußkurse!A$5:AU$105,43,FALSE)&gt;0,VLOOKUP(A65,Schlußkurse!A$5:AU$105,43,FALSE)/VLOOKUP(A65,Ergebnis_je_Aktie_verwässert!A$3:AJ$103,14,FALSE),""),"")</f>
        <v>19.676282051282051</v>
      </c>
      <c r="L65" s="79" t="str">
        <f>IF(VLOOKUP(A65,Ergebnis_je_Aktie_verwässert!A$3:AJ$103,15,FALSE)&gt;0,IF(VLOOKUP(A65,Schlußkurse!A$5:AU$105,44,FALSE)&gt;0,VLOOKUP(A65,Schlußkurse!A$5:AU$105,44,FALSE)/VLOOKUP(A65,Ergebnis_je_Aktie_verwässert!A$3:AJ$103,15,FALSE),""),"")</f>
        <v/>
      </c>
      <c r="M65" s="79" t="str">
        <f>IF(VLOOKUP(A65,Ergebnis_je_Aktie_verwässert!A$3:AJ$103,16,FALSE)&gt;0,IF(VLOOKUP(A65,Schlußkurse!A$5:AU$105,45,FALSE)&gt;0,VLOOKUP(A65,Schlußkurse!A$5:AU$105,45,FALSE)/VLOOKUP(A65,Ergebnis_je_Aktie_verwässert!A$3:AJ$103,16,FALSE),""),"")</f>
        <v/>
      </c>
      <c r="N65" s="79" t="str">
        <f>IF(VLOOKUP(A65,Ergebnis_je_Aktie_verwässert!A$3:AJ$103,17,FALSE)&gt;0,IF(VLOOKUP(A65,Schlußkurse!A$5:AU$105,46,FALSE)&gt;0,VLOOKUP(A65,Schlußkurse!A$5:AU$105,46,FALSE)/VLOOKUP(A65,Ergebnis_je_Aktie_verwässert!A$3:AJ$103,17,FALSE),""),"")</f>
        <v/>
      </c>
      <c r="O65" s="80" t="str">
        <f>IF(VLOOKUP(A65,Ergebnis_je_Aktie_verwässert!A$3:AJ$103,18,FALSE)&gt;0,IF(VLOOKUP(A65,Schlußkurse!A$5:AU$105,47,FALSE)&gt;0,VLOOKUP(A65,Schlußkurse!A$5:AU$105,47,FALSE)/VLOOKUP(A65,Ergebnis_je_Aktie_verwässert!A$3:AJ$103,18,FALSE),""),"")</f>
        <v/>
      </c>
      <c r="P65" s="3">
        <f t="shared" si="2"/>
        <v>19.295128939828079</v>
      </c>
      <c r="Q65" s="3">
        <f ca="1">VLOOKUP(A65,Schlußkurse!A$5:AU$105,35,FALSE)/VLOOKUP(A65,Ergebnis_je_Aktie_verwässert!A$3:AK$103,23,FALSE)</f>
        <v>23.82311320754717</v>
      </c>
      <c r="R65" s="5">
        <f t="shared" ca="1" si="3"/>
        <v>0.23466981132075482</v>
      </c>
    </row>
    <row r="66" spans="1:18" x14ac:dyDescent="0.25">
      <c r="C66" s="78" t="e">
        <f>IF(VLOOKUP(A66,Ergebnis_je_Aktie_verwässert!A$3:AJ$103,6,FALSE)&gt;0,IF(VLOOKUP(A66,Schlußkurse!A$5:AU$105,35,FALSE)&gt;0,VLOOKUP(A66,Schlußkurse!A$5:AU$105,35,FALSE)/VLOOKUP(A66,Ergebnis_je_Aktie_verwässert!A$3:AJ$103,6,FALSE),""),"")</f>
        <v>#N/A</v>
      </c>
      <c r="D66" s="79" t="e">
        <f>IF(VLOOKUP(A66,Ergebnis_je_Aktie_verwässert!A$3:AJ$103,7,FALSE)&gt;0,IF(VLOOKUP(A66,Schlußkurse!A$5:AU$105,36,FALSE)&gt;0,VLOOKUP(A66,Schlußkurse!A$5:AU$105,36,FALSE)/VLOOKUP(A66,Ergebnis_je_Aktie_verwässert!A$3:AJ$103,7,FALSE),""),"")</f>
        <v>#N/A</v>
      </c>
      <c r="E66" s="79" t="e">
        <f>IF(VLOOKUP(A66,Ergebnis_je_Aktie_verwässert!A$3:AJ$103,8,FALSE)&gt;0,IF(VLOOKUP(A66,Schlußkurse!A$5:AU$105,37,FALSE)&gt;0,VLOOKUP(A66,Schlußkurse!A$5:AU$105,37,FALSE)/VLOOKUP(A66,Ergebnis_je_Aktie_verwässert!A$3:AJ$103,8,FALSE),""),"")</f>
        <v>#N/A</v>
      </c>
      <c r="F66" s="79" t="e">
        <f>IF(VLOOKUP(A66,Ergebnis_je_Aktie_verwässert!A$3:AJ$103,9,FALSE)&gt;0,IF(VLOOKUP(A66,Schlußkurse!A$5:AU$105,38,FALSE)&gt;0,VLOOKUP(A66,Schlußkurse!A$5:AU$105,38,FALSE)/VLOOKUP(A66,Ergebnis_je_Aktie_verwässert!A$3:AJ$103,9,FALSE),""),"")</f>
        <v>#N/A</v>
      </c>
      <c r="G66" s="79" t="e">
        <f>IF(VLOOKUP(A66,Ergebnis_je_Aktie_verwässert!A$3:AJ$103,10,FALSE)&gt;0,IF(VLOOKUP(A66,Schlußkurse!A$5:AU$105,39,FALSE)&gt;0,VLOOKUP(A66,Schlußkurse!A$5:AU$105,39,FALSE)/VLOOKUP(A66,Ergebnis_je_Aktie_verwässert!A$3:AJ$103,10,FALSE),""),"")</f>
        <v>#N/A</v>
      </c>
      <c r="H66" s="79" t="e">
        <f>IF(VLOOKUP(A66,Ergebnis_je_Aktie_verwässert!A$3:AJ$103,11,FALSE)&gt;0,IF(VLOOKUP(A66,Schlußkurse!A$5:AU$105,40,FALSE)&gt;0,VLOOKUP(A66,Schlußkurse!A$5:AU$105,40,FALSE)/VLOOKUP(A66,Ergebnis_je_Aktie_verwässert!A$3:AJ$103,11,FALSE),""),"")</f>
        <v>#N/A</v>
      </c>
      <c r="I66" s="79" t="e">
        <f>IF(VLOOKUP(A66,Ergebnis_je_Aktie_verwässert!A$3:AJ$103,12,FALSE)&gt;0,IF(VLOOKUP(A66,Schlußkurse!A$5:AU$105,41,FALSE)&gt;0,VLOOKUP(A66,Schlußkurse!A$5:AU$105,41,FALSE)/VLOOKUP(A66,Ergebnis_je_Aktie_verwässert!A$3:AJ$103,12,FALSE),""),"")</f>
        <v>#N/A</v>
      </c>
      <c r="J66" s="79" t="e">
        <f>IF(VLOOKUP(A66,Ergebnis_je_Aktie_verwässert!A$3:AJ$103,13,FALSE)&gt;0,IF(VLOOKUP(A66,Schlußkurse!A$5:AU$105,42,FALSE)&gt;0,VLOOKUP(A66,Schlußkurse!A$5:AU$105,42,FALSE)/VLOOKUP(A66,Ergebnis_je_Aktie_verwässert!A$3:AJ$103,13,FALSE),""),"")</f>
        <v>#N/A</v>
      </c>
      <c r="K66" s="79" t="e">
        <f>IF(VLOOKUP(A66,Ergebnis_je_Aktie_verwässert!A$3:AJ$103,14,FALSE)&gt;0,IF(VLOOKUP(A66,Schlußkurse!A$5:AU$105,43,FALSE)&gt;0,VLOOKUP(A66,Schlußkurse!A$5:AU$105,43,FALSE)/VLOOKUP(A66,Ergebnis_je_Aktie_verwässert!A$3:AJ$103,14,FALSE),""),"")</f>
        <v>#N/A</v>
      </c>
      <c r="L66" s="79" t="e">
        <f>IF(VLOOKUP(A66,Ergebnis_je_Aktie_verwässert!A$3:AJ$103,15,FALSE)&gt;0,IF(VLOOKUP(A66,Schlußkurse!A$5:AU$105,44,FALSE)&gt;0,VLOOKUP(A66,Schlußkurse!A$5:AU$105,44,FALSE)/VLOOKUP(A66,Ergebnis_je_Aktie_verwässert!A$3:AJ$103,15,FALSE),""),"")</f>
        <v>#N/A</v>
      </c>
      <c r="M66" s="79" t="e">
        <f>IF(VLOOKUP(A66,Ergebnis_je_Aktie_verwässert!A$3:AJ$103,16,FALSE)&gt;0,IF(VLOOKUP(A66,Schlußkurse!A$5:AU$105,45,FALSE)&gt;0,VLOOKUP(A66,Schlußkurse!A$5:AU$105,45,FALSE)/VLOOKUP(A66,Ergebnis_je_Aktie_verwässert!A$3:AJ$103,16,FALSE),""),"")</f>
        <v>#N/A</v>
      </c>
      <c r="N66" s="79" t="e">
        <f>IF(VLOOKUP(A66,Ergebnis_je_Aktie_verwässert!A$3:AJ$103,17,FALSE)&gt;0,IF(VLOOKUP(A66,Schlußkurse!A$5:AU$105,46,FALSE)&gt;0,VLOOKUP(A66,Schlußkurse!A$5:AU$105,46,FALSE)/VLOOKUP(A66,Ergebnis_je_Aktie_verwässert!A$3:AJ$103,17,FALSE),""),"")</f>
        <v>#N/A</v>
      </c>
      <c r="O66" s="80" t="e">
        <f>IF(VLOOKUP(A66,Ergebnis_je_Aktie_verwässert!A$3:AJ$103,18,FALSE)&gt;0,IF(VLOOKUP(A66,Schlußkurse!A$5:AU$105,47,FALSE)&gt;0,VLOOKUP(A66,Schlußkurse!A$5:AU$105,47,FALSE)/VLOOKUP(A66,Ergebnis_je_Aktie_verwässert!A$3:AJ$103,18,FALSE),""),"")</f>
        <v>#N/A</v>
      </c>
      <c r="P66" s="3" t="e">
        <f t="shared" si="2"/>
        <v>#N/A</v>
      </c>
      <c r="Q66" s="3" t="e">
        <f>VLOOKUP(A66,Schlußkurse!A$5:AU$105,35,FALSE)/VLOOKUP(A66,Ergebnis_je_Aktie_verwässert!A$3:AK$103,23,FALSE)</f>
        <v>#N/A</v>
      </c>
      <c r="R66" s="5" t="e">
        <f t="shared" si="3"/>
        <v>#N/A</v>
      </c>
    </row>
    <row r="67" spans="1:18" x14ac:dyDescent="0.25">
      <c r="C67" s="78" t="e">
        <f>IF(VLOOKUP(A67,Ergebnis_je_Aktie_verwässert!A$3:AJ$103,6,FALSE)&gt;0,IF(VLOOKUP(A67,Schlußkurse!A$5:AU$105,35,FALSE)&gt;0,VLOOKUP(A67,Schlußkurse!A$5:AU$105,35,FALSE)/VLOOKUP(A67,Ergebnis_je_Aktie_verwässert!A$3:AJ$103,6,FALSE),""),"")</f>
        <v>#N/A</v>
      </c>
      <c r="D67" s="79" t="e">
        <f>IF(VLOOKUP(A67,Ergebnis_je_Aktie_verwässert!A$3:AJ$103,7,FALSE)&gt;0,IF(VLOOKUP(A67,Schlußkurse!A$5:AU$105,36,FALSE)&gt;0,VLOOKUP(A67,Schlußkurse!A$5:AU$105,36,FALSE)/VLOOKUP(A67,Ergebnis_je_Aktie_verwässert!A$3:AJ$103,7,FALSE),""),"")</f>
        <v>#N/A</v>
      </c>
      <c r="E67" s="79" t="e">
        <f>IF(VLOOKUP(A67,Ergebnis_je_Aktie_verwässert!A$3:AJ$103,8,FALSE)&gt;0,IF(VLOOKUP(A67,Schlußkurse!A$5:AU$105,37,FALSE)&gt;0,VLOOKUP(A67,Schlußkurse!A$5:AU$105,37,FALSE)/VLOOKUP(A67,Ergebnis_je_Aktie_verwässert!A$3:AJ$103,8,FALSE),""),"")</f>
        <v>#N/A</v>
      </c>
      <c r="F67" s="79" t="e">
        <f>IF(VLOOKUP(A67,Ergebnis_je_Aktie_verwässert!A$3:AJ$103,9,FALSE)&gt;0,IF(VLOOKUP(A67,Schlußkurse!A$5:AU$105,38,FALSE)&gt;0,VLOOKUP(A67,Schlußkurse!A$5:AU$105,38,FALSE)/VLOOKUP(A67,Ergebnis_je_Aktie_verwässert!A$3:AJ$103,9,FALSE),""),"")</f>
        <v>#N/A</v>
      </c>
      <c r="G67" s="79" t="e">
        <f>IF(VLOOKUP(A67,Ergebnis_je_Aktie_verwässert!A$3:AJ$103,10,FALSE)&gt;0,IF(VLOOKUP(A67,Schlußkurse!A$5:AU$105,39,FALSE)&gt;0,VLOOKUP(A67,Schlußkurse!A$5:AU$105,39,FALSE)/VLOOKUP(A67,Ergebnis_je_Aktie_verwässert!A$3:AJ$103,10,FALSE),""),"")</f>
        <v>#N/A</v>
      </c>
      <c r="H67" s="79" t="e">
        <f>IF(VLOOKUP(A67,Ergebnis_je_Aktie_verwässert!A$3:AJ$103,11,FALSE)&gt;0,IF(VLOOKUP(A67,Schlußkurse!A$5:AU$105,40,FALSE)&gt;0,VLOOKUP(A67,Schlußkurse!A$5:AU$105,40,FALSE)/VLOOKUP(A67,Ergebnis_je_Aktie_verwässert!A$3:AJ$103,11,FALSE),""),"")</f>
        <v>#N/A</v>
      </c>
      <c r="I67" s="79" t="e">
        <f>IF(VLOOKUP(A67,Ergebnis_je_Aktie_verwässert!A$3:AJ$103,12,FALSE)&gt;0,IF(VLOOKUP(A67,Schlußkurse!A$5:AU$105,41,FALSE)&gt;0,VLOOKUP(A67,Schlußkurse!A$5:AU$105,41,FALSE)/VLOOKUP(A67,Ergebnis_je_Aktie_verwässert!A$3:AJ$103,12,FALSE),""),"")</f>
        <v>#N/A</v>
      </c>
      <c r="J67" s="79" t="e">
        <f>IF(VLOOKUP(A67,Ergebnis_je_Aktie_verwässert!A$3:AJ$103,13,FALSE)&gt;0,IF(VLOOKUP(A67,Schlußkurse!A$5:AU$105,42,FALSE)&gt;0,VLOOKUP(A67,Schlußkurse!A$5:AU$105,42,FALSE)/VLOOKUP(A67,Ergebnis_je_Aktie_verwässert!A$3:AJ$103,13,FALSE),""),"")</f>
        <v>#N/A</v>
      </c>
      <c r="K67" s="79" t="e">
        <f>IF(VLOOKUP(A67,Ergebnis_je_Aktie_verwässert!A$3:AJ$103,14,FALSE)&gt;0,IF(VLOOKUP(A67,Schlußkurse!A$5:AU$105,43,FALSE)&gt;0,VLOOKUP(A67,Schlußkurse!A$5:AU$105,43,FALSE)/VLOOKUP(A67,Ergebnis_je_Aktie_verwässert!A$3:AJ$103,14,FALSE),""),"")</f>
        <v>#N/A</v>
      </c>
      <c r="L67" s="79" t="e">
        <f>IF(VLOOKUP(A67,Ergebnis_je_Aktie_verwässert!A$3:AJ$103,15,FALSE)&gt;0,IF(VLOOKUP(A67,Schlußkurse!A$5:AU$105,44,FALSE)&gt;0,VLOOKUP(A67,Schlußkurse!A$5:AU$105,44,FALSE)/VLOOKUP(A67,Ergebnis_je_Aktie_verwässert!A$3:AJ$103,15,FALSE),""),"")</f>
        <v>#N/A</v>
      </c>
      <c r="M67" s="79" t="e">
        <f>IF(VLOOKUP(A67,Ergebnis_je_Aktie_verwässert!A$3:AJ$103,16,FALSE)&gt;0,IF(VLOOKUP(A67,Schlußkurse!A$5:AU$105,45,FALSE)&gt;0,VLOOKUP(A67,Schlußkurse!A$5:AU$105,45,FALSE)/VLOOKUP(A67,Ergebnis_je_Aktie_verwässert!A$3:AJ$103,16,FALSE),""),"")</f>
        <v>#N/A</v>
      </c>
      <c r="N67" s="79" t="e">
        <f>IF(VLOOKUP(A67,Ergebnis_je_Aktie_verwässert!A$3:AJ$103,17,FALSE)&gt;0,IF(VLOOKUP(A67,Schlußkurse!A$5:AU$105,46,FALSE)&gt;0,VLOOKUP(A67,Schlußkurse!A$5:AU$105,46,FALSE)/VLOOKUP(A67,Ergebnis_je_Aktie_verwässert!A$3:AJ$103,17,FALSE),""),"")</f>
        <v>#N/A</v>
      </c>
      <c r="O67" s="80" t="e">
        <f>IF(VLOOKUP(A67,Ergebnis_je_Aktie_verwässert!A$3:AJ$103,18,FALSE)&gt;0,IF(VLOOKUP(A67,Schlußkurse!A$5:AU$105,47,FALSE)&gt;0,VLOOKUP(A67,Schlußkurse!A$5:AU$105,47,FALSE)/VLOOKUP(A67,Ergebnis_je_Aktie_verwässert!A$3:AJ$103,18,FALSE),""),"")</f>
        <v>#N/A</v>
      </c>
      <c r="P67" s="3" t="e">
        <f t="shared" si="2"/>
        <v>#N/A</v>
      </c>
      <c r="Q67" s="3" t="e">
        <f>VLOOKUP(A67,Schlußkurse!A$5:AU$105,35,FALSE)/VLOOKUP(A67,Ergebnis_je_Aktie_verwässert!A$3:AK$103,23,FALSE)</f>
        <v>#N/A</v>
      </c>
      <c r="R67" s="5" t="e">
        <f t="shared" si="3"/>
        <v>#N/A</v>
      </c>
    </row>
    <row r="68" spans="1:18" x14ac:dyDescent="0.25">
      <c r="C68" s="78" t="e">
        <f>IF(VLOOKUP(A68,Ergebnis_je_Aktie_verwässert!A$3:AJ$103,6,FALSE)&gt;0,IF(VLOOKUP(A68,Schlußkurse!A$5:AU$105,35,FALSE)&gt;0,VLOOKUP(A68,Schlußkurse!A$5:AU$105,35,FALSE)/VLOOKUP(A68,Ergebnis_je_Aktie_verwässert!A$3:AJ$103,6,FALSE),""),"")</f>
        <v>#N/A</v>
      </c>
      <c r="D68" s="79" t="e">
        <f>IF(VLOOKUP(A68,Ergebnis_je_Aktie_verwässert!A$3:AJ$103,7,FALSE)&gt;0,IF(VLOOKUP(A68,Schlußkurse!A$5:AU$105,36,FALSE)&gt;0,VLOOKUP(A68,Schlußkurse!A$5:AU$105,36,FALSE)/VLOOKUP(A68,Ergebnis_je_Aktie_verwässert!A$3:AJ$103,7,FALSE),""),"")</f>
        <v>#N/A</v>
      </c>
      <c r="E68" s="79" t="e">
        <f>IF(VLOOKUP(A68,Ergebnis_je_Aktie_verwässert!A$3:AJ$103,8,FALSE)&gt;0,IF(VLOOKUP(A68,Schlußkurse!A$5:AU$105,37,FALSE)&gt;0,VLOOKUP(A68,Schlußkurse!A$5:AU$105,37,FALSE)/VLOOKUP(A68,Ergebnis_je_Aktie_verwässert!A$3:AJ$103,8,FALSE),""),"")</f>
        <v>#N/A</v>
      </c>
      <c r="F68" s="79" t="e">
        <f>IF(VLOOKUP(A68,Ergebnis_je_Aktie_verwässert!A$3:AJ$103,9,FALSE)&gt;0,IF(VLOOKUP(A68,Schlußkurse!A$5:AU$105,38,FALSE)&gt;0,VLOOKUP(A68,Schlußkurse!A$5:AU$105,38,FALSE)/VLOOKUP(A68,Ergebnis_je_Aktie_verwässert!A$3:AJ$103,9,FALSE),""),"")</f>
        <v>#N/A</v>
      </c>
      <c r="G68" s="79" t="e">
        <f>IF(VLOOKUP(A68,Ergebnis_je_Aktie_verwässert!A$3:AJ$103,10,FALSE)&gt;0,IF(VLOOKUP(A68,Schlußkurse!A$5:AU$105,39,FALSE)&gt;0,VLOOKUP(A68,Schlußkurse!A$5:AU$105,39,FALSE)/VLOOKUP(A68,Ergebnis_je_Aktie_verwässert!A$3:AJ$103,10,FALSE),""),"")</f>
        <v>#N/A</v>
      </c>
      <c r="H68" s="79" t="e">
        <f>IF(VLOOKUP(A68,Ergebnis_je_Aktie_verwässert!A$3:AJ$103,11,FALSE)&gt;0,IF(VLOOKUP(A68,Schlußkurse!A$5:AU$105,40,FALSE)&gt;0,VLOOKUP(A68,Schlußkurse!A$5:AU$105,40,FALSE)/VLOOKUP(A68,Ergebnis_je_Aktie_verwässert!A$3:AJ$103,11,FALSE),""),"")</f>
        <v>#N/A</v>
      </c>
      <c r="I68" s="79" t="e">
        <f>IF(VLOOKUP(A68,Ergebnis_je_Aktie_verwässert!A$3:AJ$103,12,FALSE)&gt;0,IF(VLOOKUP(A68,Schlußkurse!A$5:AU$105,41,FALSE)&gt;0,VLOOKUP(A68,Schlußkurse!A$5:AU$105,41,FALSE)/VLOOKUP(A68,Ergebnis_je_Aktie_verwässert!A$3:AJ$103,12,FALSE),""),"")</f>
        <v>#N/A</v>
      </c>
      <c r="J68" s="79" t="e">
        <f>IF(VLOOKUP(A68,Ergebnis_je_Aktie_verwässert!A$3:AJ$103,13,FALSE)&gt;0,IF(VLOOKUP(A68,Schlußkurse!A$5:AU$105,42,FALSE)&gt;0,VLOOKUP(A68,Schlußkurse!A$5:AU$105,42,FALSE)/VLOOKUP(A68,Ergebnis_je_Aktie_verwässert!A$3:AJ$103,13,FALSE),""),"")</f>
        <v>#N/A</v>
      </c>
      <c r="K68" s="79" t="e">
        <f>IF(VLOOKUP(A68,Ergebnis_je_Aktie_verwässert!A$3:AJ$103,14,FALSE)&gt;0,IF(VLOOKUP(A68,Schlußkurse!A$5:AU$105,43,FALSE)&gt;0,VLOOKUP(A68,Schlußkurse!A$5:AU$105,43,FALSE)/VLOOKUP(A68,Ergebnis_je_Aktie_verwässert!A$3:AJ$103,14,FALSE),""),"")</f>
        <v>#N/A</v>
      </c>
      <c r="L68" s="79" t="e">
        <f>IF(VLOOKUP(A68,Ergebnis_je_Aktie_verwässert!A$3:AJ$103,15,FALSE)&gt;0,IF(VLOOKUP(A68,Schlußkurse!A$5:AU$105,44,FALSE)&gt;0,VLOOKUP(A68,Schlußkurse!A$5:AU$105,44,FALSE)/VLOOKUP(A68,Ergebnis_je_Aktie_verwässert!A$3:AJ$103,15,FALSE),""),"")</f>
        <v>#N/A</v>
      </c>
      <c r="M68" s="79" t="e">
        <f>IF(VLOOKUP(A68,Ergebnis_je_Aktie_verwässert!A$3:AJ$103,16,FALSE)&gt;0,IF(VLOOKUP(A68,Schlußkurse!A$5:AU$105,45,FALSE)&gt;0,VLOOKUP(A68,Schlußkurse!A$5:AU$105,45,FALSE)/VLOOKUP(A68,Ergebnis_je_Aktie_verwässert!A$3:AJ$103,16,FALSE),""),"")</f>
        <v>#N/A</v>
      </c>
      <c r="N68" s="79" t="e">
        <f>IF(VLOOKUP(A68,Ergebnis_je_Aktie_verwässert!A$3:AJ$103,17,FALSE)&gt;0,IF(VLOOKUP(A68,Schlußkurse!A$5:AU$105,46,FALSE)&gt;0,VLOOKUP(A68,Schlußkurse!A$5:AU$105,46,FALSE)/VLOOKUP(A68,Ergebnis_je_Aktie_verwässert!A$3:AJ$103,17,FALSE),""),"")</f>
        <v>#N/A</v>
      </c>
      <c r="O68" s="80" t="e">
        <f>IF(VLOOKUP(A68,Ergebnis_je_Aktie_verwässert!A$3:AJ$103,18,FALSE)&gt;0,IF(VLOOKUP(A68,Schlußkurse!A$5:AU$105,47,FALSE)&gt;0,VLOOKUP(A68,Schlußkurse!A$5:AU$105,47,FALSE)/VLOOKUP(A68,Ergebnis_je_Aktie_verwässert!A$3:AJ$103,18,FALSE),""),"")</f>
        <v>#N/A</v>
      </c>
      <c r="P68" s="3" t="e">
        <f t="shared" si="2"/>
        <v>#N/A</v>
      </c>
      <c r="Q68" s="3" t="e">
        <f>VLOOKUP(A68,Schlußkurse!A$5:AU$105,35,FALSE)/VLOOKUP(A68,Ergebnis_je_Aktie_verwässert!A$3:AK$103,23,FALSE)</f>
        <v>#N/A</v>
      </c>
      <c r="R68" s="5" t="e">
        <f t="shared" si="3"/>
        <v>#N/A</v>
      </c>
    </row>
    <row r="69" spans="1:18" x14ac:dyDescent="0.25">
      <c r="C69" s="78" t="e">
        <f>IF(VLOOKUP(A69,Ergebnis_je_Aktie_verwässert!A$3:AJ$103,6,FALSE)&gt;0,IF(VLOOKUP(A69,Schlußkurse!A$5:AU$105,35,FALSE)&gt;0,VLOOKUP(A69,Schlußkurse!A$5:AU$105,35,FALSE)/VLOOKUP(A69,Ergebnis_je_Aktie_verwässert!A$3:AJ$103,6,FALSE),""),"")</f>
        <v>#N/A</v>
      </c>
      <c r="D69" s="79" t="e">
        <f>IF(VLOOKUP(A69,Ergebnis_je_Aktie_verwässert!A$3:AJ$103,7,FALSE)&gt;0,IF(VLOOKUP(A69,Schlußkurse!A$5:AU$105,36,FALSE)&gt;0,VLOOKUP(A69,Schlußkurse!A$5:AU$105,36,FALSE)/VLOOKUP(A69,Ergebnis_je_Aktie_verwässert!A$3:AJ$103,7,FALSE),""),"")</f>
        <v>#N/A</v>
      </c>
      <c r="E69" s="79" t="e">
        <f>IF(VLOOKUP(A69,Ergebnis_je_Aktie_verwässert!A$3:AJ$103,8,FALSE)&gt;0,IF(VLOOKUP(A69,Schlußkurse!A$5:AU$105,37,FALSE)&gt;0,VLOOKUP(A69,Schlußkurse!A$5:AU$105,37,FALSE)/VLOOKUP(A69,Ergebnis_je_Aktie_verwässert!A$3:AJ$103,8,FALSE),""),"")</f>
        <v>#N/A</v>
      </c>
      <c r="F69" s="79" t="e">
        <f>IF(VLOOKUP(A69,Ergebnis_je_Aktie_verwässert!A$3:AJ$103,9,FALSE)&gt;0,IF(VLOOKUP(A69,Schlußkurse!A$5:AU$105,38,FALSE)&gt;0,VLOOKUP(A69,Schlußkurse!A$5:AU$105,38,FALSE)/VLOOKUP(A69,Ergebnis_je_Aktie_verwässert!A$3:AJ$103,9,FALSE),""),"")</f>
        <v>#N/A</v>
      </c>
      <c r="G69" s="79" t="e">
        <f>IF(VLOOKUP(A69,Ergebnis_je_Aktie_verwässert!A$3:AJ$103,10,FALSE)&gt;0,IF(VLOOKUP(A69,Schlußkurse!A$5:AU$105,39,FALSE)&gt;0,VLOOKUP(A69,Schlußkurse!A$5:AU$105,39,FALSE)/VLOOKUP(A69,Ergebnis_je_Aktie_verwässert!A$3:AJ$103,10,FALSE),""),"")</f>
        <v>#N/A</v>
      </c>
      <c r="H69" s="79" t="e">
        <f>IF(VLOOKUP(A69,Ergebnis_je_Aktie_verwässert!A$3:AJ$103,11,FALSE)&gt;0,IF(VLOOKUP(A69,Schlußkurse!A$5:AU$105,40,FALSE)&gt;0,VLOOKUP(A69,Schlußkurse!A$5:AU$105,40,FALSE)/VLOOKUP(A69,Ergebnis_je_Aktie_verwässert!A$3:AJ$103,11,FALSE),""),"")</f>
        <v>#N/A</v>
      </c>
      <c r="I69" s="79" t="e">
        <f>IF(VLOOKUP(A69,Ergebnis_je_Aktie_verwässert!A$3:AJ$103,12,FALSE)&gt;0,IF(VLOOKUP(A69,Schlußkurse!A$5:AU$105,41,FALSE)&gt;0,VLOOKUP(A69,Schlußkurse!A$5:AU$105,41,FALSE)/VLOOKUP(A69,Ergebnis_je_Aktie_verwässert!A$3:AJ$103,12,FALSE),""),"")</f>
        <v>#N/A</v>
      </c>
      <c r="J69" s="79" t="e">
        <f>IF(VLOOKUP(A69,Ergebnis_je_Aktie_verwässert!A$3:AJ$103,13,FALSE)&gt;0,IF(VLOOKUP(A69,Schlußkurse!A$5:AU$105,42,FALSE)&gt;0,VLOOKUP(A69,Schlußkurse!A$5:AU$105,42,FALSE)/VLOOKUP(A69,Ergebnis_je_Aktie_verwässert!A$3:AJ$103,13,FALSE),""),"")</f>
        <v>#N/A</v>
      </c>
      <c r="K69" s="79" t="e">
        <f>IF(VLOOKUP(A69,Ergebnis_je_Aktie_verwässert!A$3:AJ$103,14,FALSE)&gt;0,IF(VLOOKUP(A69,Schlußkurse!A$5:AU$105,43,FALSE)&gt;0,VLOOKUP(A69,Schlußkurse!A$5:AU$105,43,FALSE)/VLOOKUP(A69,Ergebnis_je_Aktie_verwässert!A$3:AJ$103,14,FALSE),""),"")</f>
        <v>#N/A</v>
      </c>
      <c r="L69" s="79" t="e">
        <f>IF(VLOOKUP(A69,Ergebnis_je_Aktie_verwässert!A$3:AJ$103,15,FALSE)&gt;0,IF(VLOOKUP(A69,Schlußkurse!A$5:AU$105,44,FALSE)&gt;0,VLOOKUP(A69,Schlußkurse!A$5:AU$105,44,FALSE)/VLOOKUP(A69,Ergebnis_je_Aktie_verwässert!A$3:AJ$103,15,FALSE),""),"")</f>
        <v>#N/A</v>
      </c>
      <c r="M69" s="79" t="e">
        <f>IF(VLOOKUP(A69,Ergebnis_je_Aktie_verwässert!A$3:AJ$103,16,FALSE)&gt;0,IF(VLOOKUP(A69,Schlußkurse!A$5:AU$105,45,FALSE)&gt;0,VLOOKUP(A69,Schlußkurse!A$5:AU$105,45,FALSE)/VLOOKUP(A69,Ergebnis_je_Aktie_verwässert!A$3:AJ$103,16,FALSE),""),"")</f>
        <v>#N/A</v>
      </c>
      <c r="N69" s="79" t="e">
        <f>IF(VLOOKUP(A69,Ergebnis_je_Aktie_verwässert!A$3:AJ$103,17,FALSE)&gt;0,IF(VLOOKUP(A69,Schlußkurse!A$5:AU$105,46,FALSE)&gt;0,VLOOKUP(A69,Schlußkurse!A$5:AU$105,46,FALSE)/VLOOKUP(A69,Ergebnis_je_Aktie_verwässert!A$3:AJ$103,17,FALSE),""),"")</f>
        <v>#N/A</v>
      </c>
      <c r="O69" s="80" t="e">
        <f>IF(VLOOKUP(A69,Ergebnis_je_Aktie_verwässert!A$3:AJ$103,18,FALSE)&gt;0,IF(VLOOKUP(A69,Schlußkurse!A$5:AU$105,47,FALSE)&gt;0,VLOOKUP(A69,Schlußkurse!A$5:AU$105,47,FALSE)/VLOOKUP(A69,Ergebnis_je_Aktie_verwässert!A$3:AJ$103,18,FALSE),""),"")</f>
        <v>#N/A</v>
      </c>
      <c r="P69" s="3" t="e">
        <f t="shared" si="2"/>
        <v>#N/A</v>
      </c>
      <c r="Q69" s="3" t="e">
        <f>VLOOKUP(A69,Schlußkurse!A$5:AU$105,35,FALSE)/VLOOKUP(A69,Ergebnis_je_Aktie_verwässert!A$3:AK$103,23,FALSE)</f>
        <v>#N/A</v>
      </c>
      <c r="R69" s="5" t="e">
        <f t="shared" si="3"/>
        <v>#N/A</v>
      </c>
    </row>
    <row r="70" spans="1:18" x14ac:dyDescent="0.25">
      <c r="C70" s="78" t="e">
        <f>IF(VLOOKUP(A70,Ergebnis_je_Aktie_verwässert!A$3:AJ$103,6,FALSE)&gt;0,IF(VLOOKUP(A70,Schlußkurse!A$5:AU$105,35,FALSE)&gt;0,VLOOKUP(A70,Schlußkurse!A$5:AU$105,35,FALSE)/VLOOKUP(A70,Ergebnis_je_Aktie_verwässert!A$3:AJ$103,6,FALSE),""),"")</f>
        <v>#N/A</v>
      </c>
      <c r="D70" s="79" t="e">
        <f>IF(VLOOKUP(A70,Ergebnis_je_Aktie_verwässert!A$3:AJ$103,7,FALSE)&gt;0,IF(VLOOKUP(A70,Schlußkurse!A$5:AU$105,36,FALSE)&gt;0,VLOOKUP(A70,Schlußkurse!A$5:AU$105,36,FALSE)/VLOOKUP(A70,Ergebnis_je_Aktie_verwässert!A$3:AJ$103,7,FALSE),""),"")</f>
        <v>#N/A</v>
      </c>
      <c r="E70" s="79" t="e">
        <f>IF(VLOOKUP(A70,Ergebnis_je_Aktie_verwässert!A$3:AJ$103,8,FALSE)&gt;0,IF(VLOOKUP(A70,Schlußkurse!A$5:AU$105,37,FALSE)&gt;0,VLOOKUP(A70,Schlußkurse!A$5:AU$105,37,FALSE)/VLOOKUP(A70,Ergebnis_je_Aktie_verwässert!A$3:AJ$103,8,FALSE),""),"")</f>
        <v>#N/A</v>
      </c>
      <c r="F70" s="79" t="e">
        <f>IF(VLOOKUP(A70,Ergebnis_je_Aktie_verwässert!A$3:AJ$103,9,FALSE)&gt;0,IF(VLOOKUP(A70,Schlußkurse!A$5:AU$105,38,FALSE)&gt;0,VLOOKUP(A70,Schlußkurse!A$5:AU$105,38,FALSE)/VLOOKUP(A70,Ergebnis_je_Aktie_verwässert!A$3:AJ$103,9,FALSE),""),"")</f>
        <v>#N/A</v>
      </c>
      <c r="G70" s="79" t="e">
        <f>IF(VLOOKUP(A70,Ergebnis_je_Aktie_verwässert!A$3:AJ$103,10,FALSE)&gt;0,IF(VLOOKUP(A70,Schlußkurse!A$5:AU$105,39,FALSE)&gt;0,VLOOKUP(A70,Schlußkurse!A$5:AU$105,39,FALSE)/VLOOKUP(A70,Ergebnis_je_Aktie_verwässert!A$3:AJ$103,10,FALSE),""),"")</f>
        <v>#N/A</v>
      </c>
      <c r="H70" s="79" t="e">
        <f>IF(VLOOKUP(A70,Ergebnis_je_Aktie_verwässert!A$3:AJ$103,11,FALSE)&gt;0,IF(VLOOKUP(A70,Schlußkurse!A$5:AU$105,40,FALSE)&gt;0,VLOOKUP(A70,Schlußkurse!A$5:AU$105,40,FALSE)/VLOOKUP(A70,Ergebnis_je_Aktie_verwässert!A$3:AJ$103,11,FALSE),""),"")</f>
        <v>#N/A</v>
      </c>
      <c r="I70" s="79" t="e">
        <f>IF(VLOOKUP(A70,Ergebnis_je_Aktie_verwässert!A$3:AJ$103,12,FALSE)&gt;0,IF(VLOOKUP(A70,Schlußkurse!A$5:AU$105,41,FALSE)&gt;0,VLOOKUP(A70,Schlußkurse!A$5:AU$105,41,FALSE)/VLOOKUP(A70,Ergebnis_je_Aktie_verwässert!A$3:AJ$103,12,FALSE),""),"")</f>
        <v>#N/A</v>
      </c>
      <c r="J70" s="79" t="e">
        <f>IF(VLOOKUP(A70,Ergebnis_je_Aktie_verwässert!A$3:AJ$103,13,FALSE)&gt;0,IF(VLOOKUP(A70,Schlußkurse!A$5:AU$105,42,FALSE)&gt;0,VLOOKUP(A70,Schlußkurse!A$5:AU$105,42,FALSE)/VLOOKUP(A70,Ergebnis_je_Aktie_verwässert!A$3:AJ$103,13,FALSE),""),"")</f>
        <v>#N/A</v>
      </c>
      <c r="K70" s="79" t="e">
        <f>IF(VLOOKUP(A70,Ergebnis_je_Aktie_verwässert!A$3:AJ$103,14,FALSE)&gt;0,IF(VLOOKUP(A70,Schlußkurse!A$5:AU$105,43,FALSE)&gt;0,VLOOKUP(A70,Schlußkurse!A$5:AU$105,43,FALSE)/VLOOKUP(A70,Ergebnis_je_Aktie_verwässert!A$3:AJ$103,14,FALSE),""),"")</f>
        <v>#N/A</v>
      </c>
      <c r="L70" s="79" t="e">
        <f>IF(VLOOKUP(A70,Ergebnis_je_Aktie_verwässert!A$3:AJ$103,15,FALSE)&gt;0,IF(VLOOKUP(A70,Schlußkurse!A$5:AU$105,44,FALSE)&gt;0,VLOOKUP(A70,Schlußkurse!A$5:AU$105,44,FALSE)/VLOOKUP(A70,Ergebnis_je_Aktie_verwässert!A$3:AJ$103,15,FALSE),""),"")</f>
        <v>#N/A</v>
      </c>
      <c r="M70" s="79" t="e">
        <f>IF(VLOOKUP(A70,Ergebnis_je_Aktie_verwässert!A$3:AJ$103,16,FALSE)&gt;0,IF(VLOOKUP(A70,Schlußkurse!A$5:AU$105,45,FALSE)&gt;0,VLOOKUP(A70,Schlußkurse!A$5:AU$105,45,FALSE)/VLOOKUP(A70,Ergebnis_je_Aktie_verwässert!A$3:AJ$103,16,FALSE),""),"")</f>
        <v>#N/A</v>
      </c>
      <c r="N70" s="79" t="e">
        <f>IF(VLOOKUP(A70,Ergebnis_je_Aktie_verwässert!A$3:AJ$103,17,FALSE)&gt;0,IF(VLOOKUP(A70,Schlußkurse!A$5:AU$105,46,FALSE)&gt;0,VLOOKUP(A70,Schlußkurse!A$5:AU$105,46,FALSE)/VLOOKUP(A70,Ergebnis_je_Aktie_verwässert!A$3:AJ$103,17,FALSE),""),"")</f>
        <v>#N/A</v>
      </c>
      <c r="O70" s="80" t="e">
        <f>IF(VLOOKUP(A70,Ergebnis_je_Aktie_verwässert!A$3:AJ$103,18,FALSE)&gt;0,IF(VLOOKUP(A70,Schlußkurse!A$5:AU$105,47,FALSE)&gt;0,VLOOKUP(A70,Schlußkurse!A$5:AU$105,47,FALSE)/VLOOKUP(A70,Ergebnis_je_Aktie_verwässert!A$3:AJ$103,18,FALSE),""),"")</f>
        <v>#N/A</v>
      </c>
      <c r="P70" s="3" t="e">
        <f t="shared" si="2"/>
        <v>#N/A</v>
      </c>
      <c r="Q70" s="3" t="e">
        <f>VLOOKUP(A70,Schlußkurse!A$5:AU$105,35,FALSE)/VLOOKUP(A70,Ergebnis_je_Aktie_verwässert!A$3:AK$103,23,FALSE)</f>
        <v>#N/A</v>
      </c>
      <c r="R70" s="5" t="e">
        <f t="shared" si="3"/>
        <v>#N/A</v>
      </c>
    </row>
    <row r="71" spans="1:18" x14ac:dyDescent="0.25">
      <c r="C71" s="78" t="e">
        <f>IF(VLOOKUP(A71,Ergebnis_je_Aktie_verwässert!A$3:AJ$103,6,FALSE)&gt;0,IF(VLOOKUP(A71,Schlußkurse!A$5:AU$105,35,FALSE)&gt;0,VLOOKUP(A71,Schlußkurse!A$5:AU$105,35,FALSE)/VLOOKUP(A71,Ergebnis_je_Aktie_verwässert!A$3:AJ$103,6,FALSE),""),"")</f>
        <v>#N/A</v>
      </c>
      <c r="D71" s="79" t="e">
        <f>IF(VLOOKUP(A71,Ergebnis_je_Aktie_verwässert!A$3:AJ$103,7,FALSE)&gt;0,IF(VLOOKUP(A71,Schlußkurse!A$5:AU$105,36,FALSE)&gt;0,VLOOKUP(A71,Schlußkurse!A$5:AU$105,36,FALSE)/VLOOKUP(A71,Ergebnis_je_Aktie_verwässert!A$3:AJ$103,7,FALSE),""),"")</f>
        <v>#N/A</v>
      </c>
      <c r="E71" s="79" t="e">
        <f>IF(VLOOKUP(A71,Ergebnis_je_Aktie_verwässert!A$3:AJ$103,8,FALSE)&gt;0,IF(VLOOKUP(A71,Schlußkurse!A$5:AU$105,37,FALSE)&gt;0,VLOOKUP(A71,Schlußkurse!A$5:AU$105,37,FALSE)/VLOOKUP(A71,Ergebnis_je_Aktie_verwässert!A$3:AJ$103,8,FALSE),""),"")</f>
        <v>#N/A</v>
      </c>
      <c r="F71" s="79" t="e">
        <f>IF(VLOOKUP(A71,Ergebnis_je_Aktie_verwässert!A$3:AJ$103,9,FALSE)&gt;0,IF(VLOOKUP(A71,Schlußkurse!A$5:AU$105,38,FALSE)&gt;0,VLOOKUP(A71,Schlußkurse!A$5:AU$105,38,FALSE)/VLOOKUP(A71,Ergebnis_je_Aktie_verwässert!A$3:AJ$103,9,FALSE),""),"")</f>
        <v>#N/A</v>
      </c>
      <c r="G71" s="79" t="e">
        <f>IF(VLOOKUP(A71,Ergebnis_je_Aktie_verwässert!A$3:AJ$103,10,FALSE)&gt;0,IF(VLOOKUP(A71,Schlußkurse!A$5:AU$105,39,FALSE)&gt;0,VLOOKUP(A71,Schlußkurse!A$5:AU$105,39,FALSE)/VLOOKUP(A71,Ergebnis_je_Aktie_verwässert!A$3:AJ$103,10,FALSE),""),"")</f>
        <v>#N/A</v>
      </c>
      <c r="H71" s="79" t="e">
        <f>IF(VLOOKUP(A71,Ergebnis_je_Aktie_verwässert!A$3:AJ$103,11,FALSE)&gt;0,IF(VLOOKUP(A71,Schlußkurse!A$5:AU$105,40,FALSE)&gt;0,VLOOKUP(A71,Schlußkurse!A$5:AU$105,40,FALSE)/VLOOKUP(A71,Ergebnis_je_Aktie_verwässert!A$3:AJ$103,11,FALSE),""),"")</f>
        <v>#N/A</v>
      </c>
      <c r="I71" s="79" t="e">
        <f>IF(VLOOKUP(A71,Ergebnis_je_Aktie_verwässert!A$3:AJ$103,12,FALSE)&gt;0,IF(VLOOKUP(A71,Schlußkurse!A$5:AU$105,41,FALSE)&gt;0,VLOOKUP(A71,Schlußkurse!A$5:AU$105,41,FALSE)/VLOOKUP(A71,Ergebnis_je_Aktie_verwässert!A$3:AJ$103,12,FALSE),""),"")</f>
        <v>#N/A</v>
      </c>
      <c r="J71" s="79" t="e">
        <f>IF(VLOOKUP(A71,Ergebnis_je_Aktie_verwässert!A$3:AJ$103,13,FALSE)&gt;0,IF(VLOOKUP(A71,Schlußkurse!A$5:AU$105,42,FALSE)&gt;0,VLOOKUP(A71,Schlußkurse!A$5:AU$105,42,FALSE)/VLOOKUP(A71,Ergebnis_je_Aktie_verwässert!A$3:AJ$103,13,FALSE),""),"")</f>
        <v>#N/A</v>
      </c>
      <c r="K71" s="79" t="e">
        <f>IF(VLOOKUP(A71,Ergebnis_je_Aktie_verwässert!A$3:AJ$103,14,FALSE)&gt;0,IF(VLOOKUP(A71,Schlußkurse!A$5:AU$105,43,FALSE)&gt;0,VLOOKUP(A71,Schlußkurse!A$5:AU$105,43,FALSE)/VLOOKUP(A71,Ergebnis_je_Aktie_verwässert!A$3:AJ$103,14,FALSE),""),"")</f>
        <v>#N/A</v>
      </c>
      <c r="L71" s="79" t="e">
        <f>IF(VLOOKUP(A71,Ergebnis_je_Aktie_verwässert!A$3:AJ$103,15,FALSE)&gt;0,IF(VLOOKUP(A71,Schlußkurse!A$5:AU$105,44,FALSE)&gt;0,VLOOKUP(A71,Schlußkurse!A$5:AU$105,44,FALSE)/VLOOKUP(A71,Ergebnis_je_Aktie_verwässert!A$3:AJ$103,15,FALSE),""),"")</f>
        <v>#N/A</v>
      </c>
      <c r="M71" s="79" t="e">
        <f>IF(VLOOKUP(A71,Ergebnis_je_Aktie_verwässert!A$3:AJ$103,16,FALSE)&gt;0,IF(VLOOKUP(A71,Schlußkurse!A$5:AU$105,45,FALSE)&gt;0,VLOOKUP(A71,Schlußkurse!A$5:AU$105,45,FALSE)/VLOOKUP(A71,Ergebnis_je_Aktie_verwässert!A$3:AJ$103,16,FALSE),""),"")</f>
        <v>#N/A</v>
      </c>
      <c r="N71" s="79" t="e">
        <f>IF(VLOOKUP(A71,Ergebnis_je_Aktie_verwässert!A$3:AJ$103,17,FALSE)&gt;0,IF(VLOOKUP(A71,Schlußkurse!A$5:AU$105,46,FALSE)&gt;0,VLOOKUP(A71,Schlußkurse!A$5:AU$105,46,FALSE)/VLOOKUP(A71,Ergebnis_je_Aktie_verwässert!A$3:AJ$103,17,FALSE),""),"")</f>
        <v>#N/A</v>
      </c>
      <c r="O71" s="80" t="e">
        <f>IF(VLOOKUP(A71,Ergebnis_je_Aktie_verwässert!A$3:AJ$103,18,FALSE)&gt;0,IF(VLOOKUP(A71,Schlußkurse!A$5:AU$105,47,FALSE)&gt;0,VLOOKUP(A71,Schlußkurse!A$5:AU$105,47,FALSE)/VLOOKUP(A71,Ergebnis_je_Aktie_verwässert!A$3:AJ$103,18,FALSE),""),"")</f>
        <v>#N/A</v>
      </c>
      <c r="P71" s="3" t="e">
        <f t="shared" si="2"/>
        <v>#N/A</v>
      </c>
      <c r="Q71" s="3" t="e">
        <f>VLOOKUP(A71,Schlußkurse!A$5:AU$105,35,FALSE)/VLOOKUP(A71,Ergebnis_je_Aktie_verwässert!A$3:AK$103,23,FALSE)</f>
        <v>#N/A</v>
      </c>
      <c r="R71" s="5" t="e">
        <f t="shared" si="3"/>
        <v>#N/A</v>
      </c>
    </row>
    <row r="72" spans="1:18" x14ac:dyDescent="0.25">
      <c r="C72" s="78" t="e">
        <f>IF(VLOOKUP(A72,Ergebnis_je_Aktie_verwässert!A$3:AJ$103,6,FALSE)&gt;0,IF(VLOOKUP(A72,Schlußkurse!A$5:AU$105,35,FALSE)&gt;0,VLOOKUP(A72,Schlußkurse!A$5:AU$105,35,FALSE)/VLOOKUP(A72,Ergebnis_je_Aktie_verwässert!A$3:AJ$103,6,FALSE),""),"")</f>
        <v>#N/A</v>
      </c>
      <c r="D72" s="79" t="e">
        <f>IF(VLOOKUP(A72,Ergebnis_je_Aktie_verwässert!A$3:AJ$103,7,FALSE)&gt;0,IF(VLOOKUP(A72,Schlußkurse!A$5:AU$105,36,FALSE)&gt;0,VLOOKUP(A72,Schlußkurse!A$5:AU$105,36,FALSE)/VLOOKUP(A72,Ergebnis_je_Aktie_verwässert!A$3:AJ$103,7,FALSE),""),"")</f>
        <v>#N/A</v>
      </c>
      <c r="E72" s="79" t="e">
        <f>IF(VLOOKUP(A72,Ergebnis_je_Aktie_verwässert!A$3:AJ$103,8,FALSE)&gt;0,IF(VLOOKUP(A72,Schlußkurse!A$5:AU$105,37,FALSE)&gt;0,VLOOKUP(A72,Schlußkurse!A$5:AU$105,37,FALSE)/VLOOKUP(A72,Ergebnis_je_Aktie_verwässert!A$3:AJ$103,8,FALSE),""),"")</f>
        <v>#N/A</v>
      </c>
      <c r="F72" s="79" t="e">
        <f>IF(VLOOKUP(A72,Ergebnis_je_Aktie_verwässert!A$3:AJ$103,9,FALSE)&gt;0,IF(VLOOKUP(A72,Schlußkurse!A$5:AU$105,38,FALSE)&gt;0,VLOOKUP(A72,Schlußkurse!A$5:AU$105,38,FALSE)/VLOOKUP(A72,Ergebnis_je_Aktie_verwässert!A$3:AJ$103,9,FALSE),""),"")</f>
        <v>#N/A</v>
      </c>
      <c r="G72" s="79" t="e">
        <f>IF(VLOOKUP(A72,Ergebnis_je_Aktie_verwässert!A$3:AJ$103,10,FALSE)&gt;0,IF(VLOOKUP(A72,Schlußkurse!A$5:AU$105,39,FALSE)&gt;0,VLOOKUP(A72,Schlußkurse!A$5:AU$105,39,FALSE)/VLOOKUP(A72,Ergebnis_je_Aktie_verwässert!A$3:AJ$103,10,FALSE),""),"")</f>
        <v>#N/A</v>
      </c>
      <c r="H72" s="79" t="e">
        <f>IF(VLOOKUP(A72,Ergebnis_je_Aktie_verwässert!A$3:AJ$103,11,FALSE)&gt;0,IF(VLOOKUP(A72,Schlußkurse!A$5:AU$105,40,FALSE)&gt;0,VLOOKUP(A72,Schlußkurse!A$5:AU$105,40,FALSE)/VLOOKUP(A72,Ergebnis_je_Aktie_verwässert!A$3:AJ$103,11,FALSE),""),"")</f>
        <v>#N/A</v>
      </c>
      <c r="I72" s="79" t="e">
        <f>IF(VLOOKUP(A72,Ergebnis_je_Aktie_verwässert!A$3:AJ$103,12,FALSE)&gt;0,IF(VLOOKUP(A72,Schlußkurse!A$5:AU$105,41,FALSE)&gt;0,VLOOKUP(A72,Schlußkurse!A$5:AU$105,41,FALSE)/VLOOKUP(A72,Ergebnis_je_Aktie_verwässert!A$3:AJ$103,12,FALSE),""),"")</f>
        <v>#N/A</v>
      </c>
      <c r="J72" s="79" t="e">
        <f>IF(VLOOKUP(A72,Ergebnis_je_Aktie_verwässert!A$3:AJ$103,13,FALSE)&gt;0,IF(VLOOKUP(A72,Schlußkurse!A$5:AU$105,42,FALSE)&gt;0,VLOOKUP(A72,Schlußkurse!A$5:AU$105,42,FALSE)/VLOOKUP(A72,Ergebnis_je_Aktie_verwässert!A$3:AJ$103,13,FALSE),""),"")</f>
        <v>#N/A</v>
      </c>
      <c r="K72" s="79" t="e">
        <f>IF(VLOOKUP(A72,Ergebnis_je_Aktie_verwässert!A$3:AJ$103,14,FALSE)&gt;0,IF(VLOOKUP(A72,Schlußkurse!A$5:AU$105,43,FALSE)&gt;0,VLOOKUP(A72,Schlußkurse!A$5:AU$105,43,FALSE)/VLOOKUP(A72,Ergebnis_je_Aktie_verwässert!A$3:AJ$103,14,FALSE),""),"")</f>
        <v>#N/A</v>
      </c>
      <c r="L72" s="79" t="e">
        <f>IF(VLOOKUP(A72,Ergebnis_je_Aktie_verwässert!A$3:AJ$103,15,FALSE)&gt;0,IF(VLOOKUP(A72,Schlußkurse!A$5:AU$105,44,FALSE)&gt;0,VLOOKUP(A72,Schlußkurse!A$5:AU$105,44,FALSE)/VLOOKUP(A72,Ergebnis_je_Aktie_verwässert!A$3:AJ$103,15,FALSE),""),"")</f>
        <v>#N/A</v>
      </c>
      <c r="M72" s="79" t="e">
        <f>IF(VLOOKUP(A72,Ergebnis_je_Aktie_verwässert!A$3:AJ$103,16,FALSE)&gt;0,IF(VLOOKUP(A72,Schlußkurse!A$5:AU$105,45,FALSE)&gt;0,VLOOKUP(A72,Schlußkurse!A$5:AU$105,45,FALSE)/VLOOKUP(A72,Ergebnis_je_Aktie_verwässert!A$3:AJ$103,16,FALSE),""),"")</f>
        <v>#N/A</v>
      </c>
      <c r="N72" s="79" t="e">
        <f>IF(VLOOKUP(A72,Ergebnis_je_Aktie_verwässert!A$3:AJ$103,17,FALSE)&gt;0,IF(VLOOKUP(A72,Schlußkurse!A$5:AU$105,46,FALSE)&gt;0,VLOOKUP(A72,Schlußkurse!A$5:AU$105,46,FALSE)/VLOOKUP(A72,Ergebnis_je_Aktie_verwässert!A$3:AJ$103,17,FALSE),""),"")</f>
        <v>#N/A</v>
      </c>
      <c r="O72" s="80" t="e">
        <f>IF(VLOOKUP(A72,Ergebnis_je_Aktie_verwässert!A$3:AJ$103,18,FALSE)&gt;0,IF(VLOOKUP(A72,Schlußkurse!A$5:AU$105,47,FALSE)&gt;0,VLOOKUP(A72,Schlußkurse!A$5:AU$105,47,FALSE)/VLOOKUP(A72,Ergebnis_je_Aktie_verwässert!A$3:AJ$103,18,FALSE),""),"")</f>
        <v>#N/A</v>
      </c>
      <c r="P72" s="3" t="e">
        <f t="shared" si="2"/>
        <v>#N/A</v>
      </c>
      <c r="Q72" s="3" t="e">
        <f>VLOOKUP(A72,Schlußkurse!A$5:AU$105,35,FALSE)/VLOOKUP(A72,Ergebnis_je_Aktie_verwässert!A$3:AK$103,23,FALSE)</f>
        <v>#N/A</v>
      </c>
      <c r="R72" s="5" t="e">
        <f t="shared" si="3"/>
        <v>#N/A</v>
      </c>
    </row>
    <row r="73" spans="1:18" x14ac:dyDescent="0.25">
      <c r="C73" s="78" t="e">
        <f>IF(VLOOKUP(A73,Ergebnis_je_Aktie_verwässert!A$3:AJ$103,6,FALSE)&gt;0,IF(VLOOKUP(A73,Schlußkurse!A$5:AU$105,35,FALSE)&gt;0,VLOOKUP(A73,Schlußkurse!A$5:AU$105,35,FALSE)/VLOOKUP(A73,Ergebnis_je_Aktie_verwässert!A$3:AJ$103,6,FALSE),""),"")</f>
        <v>#N/A</v>
      </c>
      <c r="D73" s="79" t="e">
        <f>IF(VLOOKUP(A73,Ergebnis_je_Aktie_verwässert!A$3:AJ$103,7,FALSE)&gt;0,IF(VLOOKUP(A73,Schlußkurse!A$5:AU$105,36,FALSE)&gt;0,VLOOKUP(A73,Schlußkurse!A$5:AU$105,36,FALSE)/VLOOKUP(A73,Ergebnis_je_Aktie_verwässert!A$3:AJ$103,7,FALSE),""),"")</f>
        <v>#N/A</v>
      </c>
      <c r="E73" s="79" t="e">
        <f>IF(VLOOKUP(A73,Ergebnis_je_Aktie_verwässert!A$3:AJ$103,8,FALSE)&gt;0,IF(VLOOKUP(A73,Schlußkurse!A$5:AU$105,37,FALSE)&gt;0,VLOOKUP(A73,Schlußkurse!A$5:AU$105,37,FALSE)/VLOOKUP(A73,Ergebnis_je_Aktie_verwässert!A$3:AJ$103,8,FALSE),""),"")</f>
        <v>#N/A</v>
      </c>
      <c r="F73" s="79" t="e">
        <f>IF(VLOOKUP(A73,Ergebnis_je_Aktie_verwässert!A$3:AJ$103,9,FALSE)&gt;0,IF(VLOOKUP(A73,Schlußkurse!A$5:AU$105,38,FALSE)&gt;0,VLOOKUP(A73,Schlußkurse!A$5:AU$105,38,FALSE)/VLOOKUP(A73,Ergebnis_je_Aktie_verwässert!A$3:AJ$103,9,FALSE),""),"")</f>
        <v>#N/A</v>
      </c>
      <c r="G73" s="79" t="e">
        <f>IF(VLOOKUP(A73,Ergebnis_je_Aktie_verwässert!A$3:AJ$103,10,FALSE)&gt;0,IF(VLOOKUP(A73,Schlußkurse!A$5:AU$105,39,FALSE)&gt;0,VLOOKUP(A73,Schlußkurse!A$5:AU$105,39,FALSE)/VLOOKUP(A73,Ergebnis_je_Aktie_verwässert!A$3:AJ$103,10,FALSE),""),"")</f>
        <v>#N/A</v>
      </c>
      <c r="H73" s="79" t="e">
        <f>IF(VLOOKUP(A73,Ergebnis_je_Aktie_verwässert!A$3:AJ$103,11,FALSE)&gt;0,IF(VLOOKUP(A73,Schlußkurse!A$5:AU$105,40,FALSE)&gt;0,VLOOKUP(A73,Schlußkurse!A$5:AU$105,40,FALSE)/VLOOKUP(A73,Ergebnis_je_Aktie_verwässert!A$3:AJ$103,11,FALSE),""),"")</f>
        <v>#N/A</v>
      </c>
      <c r="I73" s="79" t="e">
        <f>IF(VLOOKUP(A73,Ergebnis_je_Aktie_verwässert!A$3:AJ$103,12,FALSE)&gt;0,IF(VLOOKUP(A73,Schlußkurse!A$5:AU$105,41,FALSE)&gt;0,VLOOKUP(A73,Schlußkurse!A$5:AU$105,41,FALSE)/VLOOKUP(A73,Ergebnis_je_Aktie_verwässert!A$3:AJ$103,12,FALSE),""),"")</f>
        <v>#N/A</v>
      </c>
      <c r="J73" s="79" t="e">
        <f>IF(VLOOKUP(A73,Ergebnis_je_Aktie_verwässert!A$3:AJ$103,13,FALSE)&gt;0,IF(VLOOKUP(A73,Schlußkurse!A$5:AU$105,42,FALSE)&gt;0,VLOOKUP(A73,Schlußkurse!A$5:AU$105,42,FALSE)/VLOOKUP(A73,Ergebnis_je_Aktie_verwässert!A$3:AJ$103,13,FALSE),""),"")</f>
        <v>#N/A</v>
      </c>
      <c r="K73" s="79" t="e">
        <f>IF(VLOOKUP(A73,Ergebnis_je_Aktie_verwässert!A$3:AJ$103,14,FALSE)&gt;0,IF(VLOOKUP(A73,Schlußkurse!A$5:AU$105,43,FALSE)&gt;0,VLOOKUP(A73,Schlußkurse!A$5:AU$105,43,FALSE)/VLOOKUP(A73,Ergebnis_je_Aktie_verwässert!A$3:AJ$103,14,FALSE),""),"")</f>
        <v>#N/A</v>
      </c>
      <c r="L73" s="79" t="e">
        <f>IF(VLOOKUP(A73,Ergebnis_je_Aktie_verwässert!A$3:AJ$103,15,FALSE)&gt;0,IF(VLOOKUP(A73,Schlußkurse!A$5:AU$105,44,FALSE)&gt;0,VLOOKUP(A73,Schlußkurse!A$5:AU$105,44,FALSE)/VLOOKUP(A73,Ergebnis_je_Aktie_verwässert!A$3:AJ$103,15,FALSE),""),"")</f>
        <v>#N/A</v>
      </c>
      <c r="M73" s="79" t="e">
        <f>IF(VLOOKUP(A73,Ergebnis_je_Aktie_verwässert!A$3:AJ$103,16,FALSE)&gt;0,IF(VLOOKUP(A73,Schlußkurse!A$5:AU$105,45,FALSE)&gt;0,VLOOKUP(A73,Schlußkurse!A$5:AU$105,45,FALSE)/VLOOKUP(A73,Ergebnis_je_Aktie_verwässert!A$3:AJ$103,16,FALSE),""),"")</f>
        <v>#N/A</v>
      </c>
      <c r="N73" s="79" t="e">
        <f>IF(VLOOKUP(A73,Ergebnis_je_Aktie_verwässert!A$3:AJ$103,17,FALSE)&gt;0,IF(VLOOKUP(A73,Schlußkurse!A$5:AU$105,46,FALSE)&gt;0,VLOOKUP(A73,Schlußkurse!A$5:AU$105,46,FALSE)/VLOOKUP(A73,Ergebnis_je_Aktie_verwässert!A$3:AJ$103,17,FALSE),""),"")</f>
        <v>#N/A</v>
      </c>
      <c r="O73" s="80" t="e">
        <f>IF(VLOOKUP(A73,Ergebnis_je_Aktie_verwässert!A$3:AJ$103,18,FALSE)&gt;0,IF(VLOOKUP(A73,Schlußkurse!A$5:AU$105,47,FALSE)&gt;0,VLOOKUP(A73,Schlußkurse!A$5:AU$105,47,FALSE)/VLOOKUP(A73,Ergebnis_je_Aktie_verwässert!A$3:AJ$103,18,FALSE),""),"")</f>
        <v>#N/A</v>
      </c>
      <c r="P73" s="3" t="e">
        <f t="shared" si="2"/>
        <v>#N/A</v>
      </c>
      <c r="Q73" s="3" t="e">
        <f>VLOOKUP(A73,Schlußkurse!A$5:AU$105,35,FALSE)/VLOOKUP(A73,Ergebnis_je_Aktie_verwässert!A$3:AK$103,23,FALSE)</f>
        <v>#N/A</v>
      </c>
      <c r="R73" s="5" t="e">
        <f t="shared" si="3"/>
        <v>#N/A</v>
      </c>
    </row>
    <row r="74" spans="1:18" x14ac:dyDescent="0.25">
      <c r="C74" s="78" t="e">
        <f>IF(VLOOKUP(A74,Ergebnis_je_Aktie_verwässert!A$3:AJ$103,6,FALSE)&gt;0,IF(VLOOKUP(A74,Schlußkurse!A$5:AU$105,35,FALSE)&gt;0,VLOOKUP(A74,Schlußkurse!A$5:AU$105,35,FALSE)/VLOOKUP(A74,Ergebnis_je_Aktie_verwässert!A$3:AJ$103,6,FALSE),""),"")</f>
        <v>#N/A</v>
      </c>
      <c r="D74" s="79" t="e">
        <f>IF(VLOOKUP(A74,Ergebnis_je_Aktie_verwässert!A$3:AJ$103,7,FALSE)&gt;0,IF(VLOOKUP(A74,Schlußkurse!A$5:AU$105,36,FALSE)&gt;0,VLOOKUP(A74,Schlußkurse!A$5:AU$105,36,FALSE)/VLOOKUP(A74,Ergebnis_je_Aktie_verwässert!A$3:AJ$103,7,FALSE),""),"")</f>
        <v>#N/A</v>
      </c>
      <c r="E74" s="79" t="e">
        <f>IF(VLOOKUP(A74,Ergebnis_je_Aktie_verwässert!A$3:AJ$103,8,FALSE)&gt;0,IF(VLOOKUP(A74,Schlußkurse!A$5:AU$105,37,FALSE)&gt;0,VLOOKUP(A74,Schlußkurse!A$5:AU$105,37,FALSE)/VLOOKUP(A74,Ergebnis_je_Aktie_verwässert!A$3:AJ$103,8,FALSE),""),"")</f>
        <v>#N/A</v>
      </c>
      <c r="F74" s="79" t="e">
        <f>IF(VLOOKUP(A74,Ergebnis_je_Aktie_verwässert!A$3:AJ$103,9,FALSE)&gt;0,IF(VLOOKUP(A74,Schlußkurse!A$5:AU$105,38,FALSE)&gt;0,VLOOKUP(A74,Schlußkurse!A$5:AU$105,38,FALSE)/VLOOKUP(A74,Ergebnis_je_Aktie_verwässert!A$3:AJ$103,9,FALSE),""),"")</f>
        <v>#N/A</v>
      </c>
      <c r="G74" s="79" t="e">
        <f>IF(VLOOKUP(A74,Ergebnis_je_Aktie_verwässert!A$3:AJ$103,10,FALSE)&gt;0,IF(VLOOKUP(A74,Schlußkurse!A$5:AU$105,39,FALSE)&gt;0,VLOOKUP(A74,Schlußkurse!A$5:AU$105,39,FALSE)/VLOOKUP(A74,Ergebnis_je_Aktie_verwässert!A$3:AJ$103,10,FALSE),""),"")</f>
        <v>#N/A</v>
      </c>
      <c r="H74" s="79" t="e">
        <f>IF(VLOOKUP(A74,Ergebnis_je_Aktie_verwässert!A$3:AJ$103,11,FALSE)&gt;0,IF(VLOOKUP(A74,Schlußkurse!A$5:AU$105,40,FALSE)&gt;0,VLOOKUP(A74,Schlußkurse!A$5:AU$105,40,FALSE)/VLOOKUP(A74,Ergebnis_je_Aktie_verwässert!A$3:AJ$103,11,FALSE),""),"")</f>
        <v>#N/A</v>
      </c>
      <c r="I74" s="79" t="e">
        <f>IF(VLOOKUP(A74,Ergebnis_je_Aktie_verwässert!A$3:AJ$103,12,FALSE)&gt;0,IF(VLOOKUP(A74,Schlußkurse!A$5:AU$105,41,FALSE)&gt;0,VLOOKUP(A74,Schlußkurse!A$5:AU$105,41,FALSE)/VLOOKUP(A74,Ergebnis_je_Aktie_verwässert!A$3:AJ$103,12,FALSE),""),"")</f>
        <v>#N/A</v>
      </c>
      <c r="J74" s="79" t="e">
        <f>IF(VLOOKUP(A74,Ergebnis_je_Aktie_verwässert!A$3:AJ$103,13,FALSE)&gt;0,IF(VLOOKUP(A74,Schlußkurse!A$5:AU$105,42,FALSE)&gt;0,VLOOKUP(A74,Schlußkurse!A$5:AU$105,42,FALSE)/VLOOKUP(A74,Ergebnis_je_Aktie_verwässert!A$3:AJ$103,13,FALSE),""),"")</f>
        <v>#N/A</v>
      </c>
      <c r="K74" s="79" t="e">
        <f>IF(VLOOKUP(A74,Ergebnis_je_Aktie_verwässert!A$3:AJ$103,14,FALSE)&gt;0,IF(VLOOKUP(A74,Schlußkurse!A$5:AU$105,43,FALSE)&gt;0,VLOOKUP(A74,Schlußkurse!A$5:AU$105,43,FALSE)/VLOOKUP(A74,Ergebnis_je_Aktie_verwässert!A$3:AJ$103,14,FALSE),""),"")</f>
        <v>#N/A</v>
      </c>
      <c r="L74" s="79" t="e">
        <f>IF(VLOOKUP(A74,Ergebnis_je_Aktie_verwässert!A$3:AJ$103,15,FALSE)&gt;0,IF(VLOOKUP(A74,Schlußkurse!A$5:AU$105,44,FALSE)&gt;0,VLOOKUP(A74,Schlußkurse!A$5:AU$105,44,FALSE)/VLOOKUP(A74,Ergebnis_je_Aktie_verwässert!A$3:AJ$103,15,FALSE),""),"")</f>
        <v>#N/A</v>
      </c>
      <c r="M74" s="79" t="e">
        <f>IF(VLOOKUP(A74,Ergebnis_je_Aktie_verwässert!A$3:AJ$103,16,FALSE)&gt;0,IF(VLOOKUP(A74,Schlußkurse!A$5:AU$105,45,FALSE)&gt;0,VLOOKUP(A74,Schlußkurse!A$5:AU$105,45,FALSE)/VLOOKUP(A74,Ergebnis_je_Aktie_verwässert!A$3:AJ$103,16,FALSE),""),"")</f>
        <v>#N/A</v>
      </c>
      <c r="N74" s="79" t="e">
        <f>IF(VLOOKUP(A74,Ergebnis_je_Aktie_verwässert!A$3:AJ$103,17,FALSE)&gt;0,IF(VLOOKUP(A74,Schlußkurse!A$5:AU$105,46,FALSE)&gt;0,VLOOKUP(A74,Schlußkurse!A$5:AU$105,46,FALSE)/VLOOKUP(A74,Ergebnis_je_Aktie_verwässert!A$3:AJ$103,17,FALSE),""),"")</f>
        <v>#N/A</v>
      </c>
      <c r="O74" s="80" t="e">
        <f>IF(VLOOKUP(A74,Ergebnis_je_Aktie_verwässert!A$3:AJ$103,18,FALSE)&gt;0,IF(VLOOKUP(A74,Schlußkurse!A$5:AU$105,47,FALSE)&gt;0,VLOOKUP(A74,Schlußkurse!A$5:AU$105,47,FALSE)/VLOOKUP(A74,Ergebnis_je_Aktie_verwässert!A$3:AJ$103,18,FALSE),""),"")</f>
        <v>#N/A</v>
      </c>
      <c r="P74" s="3" t="e">
        <f t="shared" si="2"/>
        <v>#N/A</v>
      </c>
      <c r="Q74" s="3" t="e">
        <f>VLOOKUP(A74,Schlußkurse!A$5:AU$105,35,FALSE)/VLOOKUP(A74,Ergebnis_je_Aktie_verwässert!A$3:AK$103,23,FALSE)</f>
        <v>#N/A</v>
      </c>
      <c r="R74" s="5" t="e">
        <f t="shared" si="3"/>
        <v>#N/A</v>
      </c>
    </row>
    <row r="75" spans="1:18" x14ac:dyDescent="0.25">
      <c r="C75" s="78" t="e">
        <f>IF(VLOOKUP(A75,Ergebnis_je_Aktie_verwässert!A$3:AJ$103,6,FALSE)&gt;0,IF(VLOOKUP(A75,Schlußkurse!A$5:AU$105,35,FALSE)&gt;0,VLOOKUP(A75,Schlußkurse!A$5:AU$105,35,FALSE)/VLOOKUP(A75,Ergebnis_je_Aktie_verwässert!A$3:AJ$103,6,FALSE),""),"")</f>
        <v>#N/A</v>
      </c>
      <c r="D75" s="79" t="e">
        <f>IF(VLOOKUP(A75,Ergebnis_je_Aktie_verwässert!A$3:AJ$103,7,FALSE)&gt;0,IF(VLOOKUP(A75,Schlußkurse!A$5:AU$105,36,FALSE)&gt;0,VLOOKUP(A75,Schlußkurse!A$5:AU$105,36,FALSE)/VLOOKUP(A75,Ergebnis_je_Aktie_verwässert!A$3:AJ$103,7,FALSE),""),"")</f>
        <v>#N/A</v>
      </c>
      <c r="E75" s="79" t="e">
        <f>IF(VLOOKUP(A75,Ergebnis_je_Aktie_verwässert!A$3:AJ$103,8,FALSE)&gt;0,IF(VLOOKUP(A75,Schlußkurse!A$5:AU$105,37,FALSE)&gt;0,VLOOKUP(A75,Schlußkurse!A$5:AU$105,37,FALSE)/VLOOKUP(A75,Ergebnis_je_Aktie_verwässert!A$3:AJ$103,8,FALSE),""),"")</f>
        <v>#N/A</v>
      </c>
      <c r="F75" s="79" t="e">
        <f>IF(VLOOKUP(A75,Ergebnis_je_Aktie_verwässert!A$3:AJ$103,9,FALSE)&gt;0,IF(VLOOKUP(A75,Schlußkurse!A$5:AU$105,38,FALSE)&gt;0,VLOOKUP(A75,Schlußkurse!A$5:AU$105,38,FALSE)/VLOOKUP(A75,Ergebnis_je_Aktie_verwässert!A$3:AJ$103,9,FALSE),""),"")</f>
        <v>#N/A</v>
      </c>
      <c r="G75" s="79" t="e">
        <f>IF(VLOOKUP(A75,Ergebnis_je_Aktie_verwässert!A$3:AJ$103,10,FALSE)&gt;0,IF(VLOOKUP(A75,Schlußkurse!A$5:AU$105,39,FALSE)&gt;0,VLOOKUP(A75,Schlußkurse!A$5:AU$105,39,FALSE)/VLOOKUP(A75,Ergebnis_je_Aktie_verwässert!A$3:AJ$103,10,FALSE),""),"")</f>
        <v>#N/A</v>
      </c>
      <c r="H75" s="79" t="e">
        <f>IF(VLOOKUP(A75,Ergebnis_je_Aktie_verwässert!A$3:AJ$103,11,FALSE)&gt;0,IF(VLOOKUP(A75,Schlußkurse!A$5:AU$105,40,FALSE)&gt;0,VLOOKUP(A75,Schlußkurse!A$5:AU$105,40,FALSE)/VLOOKUP(A75,Ergebnis_je_Aktie_verwässert!A$3:AJ$103,11,FALSE),""),"")</f>
        <v>#N/A</v>
      </c>
      <c r="I75" s="79" t="e">
        <f>IF(VLOOKUP(A75,Ergebnis_je_Aktie_verwässert!A$3:AJ$103,12,FALSE)&gt;0,IF(VLOOKUP(A75,Schlußkurse!A$5:AU$105,41,FALSE)&gt;0,VLOOKUP(A75,Schlußkurse!A$5:AU$105,41,FALSE)/VLOOKUP(A75,Ergebnis_je_Aktie_verwässert!A$3:AJ$103,12,FALSE),""),"")</f>
        <v>#N/A</v>
      </c>
      <c r="J75" s="79" t="e">
        <f>IF(VLOOKUP(A75,Ergebnis_je_Aktie_verwässert!A$3:AJ$103,13,FALSE)&gt;0,IF(VLOOKUP(A75,Schlußkurse!A$5:AU$105,42,FALSE)&gt;0,VLOOKUP(A75,Schlußkurse!A$5:AU$105,42,FALSE)/VLOOKUP(A75,Ergebnis_je_Aktie_verwässert!A$3:AJ$103,13,FALSE),""),"")</f>
        <v>#N/A</v>
      </c>
      <c r="K75" s="79" t="e">
        <f>IF(VLOOKUP(A75,Ergebnis_je_Aktie_verwässert!A$3:AJ$103,14,FALSE)&gt;0,IF(VLOOKUP(A75,Schlußkurse!A$5:AU$105,43,FALSE)&gt;0,VLOOKUP(A75,Schlußkurse!A$5:AU$105,43,FALSE)/VLOOKUP(A75,Ergebnis_je_Aktie_verwässert!A$3:AJ$103,14,FALSE),""),"")</f>
        <v>#N/A</v>
      </c>
      <c r="L75" s="79" t="e">
        <f>IF(VLOOKUP(A75,Ergebnis_je_Aktie_verwässert!A$3:AJ$103,15,FALSE)&gt;0,IF(VLOOKUP(A75,Schlußkurse!A$5:AU$105,44,FALSE)&gt;0,VLOOKUP(A75,Schlußkurse!A$5:AU$105,44,FALSE)/VLOOKUP(A75,Ergebnis_je_Aktie_verwässert!A$3:AJ$103,15,FALSE),""),"")</f>
        <v>#N/A</v>
      </c>
      <c r="M75" s="79" t="e">
        <f>IF(VLOOKUP(A75,Ergebnis_je_Aktie_verwässert!A$3:AJ$103,16,FALSE)&gt;0,IF(VLOOKUP(A75,Schlußkurse!A$5:AU$105,45,FALSE)&gt;0,VLOOKUP(A75,Schlußkurse!A$5:AU$105,45,FALSE)/VLOOKUP(A75,Ergebnis_je_Aktie_verwässert!A$3:AJ$103,16,FALSE),""),"")</f>
        <v>#N/A</v>
      </c>
      <c r="N75" s="79" t="e">
        <f>IF(VLOOKUP(A75,Ergebnis_je_Aktie_verwässert!A$3:AJ$103,17,FALSE)&gt;0,IF(VLOOKUP(A75,Schlußkurse!A$5:AU$105,46,FALSE)&gt;0,VLOOKUP(A75,Schlußkurse!A$5:AU$105,46,FALSE)/VLOOKUP(A75,Ergebnis_je_Aktie_verwässert!A$3:AJ$103,17,FALSE),""),"")</f>
        <v>#N/A</v>
      </c>
      <c r="O75" s="80" t="e">
        <f>IF(VLOOKUP(A75,Ergebnis_je_Aktie_verwässert!A$3:AJ$103,18,FALSE)&gt;0,IF(VLOOKUP(A75,Schlußkurse!A$5:AU$105,47,FALSE)&gt;0,VLOOKUP(A75,Schlußkurse!A$5:AU$105,47,FALSE)/VLOOKUP(A75,Ergebnis_je_Aktie_verwässert!A$3:AJ$103,18,FALSE),""),"")</f>
        <v>#N/A</v>
      </c>
      <c r="P75" s="3" t="e">
        <f t="shared" si="2"/>
        <v>#N/A</v>
      </c>
      <c r="Q75" s="3" t="e">
        <f>VLOOKUP(A75,Schlußkurse!A$5:AU$105,35,FALSE)/VLOOKUP(A75,Ergebnis_je_Aktie_verwässert!A$3:AK$103,23,FALSE)</f>
        <v>#N/A</v>
      </c>
      <c r="R75" s="5" t="e">
        <f t="shared" si="3"/>
        <v>#N/A</v>
      </c>
    </row>
    <row r="76" spans="1:18" x14ac:dyDescent="0.25">
      <c r="C76" s="78" t="e">
        <f>IF(VLOOKUP(A76,Ergebnis_je_Aktie_verwässert!A$3:AJ$103,6,FALSE)&gt;0,IF(VLOOKUP(A76,Schlußkurse!A$5:AU$105,35,FALSE)&gt;0,VLOOKUP(A76,Schlußkurse!A$5:AU$105,35,FALSE)/VLOOKUP(A76,Ergebnis_je_Aktie_verwässert!A$3:AJ$103,6,FALSE),""),"")</f>
        <v>#N/A</v>
      </c>
      <c r="D76" s="79" t="e">
        <f>IF(VLOOKUP(A76,Ergebnis_je_Aktie_verwässert!A$3:AJ$103,7,FALSE)&gt;0,IF(VLOOKUP(A76,Schlußkurse!A$5:AU$105,36,FALSE)&gt;0,VLOOKUP(A76,Schlußkurse!A$5:AU$105,36,FALSE)/VLOOKUP(A76,Ergebnis_je_Aktie_verwässert!A$3:AJ$103,7,FALSE),""),"")</f>
        <v>#N/A</v>
      </c>
      <c r="E76" s="79" t="e">
        <f>IF(VLOOKUP(A76,Ergebnis_je_Aktie_verwässert!A$3:AJ$103,8,FALSE)&gt;0,IF(VLOOKUP(A76,Schlußkurse!A$5:AU$105,37,FALSE)&gt;0,VLOOKUP(A76,Schlußkurse!A$5:AU$105,37,FALSE)/VLOOKUP(A76,Ergebnis_je_Aktie_verwässert!A$3:AJ$103,8,FALSE),""),"")</f>
        <v>#N/A</v>
      </c>
      <c r="F76" s="79" t="e">
        <f>IF(VLOOKUP(A76,Ergebnis_je_Aktie_verwässert!A$3:AJ$103,9,FALSE)&gt;0,IF(VLOOKUP(A76,Schlußkurse!A$5:AU$105,38,FALSE)&gt;0,VLOOKUP(A76,Schlußkurse!A$5:AU$105,38,FALSE)/VLOOKUP(A76,Ergebnis_je_Aktie_verwässert!A$3:AJ$103,9,FALSE),""),"")</f>
        <v>#N/A</v>
      </c>
      <c r="G76" s="79" t="e">
        <f>IF(VLOOKUP(A76,Ergebnis_je_Aktie_verwässert!A$3:AJ$103,10,FALSE)&gt;0,IF(VLOOKUP(A76,Schlußkurse!A$5:AU$105,39,FALSE)&gt;0,VLOOKUP(A76,Schlußkurse!A$5:AU$105,39,FALSE)/VLOOKUP(A76,Ergebnis_je_Aktie_verwässert!A$3:AJ$103,10,FALSE),""),"")</f>
        <v>#N/A</v>
      </c>
      <c r="H76" s="79" t="e">
        <f>IF(VLOOKUP(A76,Ergebnis_je_Aktie_verwässert!A$3:AJ$103,11,FALSE)&gt;0,IF(VLOOKUP(A76,Schlußkurse!A$5:AU$105,40,FALSE)&gt;0,VLOOKUP(A76,Schlußkurse!A$5:AU$105,40,FALSE)/VLOOKUP(A76,Ergebnis_je_Aktie_verwässert!A$3:AJ$103,11,FALSE),""),"")</f>
        <v>#N/A</v>
      </c>
      <c r="I76" s="79" t="e">
        <f>IF(VLOOKUP(A76,Ergebnis_je_Aktie_verwässert!A$3:AJ$103,12,FALSE)&gt;0,IF(VLOOKUP(A76,Schlußkurse!A$5:AU$105,41,FALSE)&gt;0,VLOOKUP(A76,Schlußkurse!A$5:AU$105,41,FALSE)/VLOOKUP(A76,Ergebnis_je_Aktie_verwässert!A$3:AJ$103,12,FALSE),""),"")</f>
        <v>#N/A</v>
      </c>
      <c r="J76" s="79" t="e">
        <f>IF(VLOOKUP(A76,Ergebnis_je_Aktie_verwässert!A$3:AJ$103,13,FALSE)&gt;0,IF(VLOOKUP(A76,Schlußkurse!A$5:AU$105,42,FALSE)&gt;0,VLOOKUP(A76,Schlußkurse!A$5:AU$105,42,FALSE)/VLOOKUP(A76,Ergebnis_je_Aktie_verwässert!A$3:AJ$103,13,FALSE),""),"")</f>
        <v>#N/A</v>
      </c>
      <c r="K76" s="79" t="e">
        <f>IF(VLOOKUP(A76,Ergebnis_je_Aktie_verwässert!A$3:AJ$103,14,FALSE)&gt;0,IF(VLOOKUP(A76,Schlußkurse!A$5:AU$105,43,FALSE)&gt;0,VLOOKUP(A76,Schlußkurse!A$5:AU$105,43,FALSE)/VLOOKUP(A76,Ergebnis_je_Aktie_verwässert!A$3:AJ$103,14,FALSE),""),"")</f>
        <v>#N/A</v>
      </c>
      <c r="L76" s="79" t="e">
        <f>IF(VLOOKUP(A76,Ergebnis_je_Aktie_verwässert!A$3:AJ$103,15,FALSE)&gt;0,IF(VLOOKUP(A76,Schlußkurse!A$5:AU$105,44,FALSE)&gt;0,VLOOKUP(A76,Schlußkurse!A$5:AU$105,44,FALSE)/VLOOKUP(A76,Ergebnis_je_Aktie_verwässert!A$3:AJ$103,15,FALSE),""),"")</f>
        <v>#N/A</v>
      </c>
      <c r="M76" s="79" t="e">
        <f>IF(VLOOKUP(A76,Ergebnis_je_Aktie_verwässert!A$3:AJ$103,16,FALSE)&gt;0,IF(VLOOKUP(A76,Schlußkurse!A$5:AU$105,45,FALSE)&gt;0,VLOOKUP(A76,Schlußkurse!A$5:AU$105,45,FALSE)/VLOOKUP(A76,Ergebnis_je_Aktie_verwässert!A$3:AJ$103,16,FALSE),""),"")</f>
        <v>#N/A</v>
      </c>
      <c r="N76" s="79" t="e">
        <f>IF(VLOOKUP(A76,Ergebnis_je_Aktie_verwässert!A$3:AJ$103,17,FALSE)&gt;0,IF(VLOOKUP(A76,Schlußkurse!A$5:AU$105,46,FALSE)&gt;0,VLOOKUP(A76,Schlußkurse!A$5:AU$105,46,FALSE)/VLOOKUP(A76,Ergebnis_je_Aktie_verwässert!A$3:AJ$103,17,FALSE),""),"")</f>
        <v>#N/A</v>
      </c>
      <c r="O76" s="80" t="e">
        <f>IF(VLOOKUP(A76,Ergebnis_je_Aktie_verwässert!A$3:AJ$103,18,FALSE)&gt;0,IF(VLOOKUP(A76,Schlußkurse!A$5:AU$105,47,FALSE)&gt;0,VLOOKUP(A76,Schlußkurse!A$5:AU$105,47,FALSE)/VLOOKUP(A76,Ergebnis_je_Aktie_verwässert!A$3:AJ$103,18,FALSE),""),"")</f>
        <v>#N/A</v>
      </c>
      <c r="P76" s="3" t="e">
        <f t="shared" si="2"/>
        <v>#N/A</v>
      </c>
      <c r="Q76" s="3" t="e">
        <f>VLOOKUP(A76,Schlußkurse!A$5:AU$105,35,FALSE)/VLOOKUP(A76,Ergebnis_je_Aktie_verwässert!A$3:AK$103,23,FALSE)</f>
        <v>#N/A</v>
      </c>
      <c r="R76" s="5" t="e">
        <f t="shared" si="3"/>
        <v>#N/A</v>
      </c>
    </row>
    <row r="77" spans="1:18" x14ac:dyDescent="0.25">
      <c r="C77" s="78" t="e">
        <f>IF(VLOOKUP(A77,Ergebnis_je_Aktie_verwässert!A$3:AJ$103,6,FALSE)&gt;0,IF(VLOOKUP(A77,Schlußkurse!A$5:AU$105,35,FALSE)&gt;0,VLOOKUP(A77,Schlußkurse!A$5:AU$105,35,FALSE)/VLOOKUP(A77,Ergebnis_je_Aktie_verwässert!A$3:AJ$103,6,FALSE),""),"")</f>
        <v>#N/A</v>
      </c>
      <c r="D77" s="79" t="e">
        <f>IF(VLOOKUP(A77,Ergebnis_je_Aktie_verwässert!A$3:AJ$103,7,FALSE)&gt;0,IF(VLOOKUP(A77,Schlußkurse!A$5:AU$105,36,FALSE)&gt;0,VLOOKUP(A77,Schlußkurse!A$5:AU$105,36,FALSE)/VLOOKUP(A77,Ergebnis_je_Aktie_verwässert!A$3:AJ$103,7,FALSE),""),"")</f>
        <v>#N/A</v>
      </c>
      <c r="E77" s="79" t="e">
        <f>IF(VLOOKUP(A77,Ergebnis_je_Aktie_verwässert!A$3:AJ$103,8,FALSE)&gt;0,IF(VLOOKUP(A77,Schlußkurse!A$5:AU$105,37,FALSE)&gt;0,VLOOKUP(A77,Schlußkurse!A$5:AU$105,37,FALSE)/VLOOKUP(A77,Ergebnis_je_Aktie_verwässert!A$3:AJ$103,8,FALSE),""),"")</f>
        <v>#N/A</v>
      </c>
      <c r="F77" s="79" t="e">
        <f>IF(VLOOKUP(A77,Ergebnis_je_Aktie_verwässert!A$3:AJ$103,9,FALSE)&gt;0,IF(VLOOKUP(A77,Schlußkurse!A$5:AU$105,38,FALSE)&gt;0,VLOOKUP(A77,Schlußkurse!A$5:AU$105,38,FALSE)/VLOOKUP(A77,Ergebnis_je_Aktie_verwässert!A$3:AJ$103,9,FALSE),""),"")</f>
        <v>#N/A</v>
      </c>
      <c r="G77" s="79" t="e">
        <f>IF(VLOOKUP(A77,Ergebnis_je_Aktie_verwässert!A$3:AJ$103,10,FALSE)&gt;0,IF(VLOOKUP(A77,Schlußkurse!A$5:AU$105,39,FALSE)&gt;0,VLOOKUP(A77,Schlußkurse!A$5:AU$105,39,FALSE)/VLOOKUP(A77,Ergebnis_je_Aktie_verwässert!A$3:AJ$103,10,FALSE),""),"")</f>
        <v>#N/A</v>
      </c>
      <c r="H77" s="79" t="e">
        <f>IF(VLOOKUP(A77,Ergebnis_je_Aktie_verwässert!A$3:AJ$103,11,FALSE)&gt;0,IF(VLOOKUP(A77,Schlußkurse!A$5:AU$105,40,FALSE)&gt;0,VLOOKUP(A77,Schlußkurse!A$5:AU$105,40,FALSE)/VLOOKUP(A77,Ergebnis_je_Aktie_verwässert!A$3:AJ$103,11,FALSE),""),"")</f>
        <v>#N/A</v>
      </c>
      <c r="I77" s="79" t="e">
        <f>IF(VLOOKUP(A77,Ergebnis_je_Aktie_verwässert!A$3:AJ$103,12,FALSE)&gt;0,IF(VLOOKUP(A77,Schlußkurse!A$5:AU$105,41,FALSE)&gt;0,VLOOKUP(A77,Schlußkurse!A$5:AU$105,41,FALSE)/VLOOKUP(A77,Ergebnis_je_Aktie_verwässert!A$3:AJ$103,12,FALSE),""),"")</f>
        <v>#N/A</v>
      </c>
      <c r="J77" s="79" t="e">
        <f>IF(VLOOKUP(A77,Ergebnis_je_Aktie_verwässert!A$3:AJ$103,13,FALSE)&gt;0,IF(VLOOKUP(A77,Schlußkurse!A$5:AU$105,42,FALSE)&gt;0,VLOOKUP(A77,Schlußkurse!A$5:AU$105,42,FALSE)/VLOOKUP(A77,Ergebnis_je_Aktie_verwässert!A$3:AJ$103,13,FALSE),""),"")</f>
        <v>#N/A</v>
      </c>
      <c r="K77" s="79" t="e">
        <f>IF(VLOOKUP(A77,Ergebnis_je_Aktie_verwässert!A$3:AJ$103,14,FALSE)&gt;0,IF(VLOOKUP(A77,Schlußkurse!A$5:AU$105,43,FALSE)&gt;0,VLOOKUP(A77,Schlußkurse!A$5:AU$105,43,FALSE)/VLOOKUP(A77,Ergebnis_je_Aktie_verwässert!A$3:AJ$103,14,FALSE),""),"")</f>
        <v>#N/A</v>
      </c>
      <c r="L77" s="79" t="e">
        <f>IF(VLOOKUP(A77,Ergebnis_je_Aktie_verwässert!A$3:AJ$103,15,FALSE)&gt;0,IF(VLOOKUP(A77,Schlußkurse!A$5:AU$105,44,FALSE)&gt;0,VLOOKUP(A77,Schlußkurse!A$5:AU$105,44,FALSE)/VLOOKUP(A77,Ergebnis_je_Aktie_verwässert!A$3:AJ$103,15,FALSE),""),"")</f>
        <v>#N/A</v>
      </c>
      <c r="M77" s="79" t="e">
        <f>IF(VLOOKUP(A77,Ergebnis_je_Aktie_verwässert!A$3:AJ$103,16,FALSE)&gt;0,IF(VLOOKUP(A77,Schlußkurse!A$5:AU$105,45,FALSE)&gt;0,VLOOKUP(A77,Schlußkurse!A$5:AU$105,45,FALSE)/VLOOKUP(A77,Ergebnis_je_Aktie_verwässert!A$3:AJ$103,16,FALSE),""),"")</f>
        <v>#N/A</v>
      </c>
      <c r="N77" s="79" t="e">
        <f>IF(VLOOKUP(A77,Ergebnis_je_Aktie_verwässert!A$3:AJ$103,17,FALSE)&gt;0,IF(VLOOKUP(A77,Schlußkurse!A$5:AU$105,46,FALSE)&gt;0,VLOOKUP(A77,Schlußkurse!A$5:AU$105,46,FALSE)/VLOOKUP(A77,Ergebnis_je_Aktie_verwässert!A$3:AJ$103,17,FALSE),""),"")</f>
        <v>#N/A</v>
      </c>
      <c r="O77" s="80" t="e">
        <f>IF(VLOOKUP(A77,Ergebnis_je_Aktie_verwässert!A$3:AJ$103,18,FALSE)&gt;0,IF(VLOOKUP(A77,Schlußkurse!A$5:AU$105,47,FALSE)&gt;0,VLOOKUP(A77,Schlußkurse!A$5:AU$105,47,FALSE)/VLOOKUP(A77,Ergebnis_je_Aktie_verwässert!A$3:AJ$103,18,FALSE),""),"")</f>
        <v>#N/A</v>
      </c>
      <c r="P77" s="3" t="e">
        <f t="shared" si="2"/>
        <v>#N/A</v>
      </c>
      <c r="Q77" s="3" t="e">
        <f>VLOOKUP(A77,Schlußkurse!A$5:AU$105,35,FALSE)/VLOOKUP(A77,Ergebnis_je_Aktie_verwässert!A$3:AK$103,23,FALSE)</f>
        <v>#N/A</v>
      </c>
      <c r="R77" s="5" t="e">
        <f t="shared" si="3"/>
        <v>#N/A</v>
      </c>
    </row>
    <row r="78" spans="1:18" x14ac:dyDescent="0.25">
      <c r="C78" s="78" t="e">
        <f>IF(VLOOKUP(A78,Ergebnis_je_Aktie_verwässert!A$3:AJ$103,6,FALSE)&gt;0,IF(VLOOKUP(A78,Schlußkurse!A$5:AU$105,35,FALSE)&gt;0,VLOOKUP(A78,Schlußkurse!A$5:AU$105,35,FALSE)/VLOOKUP(A78,Ergebnis_je_Aktie_verwässert!A$3:AJ$103,6,FALSE),""),"")</f>
        <v>#N/A</v>
      </c>
      <c r="D78" s="79" t="e">
        <f>IF(VLOOKUP(A78,Ergebnis_je_Aktie_verwässert!A$3:AJ$103,7,FALSE)&gt;0,IF(VLOOKUP(A78,Schlußkurse!A$5:AU$105,36,FALSE)&gt;0,VLOOKUP(A78,Schlußkurse!A$5:AU$105,36,FALSE)/VLOOKUP(A78,Ergebnis_je_Aktie_verwässert!A$3:AJ$103,7,FALSE),""),"")</f>
        <v>#N/A</v>
      </c>
      <c r="E78" s="79" t="e">
        <f>IF(VLOOKUP(A78,Ergebnis_je_Aktie_verwässert!A$3:AJ$103,8,FALSE)&gt;0,IF(VLOOKUP(A78,Schlußkurse!A$5:AU$105,37,FALSE)&gt;0,VLOOKUP(A78,Schlußkurse!A$5:AU$105,37,FALSE)/VLOOKUP(A78,Ergebnis_je_Aktie_verwässert!A$3:AJ$103,8,FALSE),""),"")</f>
        <v>#N/A</v>
      </c>
      <c r="F78" s="79" t="e">
        <f>IF(VLOOKUP(A78,Ergebnis_je_Aktie_verwässert!A$3:AJ$103,9,FALSE)&gt;0,IF(VLOOKUP(A78,Schlußkurse!A$5:AU$105,38,FALSE)&gt;0,VLOOKUP(A78,Schlußkurse!A$5:AU$105,38,FALSE)/VLOOKUP(A78,Ergebnis_je_Aktie_verwässert!A$3:AJ$103,9,FALSE),""),"")</f>
        <v>#N/A</v>
      </c>
      <c r="G78" s="79" t="e">
        <f>IF(VLOOKUP(A78,Ergebnis_je_Aktie_verwässert!A$3:AJ$103,10,FALSE)&gt;0,IF(VLOOKUP(A78,Schlußkurse!A$5:AU$105,39,FALSE)&gt;0,VLOOKUP(A78,Schlußkurse!A$5:AU$105,39,FALSE)/VLOOKUP(A78,Ergebnis_je_Aktie_verwässert!A$3:AJ$103,10,FALSE),""),"")</f>
        <v>#N/A</v>
      </c>
      <c r="H78" s="79" t="e">
        <f>IF(VLOOKUP(A78,Ergebnis_je_Aktie_verwässert!A$3:AJ$103,11,FALSE)&gt;0,IF(VLOOKUP(A78,Schlußkurse!A$5:AU$105,40,FALSE)&gt;0,VLOOKUP(A78,Schlußkurse!A$5:AU$105,40,FALSE)/VLOOKUP(A78,Ergebnis_je_Aktie_verwässert!A$3:AJ$103,11,FALSE),""),"")</f>
        <v>#N/A</v>
      </c>
      <c r="I78" s="79" t="e">
        <f>IF(VLOOKUP(A78,Ergebnis_je_Aktie_verwässert!A$3:AJ$103,12,FALSE)&gt;0,IF(VLOOKUP(A78,Schlußkurse!A$5:AU$105,41,FALSE)&gt;0,VLOOKUP(A78,Schlußkurse!A$5:AU$105,41,FALSE)/VLOOKUP(A78,Ergebnis_je_Aktie_verwässert!A$3:AJ$103,12,FALSE),""),"")</f>
        <v>#N/A</v>
      </c>
      <c r="J78" s="79" t="e">
        <f>IF(VLOOKUP(A78,Ergebnis_je_Aktie_verwässert!A$3:AJ$103,13,FALSE)&gt;0,IF(VLOOKUP(A78,Schlußkurse!A$5:AU$105,42,FALSE)&gt;0,VLOOKUP(A78,Schlußkurse!A$5:AU$105,42,FALSE)/VLOOKUP(A78,Ergebnis_je_Aktie_verwässert!A$3:AJ$103,13,FALSE),""),"")</f>
        <v>#N/A</v>
      </c>
      <c r="K78" s="79" t="e">
        <f>IF(VLOOKUP(A78,Ergebnis_je_Aktie_verwässert!A$3:AJ$103,14,FALSE)&gt;0,IF(VLOOKUP(A78,Schlußkurse!A$5:AU$105,43,FALSE)&gt;0,VLOOKUP(A78,Schlußkurse!A$5:AU$105,43,FALSE)/VLOOKUP(A78,Ergebnis_je_Aktie_verwässert!A$3:AJ$103,14,FALSE),""),"")</f>
        <v>#N/A</v>
      </c>
      <c r="L78" s="79" t="e">
        <f>IF(VLOOKUP(A78,Ergebnis_je_Aktie_verwässert!A$3:AJ$103,15,FALSE)&gt;0,IF(VLOOKUP(A78,Schlußkurse!A$5:AU$105,44,FALSE)&gt;0,VLOOKUP(A78,Schlußkurse!A$5:AU$105,44,FALSE)/VLOOKUP(A78,Ergebnis_je_Aktie_verwässert!A$3:AJ$103,15,FALSE),""),"")</f>
        <v>#N/A</v>
      </c>
      <c r="M78" s="79" t="e">
        <f>IF(VLOOKUP(A78,Ergebnis_je_Aktie_verwässert!A$3:AJ$103,16,FALSE)&gt;0,IF(VLOOKUP(A78,Schlußkurse!A$5:AU$105,45,FALSE)&gt;0,VLOOKUP(A78,Schlußkurse!A$5:AU$105,45,FALSE)/VLOOKUP(A78,Ergebnis_je_Aktie_verwässert!A$3:AJ$103,16,FALSE),""),"")</f>
        <v>#N/A</v>
      </c>
      <c r="N78" s="79" t="e">
        <f>IF(VLOOKUP(A78,Ergebnis_je_Aktie_verwässert!A$3:AJ$103,17,FALSE)&gt;0,IF(VLOOKUP(A78,Schlußkurse!A$5:AU$105,46,FALSE)&gt;0,VLOOKUP(A78,Schlußkurse!A$5:AU$105,46,FALSE)/VLOOKUP(A78,Ergebnis_je_Aktie_verwässert!A$3:AJ$103,17,FALSE),""),"")</f>
        <v>#N/A</v>
      </c>
      <c r="O78" s="80" t="e">
        <f>IF(VLOOKUP(A78,Ergebnis_je_Aktie_verwässert!A$3:AJ$103,18,FALSE)&gt;0,IF(VLOOKUP(A78,Schlußkurse!A$5:AU$105,47,FALSE)&gt;0,VLOOKUP(A78,Schlußkurse!A$5:AU$105,47,FALSE)/VLOOKUP(A78,Ergebnis_je_Aktie_verwässert!A$3:AJ$103,18,FALSE),""),"")</f>
        <v>#N/A</v>
      </c>
      <c r="P78" s="3" t="e">
        <f t="shared" si="2"/>
        <v>#N/A</v>
      </c>
      <c r="Q78" s="3" t="e">
        <f>VLOOKUP(A78,Schlußkurse!A$5:AU$105,35,FALSE)/VLOOKUP(A78,Ergebnis_je_Aktie_verwässert!A$3:AK$103,23,FALSE)</f>
        <v>#N/A</v>
      </c>
      <c r="R78" s="5" t="e">
        <f t="shared" si="3"/>
        <v>#N/A</v>
      </c>
    </row>
    <row r="79" spans="1:18" x14ac:dyDescent="0.25">
      <c r="C79" s="78" t="e">
        <f>IF(VLOOKUP(A79,Ergebnis_je_Aktie_verwässert!A$3:AJ$103,6,FALSE)&gt;0,IF(VLOOKUP(A79,Schlußkurse!A$5:AU$105,35,FALSE)&gt;0,VLOOKUP(A79,Schlußkurse!A$5:AU$105,35,FALSE)/VLOOKUP(A79,Ergebnis_je_Aktie_verwässert!A$3:AJ$103,6,FALSE),""),"")</f>
        <v>#N/A</v>
      </c>
      <c r="D79" s="79" t="e">
        <f>IF(VLOOKUP(A79,Ergebnis_je_Aktie_verwässert!A$3:AJ$103,7,FALSE)&gt;0,IF(VLOOKUP(A79,Schlußkurse!A$5:AU$105,36,FALSE)&gt;0,VLOOKUP(A79,Schlußkurse!A$5:AU$105,36,FALSE)/VLOOKUP(A79,Ergebnis_je_Aktie_verwässert!A$3:AJ$103,7,FALSE),""),"")</f>
        <v>#N/A</v>
      </c>
      <c r="E79" s="79" t="e">
        <f>IF(VLOOKUP(A79,Ergebnis_je_Aktie_verwässert!A$3:AJ$103,8,FALSE)&gt;0,IF(VLOOKUP(A79,Schlußkurse!A$5:AU$105,37,FALSE)&gt;0,VLOOKUP(A79,Schlußkurse!A$5:AU$105,37,FALSE)/VLOOKUP(A79,Ergebnis_je_Aktie_verwässert!A$3:AJ$103,8,FALSE),""),"")</f>
        <v>#N/A</v>
      </c>
      <c r="F79" s="79" t="e">
        <f>IF(VLOOKUP(A79,Ergebnis_je_Aktie_verwässert!A$3:AJ$103,9,FALSE)&gt;0,IF(VLOOKUP(A79,Schlußkurse!A$5:AU$105,38,FALSE)&gt;0,VLOOKUP(A79,Schlußkurse!A$5:AU$105,38,FALSE)/VLOOKUP(A79,Ergebnis_je_Aktie_verwässert!A$3:AJ$103,9,FALSE),""),"")</f>
        <v>#N/A</v>
      </c>
      <c r="G79" s="79" t="e">
        <f>IF(VLOOKUP(A79,Ergebnis_je_Aktie_verwässert!A$3:AJ$103,10,FALSE)&gt;0,IF(VLOOKUP(A79,Schlußkurse!A$5:AU$105,39,FALSE)&gt;0,VLOOKUP(A79,Schlußkurse!A$5:AU$105,39,FALSE)/VLOOKUP(A79,Ergebnis_je_Aktie_verwässert!A$3:AJ$103,10,FALSE),""),"")</f>
        <v>#N/A</v>
      </c>
      <c r="H79" s="79" t="e">
        <f>IF(VLOOKUP(A79,Ergebnis_je_Aktie_verwässert!A$3:AJ$103,11,FALSE)&gt;0,IF(VLOOKUP(A79,Schlußkurse!A$5:AU$105,40,FALSE)&gt;0,VLOOKUP(A79,Schlußkurse!A$5:AU$105,40,FALSE)/VLOOKUP(A79,Ergebnis_je_Aktie_verwässert!A$3:AJ$103,11,FALSE),""),"")</f>
        <v>#N/A</v>
      </c>
      <c r="I79" s="79" t="e">
        <f>IF(VLOOKUP(A79,Ergebnis_je_Aktie_verwässert!A$3:AJ$103,12,FALSE)&gt;0,IF(VLOOKUP(A79,Schlußkurse!A$5:AU$105,41,FALSE)&gt;0,VLOOKUP(A79,Schlußkurse!A$5:AU$105,41,FALSE)/VLOOKUP(A79,Ergebnis_je_Aktie_verwässert!A$3:AJ$103,12,FALSE),""),"")</f>
        <v>#N/A</v>
      </c>
      <c r="J79" s="79" t="e">
        <f>IF(VLOOKUP(A79,Ergebnis_je_Aktie_verwässert!A$3:AJ$103,13,FALSE)&gt;0,IF(VLOOKUP(A79,Schlußkurse!A$5:AU$105,42,FALSE)&gt;0,VLOOKUP(A79,Schlußkurse!A$5:AU$105,42,FALSE)/VLOOKUP(A79,Ergebnis_je_Aktie_verwässert!A$3:AJ$103,13,FALSE),""),"")</f>
        <v>#N/A</v>
      </c>
      <c r="K79" s="79" t="e">
        <f>IF(VLOOKUP(A79,Ergebnis_je_Aktie_verwässert!A$3:AJ$103,14,FALSE)&gt;0,IF(VLOOKUP(A79,Schlußkurse!A$5:AU$105,43,FALSE)&gt;0,VLOOKUP(A79,Schlußkurse!A$5:AU$105,43,FALSE)/VLOOKUP(A79,Ergebnis_je_Aktie_verwässert!A$3:AJ$103,14,FALSE),""),"")</f>
        <v>#N/A</v>
      </c>
      <c r="L79" s="79" t="e">
        <f>IF(VLOOKUP(A79,Ergebnis_je_Aktie_verwässert!A$3:AJ$103,15,FALSE)&gt;0,IF(VLOOKUP(A79,Schlußkurse!A$5:AU$105,44,FALSE)&gt;0,VLOOKUP(A79,Schlußkurse!A$5:AU$105,44,FALSE)/VLOOKUP(A79,Ergebnis_je_Aktie_verwässert!A$3:AJ$103,15,FALSE),""),"")</f>
        <v>#N/A</v>
      </c>
      <c r="M79" s="79" t="e">
        <f>IF(VLOOKUP(A79,Ergebnis_je_Aktie_verwässert!A$3:AJ$103,16,FALSE)&gt;0,IF(VLOOKUP(A79,Schlußkurse!A$5:AU$105,45,FALSE)&gt;0,VLOOKUP(A79,Schlußkurse!A$5:AU$105,45,FALSE)/VLOOKUP(A79,Ergebnis_je_Aktie_verwässert!A$3:AJ$103,16,FALSE),""),"")</f>
        <v>#N/A</v>
      </c>
      <c r="N79" s="79" t="e">
        <f>IF(VLOOKUP(A79,Ergebnis_je_Aktie_verwässert!A$3:AJ$103,17,FALSE)&gt;0,IF(VLOOKUP(A79,Schlußkurse!A$5:AU$105,46,FALSE)&gt;0,VLOOKUP(A79,Schlußkurse!A$5:AU$105,46,FALSE)/VLOOKUP(A79,Ergebnis_je_Aktie_verwässert!A$3:AJ$103,17,FALSE),""),"")</f>
        <v>#N/A</v>
      </c>
      <c r="O79" s="80" t="e">
        <f>IF(VLOOKUP(A79,Ergebnis_je_Aktie_verwässert!A$3:AJ$103,18,FALSE)&gt;0,IF(VLOOKUP(A79,Schlußkurse!A$5:AU$105,47,FALSE)&gt;0,VLOOKUP(A79,Schlußkurse!A$5:AU$105,47,FALSE)/VLOOKUP(A79,Ergebnis_je_Aktie_verwässert!A$3:AJ$103,18,FALSE),""),"")</f>
        <v>#N/A</v>
      </c>
      <c r="P79" s="3" t="e">
        <f t="shared" si="2"/>
        <v>#N/A</v>
      </c>
      <c r="Q79" s="3" t="e">
        <f>VLOOKUP(A79,Schlußkurse!A$5:AU$105,35,FALSE)/VLOOKUP(A79,Ergebnis_je_Aktie_verwässert!A$3:AK$103,23,FALSE)</f>
        <v>#N/A</v>
      </c>
      <c r="R79" s="5" t="e">
        <f t="shared" si="3"/>
        <v>#N/A</v>
      </c>
    </row>
    <row r="80" spans="1:18" x14ac:dyDescent="0.25">
      <c r="C80" s="78" t="e">
        <f>IF(VLOOKUP(A80,Ergebnis_je_Aktie_verwässert!A$3:AJ$103,6,FALSE)&gt;0,IF(VLOOKUP(A80,Schlußkurse!A$5:AU$105,35,FALSE)&gt;0,VLOOKUP(A80,Schlußkurse!A$5:AU$105,35,FALSE)/VLOOKUP(A80,Ergebnis_je_Aktie_verwässert!A$3:AJ$103,6,FALSE),""),"")</f>
        <v>#N/A</v>
      </c>
      <c r="D80" s="79" t="e">
        <f>IF(VLOOKUP(A80,Ergebnis_je_Aktie_verwässert!A$3:AJ$103,7,FALSE)&gt;0,IF(VLOOKUP(A80,Schlußkurse!A$5:AU$105,36,FALSE)&gt;0,VLOOKUP(A80,Schlußkurse!A$5:AU$105,36,FALSE)/VLOOKUP(A80,Ergebnis_je_Aktie_verwässert!A$3:AJ$103,7,FALSE),""),"")</f>
        <v>#N/A</v>
      </c>
      <c r="E80" s="79" t="e">
        <f>IF(VLOOKUP(A80,Ergebnis_je_Aktie_verwässert!A$3:AJ$103,8,FALSE)&gt;0,IF(VLOOKUP(A80,Schlußkurse!A$5:AU$105,37,FALSE)&gt;0,VLOOKUP(A80,Schlußkurse!A$5:AU$105,37,FALSE)/VLOOKUP(A80,Ergebnis_je_Aktie_verwässert!A$3:AJ$103,8,FALSE),""),"")</f>
        <v>#N/A</v>
      </c>
      <c r="F80" s="79" t="e">
        <f>IF(VLOOKUP(A80,Ergebnis_je_Aktie_verwässert!A$3:AJ$103,9,FALSE)&gt;0,IF(VLOOKUP(A80,Schlußkurse!A$5:AU$105,38,FALSE)&gt;0,VLOOKUP(A80,Schlußkurse!A$5:AU$105,38,FALSE)/VLOOKUP(A80,Ergebnis_je_Aktie_verwässert!A$3:AJ$103,9,FALSE),""),"")</f>
        <v>#N/A</v>
      </c>
      <c r="G80" s="79" t="e">
        <f>IF(VLOOKUP(A80,Ergebnis_je_Aktie_verwässert!A$3:AJ$103,10,FALSE)&gt;0,IF(VLOOKUP(A80,Schlußkurse!A$5:AU$105,39,FALSE)&gt;0,VLOOKUP(A80,Schlußkurse!A$5:AU$105,39,FALSE)/VLOOKUP(A80,Ergebnis_je_Aktie_verwässert!A$3:AJ$103,10,FALSE),""),"")</f>
        <v>#N/A</v>
      </c>
      <c r="H80" s="79" t="e">
        <f>IF(VLOOKUP(A80,Ergebnis_je_Aktie_verwässert!A$3:AJ$103,11,FALSE)&gt;0,IF(VLOOKUP(A80,Schlußkurse!A$5:AU$105,40,FALSE)&gt;0,VLOOKUP(A80,Schlußkurse!A$5:AU$105,40,FALSE)/VLOOKUP(A80,Ergebnis_je_Aktie_verwässert!A$3:AJ$103,11,FALSE),""),"")</f>
        <v>#N/A</v>
      </c>
      <c r="I80" s="79" t="e">
        <f>IF(VLOOKUP(A80,Ergebnis_je_Aktie_verwässert!A$3:AJ$103,12,FALSE)&gt;0,IF(VLOOKUP(A80,Schlußkurse!A$5:AU$105,41,FALSE)&gt;0,VLOOKUP(A80,Schlußkurse!A$5:AU$105,41,FALSE)/VLOOKUP(A80,Ergebnis_je_Aktie_verwässert!A$3:AJ$103,12,FALSE),""),"")</f>
        <v>#N/A</v>
      </c>
      <c r="J80" s="79" t="e">
        <f>IF(VLOOKUP(A80,Ergebnis_je_Aktie_verwässert!A$3:AJ$103,13,FALSE)&gt;0,IF(VLOOKUP(A80,Schlußkurse!A$5:AU$105,42,FALSE)&gt;0,VLOOKUP(A80,Schlußkurse!A$5:AU$105,42,FALSE)/VLOOKUP(A80,Ergebnis_je_Aktie_verwässert!A$3:AJ$103,13,FALSE),""),"")</f>
        <v>#N/A</v>
      </c>
      <c r="K80" s="79" t="e">
        <f>IF(VLOOKUP(A80,Ergebnis_je_Aktie_verwässert!A$3:AJ$103,14,FALSE)&gt;0,IF(VLOOKUP(A80,Schlußkurse!A$5:AU$105,43,FALSE)&gt;0,VLOOKUP(A80,Schlußkurse!A$5:AU$105,43,FALSE)/VLOOKUP(A80,Ergebnis_je_Aktie_verwässert!A$3:AJ$103,14,FALSE),""),"")</f>
        <v>#N/A</v>
      </c>
      <c r="L80" s="79" t="e">
        <f>IF(VLOOKUP(A80,Ergebnis_je_Aktie_verwässert!A$3:AJ$103,15,FALSE)&gt;0,IF(VLOOKUP(A80,Schlußkurse!A$5:AU$105,44,FALSE)&gt;0,VLOOKUP(A80,Schlußkurse!A$5:AU$105,44,FALSE)/VLOOKUP(A80,Ergebnis_je_Aktie_verwässert!A$3:AJ$103,15,FALSE),""),"")</f>
        <v>#N/A</v>
      </c>
      <c r="M80" s="79" t="e">
        <f>IF(VLOOKUP(A80,Ergebnis_je_Aktie_verwässert!A$3:AJ$103,16,FALSE)&gt;0,IF(VLOOKUP(A80,Schlußkurse!A$5:AU$105,45,FALSE)&gt;0,VLOOKUP(A80,Schlußkurse!A$5:AU$105,45,FALSE)/VLOOKUP(A80,Ergebnis_je_Aktie_verwässert!A$3:AJ$103,16,FALSE),""),"")</f>
        <v>#N/A</v>
      </c>
      <c r="N80" s="79" t="e">
        <f>IF(VLOOKUP(A80,Ergebnis_je_Aktie_verwässert!A$3:AJ$103,17,FALSE)&gt;0,IF(VLOOKUP(A80,Schlußkurse!A$5:AU$105,46,FALSE)&gt;0,VLOOKUP(A80,Schlußkurse!A$5:AU$105,46,FALSE)/VLOOKUP(A80,Ergebnis_je_Aktie_verwässert!A$3:AJ$103,17,FALSE),""),"")</f>
        <v>#N/A</v>
      </c>
      <c r="O80" s="80" t="e">
        <f>IF(VLOOKUP(A80,Ergebnis_je_Aktie_verwässert!A$3:AJ$103,18,FALSE)&gt;0,IF(VLOOKUP(A80,Schlußkurse!A$5:AU$105,47,FALSE)&gt;0,VLOOKUP(A80,Schlußkurse!A$5:AU$105,47,FALSE)/VLOOKUP(A80,Ergebnis_je_Aktie_verwässert!A$3:AJ$103,18,FALSE),""),"")</f>
        <v>#N/A</v>
      </c>
      <c r="P80" s="3" t="e">
        <f t="shared" si="2"/>
        <v>#N/A</v>
      </c>
      <c r="Q80" s="3" t="e">
        <f>VLOOKUP(A80,Schlußkurse!A$5:AU$105,35,FALSE)/VLOOKUP(A80,Ergebnis_je_Aktie_verwässert!A$3:AK$103,23,FALSE)</f>
        <v>#N/A</v>
      </c>
      <c r="R80" s="5" t="e">
        <f t="shared" si="3"/>
        <v>#N/A</v>
      </c>
    </row>
    <row r="81" spans="3:18" x14ac:dyDescent="0.25">
      <c r="C81" s="78" t="e">
        <f>IF(VLOOKUP(A81,Ergebnis_je_Aktie_verwässert!A$3:AJ$103,6,FALSE)&gt;0,IF(VLOOKUP(A81,Schlußkurse!A$5:AU$105,35,FALSE)&gt;0,VLOOKUP(A81,Schlußkurse!A$5:AU$105,35,FALSE)/VLOOKUP(A81,Ergebnis_je_Aktie_verwässert!A$3:AJ$103,6,FALSE),""),"")</f>
        <v>#N/A</v>
      </c>
      <c r="D81" s="79" t="e">
        <f>IF(VLOOKUP(A81,Ergebnis_je_Aktie_verwässert!A$3:AJ$103,7,FALSE)&gt;0,IF(VLOOKUP(A81,Schlußkurse!A$5:AU$105,36,FALSE)&gt;0,VLOOKUP(A81,Schlußkurse!A$5:AU$105,36,FALSE)/VLOOKUP(A81,Ergebnis_je_Aktie_verwässert!A$3:AJ$103,7,FALSE),""),"")</f>
        <v>#N/A</v>
      </c>
      <c r="E81" s="79" t="e">
        <f>IF(VLOOKUP(A81,Ergebnis_je_Aktie_verwässert!A$3:AJ$103,8,FALSE)&gt;0,IF(VLOOKUP(A81,Schlußkurse!A$5:AU$105,37,FALSE)&gt;0,VLOOKUP(A81,Schlußkurse!A$5:AU$105,37,FALSE)/VLOOKUP(A81,Ergebnis_je_Aktie_verwässert!A$3:AJ$103,8,FALSE),""),"")</f>
        <v>#N/A</v>
      </c>
      <c r="F81" s="79" t="e">
        <f>IF(VLOOKUP(A81,Ergebnis_je_Aktie_verwässert!A$3:AJ$103,9,FALSE)&gt;0,IF(VLOOKUP(A81,Schlußkurse!A$5:AU$105,38,FALSE)&gt;0,VLOOKUP(A81,Schlußkurse!A$5:AU$105,38,FALSE)/VLOOKUP(A81,Ergebnis_je_Aktie_verwässert!A$3:AJ$103,9,FALSE),""),"")</f>
        <v>#N/A</v>
      </c>
      <c r="G81" s="79" t="e">
        <f>IF(VLOOKUP(A81,Ergebnis_je_Aktie_verwässert!A$3:AJ$103,10,FALSE)&gt;0,IF(VLOOKUP(A81,Schlußkurse!A$5:AU$105,39,FALSE)&gt;0,VLOOKUP(A81,Schlußkurse!A$5:AU$105,39,FALSE)/VLOOKUP(A81,Ergebnis_je_Aktie_verwässert!A$3:AJ$103,10,FALSE),""),"")</f>
        <v>#N/A</v>
      </c>
      <c r="H81" s="79" t="e">
        <f>IF(VLOOKUP(A81,Ergebnis_je_Aktie_verwässert!A$3:AJ$103,11,FALSE)&gt;0,IF(VLOOKUP(A81,Schlußkurse!A$5:AU$105,40,FALSE)&gt;0,VLOOKUP(A81,Schlußkurse!A$5:AU$105,40,FALSE)/VLOOKUP(A81,Ergebnis_je_Aktie_verwässert!A$3:AJ$103,11,FALSE),""),"")</f>
        <v>#N/A</v>
      </c>
      <c r="I81" s="79" t="e">
        <f>IF(VLOOKUP(A81,Ergebnis_je_Aktie_verwässert!A$3:AJ$103,12,FALSE)&gt;0,IF(VLOOKUP(A81,Schlußkurse!A$5:AU$105,41,FALSE)&gt;0,VLOOKUP(A81,Schlußkurse!A$5:AU$105,41,FALSE)/VLOOKUP(A81,Ergebnis_je_Aktie_verwässert!A$3:AJ$103,12,FALSE),""),"")</f>
        <v>#N/A</v>
      </c>
      <c r="J81" s="79" t="e">
        <f>IF(VLOOKUP(A81,Ergebnis_je_Aktie_verwässert!A$3:AJ$103,13,FALSE)&gt;0,IF(VLOOKUP(A81,Schlußkurse!A$5:AU$105,42,FALSE)&gt;0,VLOOKUP(A81,Schlußkurse!A$5:AU$105,42,FALSE)/VLOOKUP(A81,Ergebnis_je_Aktie_verwässert!A$3:AJ$103,13,FALSE),""),"")</f>
        <v>#N/A</v>
      </c>
      <c r="K81" s="79" t="e">
        <f>IF(VLOOKUP(A81,Ergebnis_je_Aktie_verwässert!A$3:AJ$103,14,FALSE)&gt;0,IF(VLOOKUP(A81,Schlußkurse!A$5:AU$105,43,FALSE)&gt;0,VLOOKUP(A81,Schlußkurse!A$5:AU$105,43,FALSE)/VLOOKUP(A81,Ergebnis_je_Aktie_verwässert!A$3:AJ$103,14,FALSE),""),"")</f>
        <v>#N/A</v>
      </c>
      <c r="L81" s="79" t="e">
        <f>IF(VLOOKUP(A81,Ergebnis_je_Aktie_verwässert!A$3:AJ$103,15,FALSE)&gt;0,IF(VLOOKUP(A81,Schlußkurse!A$5:AU$105,44,FALSE)&gt;0,VLOOKUP(A81,Schlußkurse!A$5:AU$105,44,FALSE)/VLOOKUP(A81,Ergebnis_je_Aktie_verwässert!A$3:AJ$103,15,FALSE),""),"")</f>
        <v>#N/A</v>
      </c>
      <c r="M81" s="79" t="e">
        <f>IF(VLOOKUP(A81,Ergebnis_je_Aktie_verwässert!A$3:AJ$103,16,FALSE)&gt;0,IF(VLOOKUP(A81,Schlußkurse!A$5:AU$105,45,FALSE)&gt;0,VLOOKUP(A81,Schlußkurse!A$5:AU$105,45,FALSE)/VLOOKUP(A81,Ergebnis_je_Aktie_verwässert!A$3:AJ$103,16,FALSE),""),"")</f>
        <v>#N/A</v>
      </c>
      <c r="N81" s="79" t="e">
        <f>IF(VLOOKUP(A81,Ergebnis_je_Aktie_verwässert!A$3:AJ$103,17,FALSE)&gt;0,IF(VLOOKUP(A81,Schlußkurse!A$5:AU$105,46,FALSE)&gt;0,VLOOKUP(A81,Schlußkurse!A$5:AU$105,46,FALSE)/VLOOKUP(A81,Ergebnis_je_Aktie_verwässert!A$3:AJ$103,17,FALSE),""),"")</f>
        <v>#N/A</v>
      </c>
      <c r="O81" s="80" t="e">
        <f>IF(VLOOKUP(A81,Ergebnis_je_Aktie_verwässert!A$3:AJ$103,18,FALSE)&gt;0,IF(VLOOKUP(A81,Schlußkurse!A$5:AU$105,47,FALSE)&gt;0,VLOOKUP(A81,Schlußkurse!A$5:AU$105,47,FALSE)/VLOOKUP(A81,Ergebnis_je_Aktie_verwässert!A$3:AJ$103,18,FALSE),""),"")</f>
        <v>#N/A</v>
      </c>
      <c r="P81" s="3" t="e">
        <f t="shared" si="2"/>
        <v>#N/A</v>
      </c>
      <c r="Q81" s="3" t="e">
        <f>VLOOKUP(A81,Schlußkurse!A$5:AU$105,35,FALSE)/VLOOKUP(A81,Ergebnis_je_Aktie_verwässert!A$3:AK$103,23,FALSE)</f>
        <v>#N/A</v>
      </c>
      <c r="R81" s="5" t="e">
        <f t="shared" si="3"/>
        <v>#N/A</v>
      </c>
    </row>
    <row r="82" spans="3:18" x14ac:dyDescent="0.25">
      <c r="C82" s="78" t="e">
        <f>IF(VLOOKUP(A82,Ergebnis_je_Aktie_verwässert!A$3:AJ$103,6,FALSE)&gt;0,IF(VLOOKUP(A82,Schlußkurse!A$5:AU$105,35,FALSE)&gt;0,VLOOKUP(A82,Schlußkurse!A$5:AU$105,35,FALSE)/VLOOKUP(A82,Ergebnis_je_Aktie_verwässert!A$3:AJ$103,6,FALSE),""),"")</f>
        <v>#N/A</v>
      </c>
      <c r="D82" s="79" t="e">
        <f>IF(VLOOKUP(A82,Ergebnis_je_Aktie_verwässert!A$3:AJ$103,7,FALSE)&gt;0,IF(VLOOKUP(A82,Schlußkurse!A$5:AU$105,36,FALSE)&gt;0,VLOOKUP(A82,Schlußkurse!A$5:AU$105,36,FALSE)/VLOOKUP(A82,Ergebnis_je_Aktie_verwässert!A$3:AJ$103,7,FALSE),""),"")</f>
        <v>#N/A</v>
      </c>
      <c r="E82" s="79" t="e">
        <f>IF(VLOOKUP(A82,Ergebnis_je_Aktie_verwässert!A$3:AJ$103,8,FALSE)&gt;0,IF(VLOOKUP(A82,Schlußkurse!A$5:AU$105,37,FALSE)&gt;0,VLOOKUP(A82,Schlußkurse!A$5:AU$105,37,FALSE)/VLOOKUP(A82,Ergebnis_je_Aktie_verwässert!A$3:AJ$103,8,FALSE),""),"")</f>
        <v>#N/A</v>
      </c>
      <c r="F82" s="79" t="e">
        <f>IF(VLOOKUP(A82,Ergebnis_je_Aktie_verwässert!A$3:AJ$103,9,FALSE)&gt;0,IF(VLOOKUP(A82,Schlußkurse!A$5:AU$105,38,FALSE)&gt;0,VLOOKUP(A82,Schlußkurse!A$5:AU$105,38,FALSE)/VLOOKUP(A82,Ergebnis_je_Aktie_verwässert!A$3:AJ$103,9,FALSE),""),"")</f>
        <v>#N/A</v>
      </c>
      <c r="G82" s="79" t="e">
        <f>IF(VLOOKUP(A82,Ergebnis_je_Aktie_verwässert!A$3:AJ$103,10,FALSE)&gt;0,IF(VLOOKUP(A82,Schlußkurse!A$5:AU$105,39,FALSE)&gt;0,VLOOKUP(A82,Schlußkurse!A$5:AU$105,39,FALSE)/VLOOKUP(A82,Ergebnis_je_Aktie_verwässert!A$3:AJ$103,10,FALSE),""),"")</f>
        <v>#N/A</v>
      </c>
      <c r="H82" s="79" t="e">
        <f>IF(VLOOKUP(A82,Ergebnis_je_Aktie_verwässert!A$3:AJ$103,11,FALSE)&gt;0,IF(VLOOKUP(A82,Schlußkurse!A$5:AU$105,40,FALSE)&gt;0,VLOOKUP(A82,Schlußkurse!A$5:AU$105,40,FALSE)/VLOOKUP(A82,Ergebnis_je_Aktie_verwässert!A$3:AJ$103,11,FALSE),""),"")</f>
        <v>#N/A</v>
      </c>
      <c r="I82" s="79" t="e">
        <f>IF(VLOOKUP(A82,Ergebnis_je_Aktie_verwässert!A$3:AJ$103,12,FALSE)&gt;0,IF(VLOOKUP(A82,Schlußkurse!A$5:AU$105,41,FALSE)&gt;0,VLOOKUP(A82,Schlußkurse!A$5:AU$105,41,FALSE)/VLOOKUP(A82,Ergebnis_je_Aktie_verwässert!A$3:AJ$103,12,FALSE),""),"")</f>
        <v>#N/A</v>
      </c>
      <c r="J82" s="79" t="e">
        <f>IF(VLOOKUP(A82,Ergebnis_je_Aktie_verwässert!A$3:AJ$103,13,FALSE)&gt;0,IF(VLOOKUP(A82,Schlußkurse!A$5:AU$105,42,FALSE)&gt;0,VLOOKUP(A82,Schlußkurse!A$5:AU$105,42,FALSE)/VLOOKUP(A82,Ergebnis_je_Aktie_verwässert!A$3:AJ$103,13,FALSE),""),"")</f>
        <v>#N/A</v>
      </c>
      <c r="K82" s="79" t="e">
        <f>IF(VLOOKUP(A82,Ergebnis_je_Aktie_verwässert!A$3:AJ$103,14,FALSE)&gt;0,IF(VLOOKUP(A82,Schlußkurse!A$5:AU$105,43,FALSE)&gt;0,VLOOKUP(A82,Schlußkurse!A$5:AU$105,43,FALSE)/VLOOKUP(A82,Ergebnis_je_Aktie_verwässert!A$3:AJ$103,14,FALSE),""),"")</f>
        <v>#N/A</v>
      </c>
      <c r="L82" s="79" t="e">
        <f>IF(VLOOKUP(A82,Ergebnis_je_Aktie_verwässert!A$3:AJ$103,15,FALSE)&gt;0,IF(VLOOKUP(A82,Schlußkurse!A$5:AU$105,44,FALSE)&gt;0,VLOOKUP(A82,Schlußkurse!A$5:AU$105,44,FALSE)/VLOOKUP(A82,Ergebnis_je_Aktie_verwässert!A$3:AJ$103,15,FALSE),""),"")</f>
        <v>#N/A</v>
      </c>
      <c r="M82" s="79" t="e">
        <f>IF(VLOOKUP(A82,Ergebnis_je_Aktie_verwässert!A$3:AJ$103,16,FALSE)&gt;0,IF(VLOOKUP(A82,Schlußkurse!A$5:AU$105,45,FALSE)&gt;0,VLOOKUP(A82,Schlußkurse!A$5:AU$105,45,FALSE)/VLOOKUP(A82,Ergebnis_je_Aktie_verwässert!A$3:AJ$103,16,FALSE),""),"")</f>
        <v>#N/A</v>
      </c>
      <c r="N82" s="79" t="e">
        <f>IF(VLOOKUP(A82,Ergebnis_je_Aktie_verwässert!A$3:AJ$103,17,FALSE)&gt;0,IF(VLOOKUP(A82,Schlußkurse!A$5:AU$105,46,FALSE)&gt;0,VLOOKUP(A82,Schlußkurse!A$5:AU$105,46,FALSE)/VLOOKUP(A82,Ergebnis_je_Aktie_verwässert!A$3:AJ$103,17,FALSE),""),"")</f>
        <v>#N/A</v>
      </c>
      <c r="O82" s="80" t="e">
        <f>IF(VLOOKUP(A82,Ergebnis_je_Aktie_verwässert!A$3:AJ$103,18,FALSE)&gt;0,IF(VLOOKUP(A82,Schlußkurse!A$5:AU$105,47,FALSE)&gt;0,VLOOKUP(A82,Schlußkurse!A$5:AU$105,47,FALSE)/VLOOKUP(A82,Ergebnis_je_Aktie_verwässert!A$3:AJ$103,18,FALSE),""),"")</f>
        <v>#N/A</v>
      </c>
      <c r="P82" s="3" t="e">
        <f t="shared" si="2"/>
        <v>#N/A</v>
      </c>
      <c r="Q82" s="3" t="e">
        <f>VLOOKUP(A82,Schlußkurse!A$5:AU$105,35,FALSE)/VLOOKUP(A82,Ergebnis_je_Aktie_verwässert!A$3:AK$103,23,FALSE)</f>
        <v>#N/A</v>
      </c>
      <c r="R82" s="5" t="e">
        <f t="shared" si="3"/>
        <v>#N/A</v>
      </c>
    </row>
    <row r="83" spans="3:18" x14ac:dyDescent="0.25">
      <c r="C83" s="78" t="e">
        <f>IF(VLOOKUP(A83,Ergebnis_je_Aktie_verwässert!A$3:AJ$103,6,FALSE)&gt;0,IF(VLOOKUP(A83,Schlußkurse!A$5:AU$105,35,FALSE)&gt;0,VLOOKUP(A83,Schlußkurse!A$5:AU$105,35,FALSE)/VLOOKUP(A83,Ergebnis_je_Aktie_verwässert!A$3:AJ$103,6,FALSE),""),"")</f>
        <v>#N/A</v>
      </c>
      <c r="D83" s="79" t="e">
        <f>IF(VLOOKUP(A83,Ergebnis_je_Aktie_verwässert!A$3:AJ$103,7,FALSE)&gt;0,IF(VLOOKUP(A83,Schlußkurse!A$5:AU$105,36,FALSE)&gt;0,VLOOKUP(A83,Schlußkurse!A$5:AU$105,36,FALSE)/VLOOKUP(A83,Ergebnis_je_Aktie_verwässert!A$3:AJ$103,7,FALSE),""),"")</f>
        <v>#N/A</v>
      </c>
      <c r="E83" s="79" t="e">
        <f>IF(VLOOKUP(A83,Ergebnis_je_Aktie_verwässert!A$3:AJ$103,8,FALSE)&gt;0,IF(VLOOKUP(A83,Schlußkurse!A$5:AU$105,37,FALSE)&gt;0,VLOOKUP(A83,Schlußkurse!A$5:AU$105,37,FALSE)/VLOOKUP(A83,Ergebnis_je_Aktie_verwässert!A$3:AJ$103,8,FALSE),""),"")</f>
        <v>#N/A</v>
      </c>
      <c r="F83" s="79" t="e">
        <f>IF(VLOOKUP(A83,Ergebnis_je_Aktie_verwässert!A$3:AJ$103,9,FALSE)&gt;0,IF(VLOOKUP(A83,Schlußkurse!A$5:AU$105,38,FALSE)&gt;0,VLOOKUP(A83,Schlußkurse!A$5:AU$105,38,FALSE)/VLOOKUP(A83,Ergebnis_je_Aktie_verwässert!A$3:AJ$103,9,FALSE),""),"")</f>
        <v>#N/A</v>
      </c>
      <c r="G83" s="79" t="e">
        <f>IF(VLOOKUP(A83,Ergebnis_je_Aktie_verwässert!A$3:AJ$103,10,FALSE)&gt;0,IF(VLOOKUP(A83,Schlußkurse!A$5:AU$105,39,FALSE)&gt;0,VLOOKUP(A83,Schlußkurse!A$5:AU$105,39,FALSE)/VLOOKUP(A83,Ergebnis_je_Aktie_verwässert!A$3:AJ$103,10,FALSE),""),"")</f>
        <v>#N/A</v>
      </c>
      <c r="H83" s="79" t="e">
        <f>IF(VLOOKUP(A83,Ergebnis_je_Aktie_verwässert!A$3:AJ$103,11,FALSE)&gt;0,IF(VLOOKUP(A83,Schlußkurse!A$5:AU$105,40,FALSE)&gt;0,VLOOKUP(A83,Schlußkurse!A$5:AU$105,40,FALSE)/VLOOKUP(A83,Ergebnis_je_Aktie_verwässert!A$3:AJ$103,11,FALSE),""),"")</f>
        <v>#N/A</v>
      </c>
      <c r="I83" s="79" t="e">
        <f>IF(VLOOKUP(A83,Ergebnis_je_Aktie_verwässert!A$3:AJ$103,12,FALSE)&gt;0,IF(VLOOKUP(A83,Schlußkurse!A$5:AU$105,41,FALSE)&gt;0,VLOOKUP(A83,Schlußkurse!A$5:AU$105,41,FALSE)/VLOOKUP(A83,Ergebnis_je_Aktie_verwässert!A$3:AJ$103,12,FALSE),""),"")</f>
        <v>#N/A</v>
      </c>
      <c r="J83" s="79" t="e">
        <f>IF(VLOOKUP(A83,Ergebnis_je_Aktie_verwässert!A$3:AJ$103,13,FALSE)&gt;0,IF(VLOOKUP(A83,Schlußkurse!A$5:AU$105,42,FALSE)&gt;0,VLOOKUP(A83,Schlußkurse!A$5:AU$105,42,FALSE)/VLOOKUP(A83,Ergebnis_je_Aktie_verwässert!A$3:AJ$103,13,FALSE),""),"")</f>
        <v>#N/A</v>
      </c>
      <c r="K83" s="79" t="e">
        <f>IF(VLOOKUP(A83,Ergebnis_je_Aktie_verwässert!A$3:AJ$103,14,FALSE)&gt;0,IF(VLOOKUP(A83,Schlußkurse!A$5:AU$105,43,FALSE)&gt;0,VLOOKUP(A83,Schlußkurse!A$5:AU$105,43,FALSE)/VLOOKUP(A83,Ergebnis_je_Aktie_verwässert!A$3:AJ$103,14,FALSE),""),"")</f>
        <v>#N/A</v>
      </c>
      <c r="L83" s="79" t="e">
        <f>IF(VLOOKUP(A83,Ergebnis_je_Aktie_verwässert!A$3:AJ$103,15,FALSE)&gt;0,IF(VLOOKUP(A83,Schlußkurse!A$5:AU$105,44,FALSE)&gt;0,VLOOKUP(A83,Schlußkurse!A$5:AU$105,44,FALSE)/VLOOKUP(A83,Ergebnis_je_Aktie_verwässert!A$3:AJ$103,15,FALSE),""),"")</f>
        <v>#N/A</v>
      </c>
      <c r="M83" s="79" t="e">
        <f>IF(VLOOKUP(A83,Ergebnis_je_Aktie_verwässert!A$3:AJ$103,16,FALSE)&gt;0,IF(VLOOKUP(A83,Schlußkurse!A$5:AU$105,45,FALSE)&gt;0,VLOOKUP(A83,Schlußkurse!A$5:AU$105,45,FALSE)/VLOOKUP(A83,Ergebnis_je_Aktie_verwässert!A$3:AJ$103,16,FALSE),""),"")</f>
        <v>#N/A</v>
      </c>
      <c r="N83" s="79" t="e">
        <f>IF(VLOOKUP(A83,Ergebnis_je_Aktie_verwässert!A$3:AJ$103,17,FALSE)&gt;0,IF(VLOOKUP(A83,Schlußkurse!A$5:AU$105,46,FALSE)&gt;0,VLOOKUP(A83,Schlußkurse!A$5:AU$105,46,FALSE)/VLOOKUP(A83,Ergebnis_je_Aktie_verwässert!A$3:AJ$103,17,FALSE),""),"")</f>
        <v>#N/A</v>
      </c>
      <c r="O83" s="80" t="e">
        <f>IF(VLOOKUP(A83,Ergebnis_je_Aktie_verwässert!A$3:AJ$103,18,FALSE)&gt;0,IF(VLOOKUP(A83,Schlußkurse!A$5:AU$105,47,FALSE)&gt;0,VLOOKUP(A83,Schlußkurse!A$5:AU$105,47,FALSE)/VLOOKUP(A83,Ergebnis_je_Aktie_verwässert!A$3:AJ$103,18,FALSE),""),"")</f>
        <v>#N/A</v>
      </c>
      <c r="P83" s="3" t="e">
        <f t="shared" si="2"/>
        <v>#N/A</v>
      </c>
      <c r="Q83" s="3" t="e">
        <f>VLOOKUP(A83,Schlußkurse!A$5:AU$105,35,FALSE)/VLOOKUP(A83,Ergebnis_je_Aktie_verwässert!A$3:AK$103,23,FALSE)</f>
        <v>#N/A</v>
      </c>
      <c r="R83" s="5" t="e">
        <f t="shared" si="3"/>
        <v>#N/A</v>
      </c>
    </row>
    <row r="84" spans="3:18" x14ac:dyDescent="0.25">
      <c r="C84" s="78" t="e">
        <f>IF(VLOOKUP(A84,Ergebnis_je_Aktie_verwässert!A$3:AJ$103,6,FALSE)&gt;0,IF(VLOOKUP(A84,Schlußkurse!A$5:AU$105,35,FALSE)&gt;0,VLOOKUP(A84,Schlußkurse!A$5:AU$105,35,FALSE)/VLOOKUP(A84,Ergebnis_je_Aktie_verwässert!A$3:AJ$103,6,FALSE),""),"")</f>
        <v>#N/A</v>
      </c>
      <c r="D84" s="79" t="e">
        <f>IF(VLOOKUP(A84,Ergebnis_je_Aktie_verwässert!A$3:AJ$103,7,FALSE)&gt;0,IF(VLOOKUP(A84,Schlußkurse!A$5:AU$105,36,FALSE)&gt;0,VLOOKUP(A84,Schlußkurse!A$5:AU$105,36,FALSE)/VLOOKUP(A84,Ergebnis_je_Aktie_verwässert!A$3:AJ$103,7,FALSE),""),"")</f>
        <v>#N/A</v>
      </c>
      <c r="E84" s="79" t="e">
        <f>IF(VLOOKUP(A84,Ergebnis_je_Aktie_verwässert!A$3:AJ$103,8,FALSE)&gt;0,IF(VLOOKUP(A84,Schlußkurse!A$5:AU$105,37,FALSE)&gt;0,VLOOKUP(A84,Schlußkurse!A$5:AU$105,37,FALSE)/VLOOKUP(A84,Ergebnis_je_Aktie_verwässert!A$3:AJ$103,8,FALSE),""),"")</f>
        <v>#N/A</v>
      </c>
      <c r="F84" s="79" t="e">
        <f>IF(VLOOKUP(A84,Ergebnis_je_Aktie_verwässert!A$3:AJ$103,9,FALSE)&gt;0,IF(VLOOKUP(A84,Schlußkurse!A$5:AU$105,38,FALSE)&gt;0,VLOOKUP(A84,Schlußkurse!A$5:AU$105,38,FALSE)/VLOOKUP(A84,Ergebnis_je_Aktie_verwässert!A$3:AJ$103,9,FALSE),""),"")</f>
        <v>#N/A</v>
      </c>
      <c r="G84" s="79" t="e">
        <f>IF(VLOOKUP(A84,Ergebnis_je_Aktie_verwässert!A$3:AJ$103,10,FALSE)&gt;0,IF(VLOOKUP(A84,Schlußkurse!A$5:AU$105,39,FALSE)&gt;0,VLOOKUP(A84,Schlußkurse!A$5:AU$105,39,FALSE)/VLOOKUP(A84,Ergebnis_je_Aktie_verwässert!A$3:AJ$103,10,FALSE),""),"")</f>
        <v>#N/A</v>
      </c>
      <c r="H84" s="79" t="e">
        <f>IF(VLOOKUP(A84,Ergebnis_je_Aktie_verwässert!A$3:AJ$103,11,FALSE)&gt;0,IF(VLOOKUP(A84,Schlußkurse!A$5:AU$105,40,FALSE)&gt;0,VLOOKUP(A84,Schlußkurse!A$5:AU$105,40,FALSE)/VLOOKUP(A84,Ergebnis_je_Aktie_verwässert!A$3:AJ$103,11,FALSE),""),"")</f>
        <v>#N/A</v>
      </c>
      <c r="I84" s="79" t="e">
        <f>IF(VLOOKUP(A84,Ergebnis_je_Aktie_verwässert!A$3:AJ$103,12,FALSE)&gt;0,IF(VLOOKUP(A84,Schlußkurse!A$5:AU$105,41,FALSE)&gt;0,VLOOKUP(A84,Schlußkurse!A$5:AU$105,41,FALSE)/VLOOKUP(A84,Ergebnis_je_Aktie_verwässert!A$3:AJ$103,12,FALSE),""),"")</f>
        <v>#N/A</v>
      </c>
      <c r="J84" s="79" t="e">
        <f>IF(VLOOKUP(A84,Ergebnis_je_Aktie_verwässert!A$3:AJ$103,13,FALSE)&gt;0,IF(VLOOKUP(A84,Schlußkurse!A$5:AU$105,42,FALSE)&gt;0,VLOOKUP(A84,Schlußkurse!A$5:AU$105,42,FALSE)/VLOOKUP(A84,Ergebnis_je_Aktie_verwässert!A$3:AJ$103,13,FALSE),""),"")</f>
        <v>#N/A</v>
      </c>
      <c r="K84" s="79" t="e">
        <f>IF(VLOOKUP(A84,Ergebnis_je_Aktie_verwässert!A$3:AJ$103,14,FALSE)&gt;0,IF(VLOOKUP(A84,Schlußkurse!A$5:AU$105,43,FALSE)&gt;0,VLOOKUP(A84,Schlußkurse!A$5:AU$105,43,FALSE)/VLOOKUP(A84,Ergebnis_je_Aktie_verwässert!A$3:AJ$103,14,FALSE),""),"")</f>
        <v>#N/A</v>
      </c>
      <c r="L84" s="79" t="e">
        <f>IF(VLOOKUP(A84,Ergebnis_je_Aktie_verwässert!A$3:AJ$103,15,FALSE)&gt;0,IF(VLOOKUP(A84,Schlußkurse!A$5:AU$105,44,FALSE)&gt;0,VLOOKUP(A84,Schlußkurse!A$5:AU$105,44,FALSE)/VLOOKUP(A84,Ergebnis_je_Aktie_verwässert!A$3:AJ$103,15,FALSE),""),"")</f>
        <v>#N/A</v>
      </c>
      <c r="M84" s="79" t="e">
        <f>IF(VLOOKUP(A84,Ergebnis_je_Aktie_verwässert!A$3:AJ$103,16,FALSE)&gt;0,IF(VLOOKUP(A84,Schlußkurse!A$5:AU$105,45,FALSE)&gt;0,VLOOKUP(A84,Schlußkurse!A$5:AU$105,45,FALSE)/VLOOKUP(A84,Ergebnis_je_Aktie_verwässert!A$3:AJ$103,16,FALSE),""),"")</f>
        <v>#N/A</v>
      </c>
      <c r="N84" s="79" t="e">
        <f>IF(VLOOKUP(A84,Ergebnis_je_Aktie_verwässert!A$3:AJ$103,17,FALSE)&gt;0,IF(VLOOKUP(A84,Schlußkurse!A$5:AU$105,46,FALSE)&gt;0,VLOOKUP(A84,Schlußkurse!A$5:AU$105,46,FALSE)/VLOOKUP(A84,Ergebnis_je_Aktie_verwässert!A$3:AJ$103,17,FALSE),""),"")</f>
        <v>#N/A</v>
      </c>
      <c r="O84" s="80" t="e">
        <f>IF(VLOOKUP(A84,Ergebnis_je_Aktie_verwässert!A$3:AJ$103,18,FALSE)&gt;0,IF(VLOOKUP(A84,Schlußkurse!A$5:AU$105,47,FALSE)&gt;0,VLOOKUP(A84,Schlußkurse!A$5:AU$105,47,FALSE)/VLOOKUP(A84,Ergebnis_je_Aktie_verwässert!A$3:AJ$103,18,FALSE),""),"")</f>
        <v>#N/A</v>
      </c>
      <c r="P84" s="3" t="e">
        <f t="shared" si="2"/>
        <v>#N/A</v>
      </c>
      <c r="Q84" s="3" t="e">
        <f>VLOOKUP(A84,Schlußkurse!A$5:AU$105,35,FALSE)/VLOOKUP(A84,Ergebnis_je_Aktie_verwässert!A$3:AK$103,23,FALSE)</f>
        <v>#N/A</v>
      </c>
      <c r="R84" s="5" t="e">
        <f t="shared" si="3"/>
        <v>#N/A</v>
      </c>
    </row>
    <row r="85" spans="3:18" x14ac:dyDescent="0.25">
      <c r="C85" s="78" t="e">
        <f>IF(VLOOKUP(A85,Ergebnis_je_Aktie_verwässert!A$3:AJ$103,6,FALSE)&gt;0,IF(VLOOKUP(A85,Schlußkurse!A$5:AU$105,35,FALSE)&gt;0,VLOOKUP(A85,Schlußkurse!A$5:AU$105,35,FALSE)/VLOOKUP(A85,Ergebnis_je_Aktie_verwässert!A$3:AJ$103,6,FALSE),""),"")</f>
        <v>#N/A</v>
      </c>
      <c r="D85" s="79" t="e">
        <f>IF(VLOOKUP(A85,Ergebnis_je_Aktie_verwässert!A$3:AJ$103,7,FALSE)&gt;0,IF(VLOOKUP(A85,Schlußkurse!A$5:AU$105,36,FALSE)&gt;0,VLOOKUP(A85,Schlußkurse!A$5:AU$105,36,FALSE)/VLOOKUP(A85,Ergebnis_je_Aktie_verwässert!A$3:AJ$103,7,FALSE),""),"")</f>
        <v>#N/A</v>
      </c>
      <c r="E85" s="79" t="e">
        <f>IF(VLOOKUP(A85,Ergebnis_je_Aktie_verwässert!A$3:AJ$103,8,FALSE)&gt;0,IF(VLOOKUP(A85,Schlußkurse!A$5:AU$105,37,FALSE)&gt;0,VLOOKUP(A85,Schlußkurse!A$5:AU$105,37,FALSE)/VLOOKUP(A85,Ergebnis_je_Aktie_verwässert!A$3:AJ$103,8,FALSE),""),"")</f>
        <v>#N/A</v>
      </c>
      <c r="F85" s="79" t="e">
        <f>IF(VLOOKUP(A85,Ergebnis_je_Aktie_verwässert!A$3:AJ$103,9,FALSE)&gt;0,IF(VLOOKUP(A85,Schlußkurse!A$5:AU$105,38,FALSE)&gt;0,VLOOKUP(A85,Schlußkurse!A$5:AU$105,38,FALSE)/VLOOKUP(A85,Ergebnis_je_Aktie_verwässert!A$3:AJ$103,9,FALSE),""),"")</f>
        <v>#N/A</v>
      </c>
      <c r="G85" s="79" t="e">
        <f>IF(VLOOKUP(A85,Ergebnis_je_Aktie_verwässert!A$3:AJ$103,10,FALSE)&gt;0,IF(VLOOKUP(A85,Schlußkurse!A$5:AU$105,39,FALSE)&gt;0,VLOOKUP(A85,Schlußkurse!A$5:AU$105,39,FALSE)/VLOOKUP(A85,Ergebnis_je_Aktie_verwässert!A$3:AJ$103,10,FALSE),""),"")</f>
        <v>#N/A</v>
      </c>
      <c r="H85" s="79" t="e">
        <f>IF(VLOOKUP(A85,Ergebnis_je_Aktie_verwässert!A$3:AJ$103,11,FALSE)&gt;0,IF(VLOOKUP(A85,Schlußkurse!A$5:AU$105,40,FALSE)&gt;0,VLOOKUP(A85,Schlußkurse!A$5:AU$105,40,FALSE)/VLOOKUP(A85,Ergebnis_je_Aktie_verwässert!A$3:AJ$103,11,FALSE),""),"")</f>
        <v>#N/A</v>
      </c>
      <c r="I85" s="79" t="e">
        <f>IF(VLOOKUP(A85,Ergebnis_je_Aktie_verwässert!A$3:AJ$103,12,FALSE)&gt;0,IF(VLOOKUP(A85,Schlußkurse!A$5:AU$105,41,FALSE)&gt;0,VLOOKUP(A85,Schlußkurse!A$5:AU$105,41,FALSE)/VLOOKUP(A85,Ergebnis_je_Aktie_verwässert!A$3:AJ$103,12,FALSE),""),"")</f>
        <v>#N/A</v>
      </c>
      <c r="J85" s="79" t="e">
        <f>IF(VLOOKUP(A85,Ergebnis_je_Aktie_verwässert!A$3:AJ$103,13,FALSE)&gt;0,IF(VLOOKUP(A85,Schlußkurse!A$5:AU$105,42,FALSE)&gt;0,VLOOKUP(A85,Schlußkurse!A$5:AU$105,42,FALSE)/VLOOKUP(A85,Ergebnis_je_Aktie_verwässert!A$3:AJ$103,13,FALSE),""),"")</f>
        <v>#N/A</v>
      </c>
      <c r="K85" s="79" t="e">
        <f>IF(VLOOKUP(A85,Ergebnis_je_Aktie_verwässert!A$3:AJ$103,14,FALSE)&gt;0,IF(VLOOKUP(A85,Schlußkurse!A$5:AU$105,43,FALSE)&gt;0,VLOOKUP(A85,Schlußkurse!A$5:AU$105,43,FALSE)/VLOOKUP(A85,Ergebnis_je_Aktie_verwässert!A$3:AJ$103,14,FALSE),""),"")</f>
        <v>#N/A</v>
      </c>
      <c r="L85" s="79" t="e">
        <f>IF(VLOOKUP(A85,Ergebnis_je_Aktie_verwässert!A$3:AJ$103,15,FALSE)&gt;0,IF(VLOOKUP(A85,Schlußkurse!A$5:AU$105,44,FALSE)&gt;0,VLOOKUP(A85,Schlußkurse!A$5:AU$105,44,FALSE)/VLOOKUP(A85,Ergebnis_je_Aktie_verwässert!A$3:AJ$103,15,FALSE),""),"")</f>
        <v>#N/A</v>
      </c>
      <c r="M85" s="79" t="e">
        <f>IF(VLOOKUP(A85,Ergebnis_je_Aktie_verwässert!A$3:AJ$103,16,FALSE)&gt;0,IF(VLOOKUP(A85,Schlußkurse!A$5:AU$105,45,FALSE)&gt;0,VLOOKUP(A85,Schlußkurse!A$5:AU$105,45,FALSE)/VLOOKUP(A85,Ergebnis_je_Aktie_verwässert!A$3:AJ$103,16,FALSE),""),"")</f>
        <v>#N/A</v>
      </c>
      <c r="N85" s="79" t="e">
        <f>IF(VLOOKUP(A85,Ergebnis_je_Aktie_verwässert!A$3:AJ$103,17,FALSE)&gt;0,IF(VLOOKUP(A85,Schlußkurse!A$5:AU$105,46,FALSE)&gt;0,VLOOKUP(A85,Schlußkurse!A$5:AU$105,46,FALSE)/VLOOKUP(A85,Ergebnis_je_Aktie_verwässert!A$3:AJ$103,17,FALSE),""),"")</f>
        <v>#N/A</v>
      </c>
      <c r="O85" s="80" t="e">
        <f>IF(VLOOKUP(A85,Ergebnis_je_Aktie_verwässert!A$3:AJ$103,18,FALSE)&gt;0,IF(VLOOKUP(A85,Schlußkurse!A$5:AU$105,47,FALSE)&gt;0,VLOOKUP(A85,Schlußkurse!A$5:AU$105,47,FALSE)/VLOOKUP(A85,Ergebnis_je_Aktie_verwässert!A$3:AJ$103,18,FALSE),""),"")</f>
        <v>#N/A</v>
      </c>
      <c r="P85" s="3" t="e">
        <f t="shared" si="2"/>
        <v>#N/A</v>
      </c>
      <c r="Q85" s="3" t="e">
        <f>VLOOKUP(A85,Schlußkurse!A$5:AU$105,35,FALSE)/VLOOKUP(A85,Ergebnis_je_Aktie_verwässert!A$3:AK$103,23,FALSE)</f>
        <v>#N/A</v>
      </c>
      <c r="R85" s="5" t="e">
        <f t="shared" si="3"/>
        <v>#N/A</v>
      </c>
    </row>
    <row r="86" spans="3:18" x14ac:dyDescent="0.25">
      <c r="C86" s="78" t="e">
        <f>IF(VLOOKUP(A86,Ergebnis_je_Aktie_verwässert!A$3:AJ$103,6,FALSE)&gt;0,IF(VLOOKUP(A86,Schlußkurse!A$5:AU$105,35,FALSE)&gt;0,VLOOKUP(A86,Schlußkurse!A$5:AU$105,35,FALSE)/VLOOKUP(A86,Ergebnis_je_Aktie_verwässert!A$3:AJ$103,6,FALSE),""),"")</f>
        <v>#N/A</v>
      </c>
      <c r="D86" s="79" t="e">
        <f>IF(VLOOKUP(A86,Ergebnis_je_Aktie_verwässert!A$3:AJ$103,7,FALSE)&gt;0,IF(VLOOKUP(A86,Schlußkurse!A$5:AU$105,36,FALSE)&gt;0,VLOOKUP(A86,Schlußkurse!A$5:AU$105,36,FALSE)/VLOOKUP(A86,Ergebnis_je_Aktie_verwässert!A$3:AJ$103,7,FALSE),""),"")</f>
        <v>#N/A</v>
      </c>
      <c r="E86" s="79" t="e">
        <f>IF(VLOOKUP(A86,Ergebnis_je_Aktie_verwässert!A$3:AJ$103,8,FALSE)&gt;0,IF(VLOOKUP(A86,Schlußkurse!A$5:AU$105,37,FALSE)&gt;0,VLOOKUP(A86,Schlußkurse!A$5:AU$105,37,FALSE)/VLOOKUP(A86,Ergebnis_je_Aktie_verwässert!A$3:AJ$103,8,FALSE),""),"")</f>
        <v>#N/A</v>
      </c>
      <c r="F86" s="79" t="e">
        <f>IF(VLOOKUP(A86,Ergebnis_je_Aktie_verwässert!A$3:AJ$103,9,FALSE)&gt;0,IF(VLOOKUP(A86,Schlußkurse!A$5:AU$105,38,FALSE)&gt;0,VLOOKUP(A86,Schlußkurse!A$5:AU$105,38,FALSE)/VLOOKUP(A86,Ergebnis_je_Aktie_verwässert!A$3:AJ$103,9,FALSE),""),"")</f>
        <v>#N/A</v>
      </c>
      <c r="G86" s="79" t="e">
        <f>IF(VLOOKUP(A86,Ergebnis_je_Aktie_verwässert!A$3:AJ$103,10,FALSE)&gt;0,IF(VLOOKUP(A86,Schlußkurse!A$5:AU$105,39,FALSE)&gt;0,VLOOKUP(A86,Schlußkurse!A$5:AU$105,39,FALSE)/VLOOKUP(A86,Ergebnis_je_Aktie_verwässert!A$3:AJ$103,10,FALSE),""),"")</f>
        <v>#N/A</v>
      </c>
      <c r="H86" s="79" t="e">
        <f>IF(VLOOKUP(A86,Ergebnis_je_Aktie_verwässert!A$3:AJ$103,11,FALSE)&gt;0,IF(VLOOKUP(A86,Schlußkurse!A$5:AU$105,40,FALSE)&gt;0,VLOOKUP(A86,Schlußkurse!A$5:AU$105,40,FALSE)/VLOOKUP(A86,Ergebnis_je_Aktie_verwässert!A$3:AJ$103,11,FALSE),""),"")</f>
        <v>#N/A</v>
      </c>
      <c r="I86" s="79" t="e">
        <f>IF(VLOOKUP(A86,Ergebnis_je_Aktie_verwässert!A$3:AJ$103,12,FALSE)&gt;0,IF(VLOOKUP(A86,Schlußkurse!A$5:AU$105,41,FALSE)&gt;0,VLOOKUP(A86,Schlußkurse!A$5:AU$105,41,FALSE)/VLOOKUP(A86,Ergebnis_je_Aktie_verwässert!A$3:AJ$103,12,FALSE),""),"")</f>
        <v>#N/A</v>
      </c>
      <c r="J86" s="79" t="e">
        <f>IF(VLOOKUP(A86,Ergebnis_je_Aktie_verwässert!A$3:AJ$103,13,FALSE)&gt;0,IF(VLOOKUP(A86,Schlußkurse!A$5:AU$105,42,FALSE)&gt;0,VLOOKUP(A86,Schlußkurse!A$5:AU$105,42,FALSE)/VLOOKUP(A86,Ergebnis_je_Aktie_verwässert!A$3:AJ$103,13,FALSE),""),"")</f>
        <v>#N/A</v>
      </c>
      <c r="K86" s="79" t="e">
        <f>IF(VLOOKUP(A86,Ergebnis_je_Aktie_verwässert!A$3:AJ$103,14,FALSE)&gt;0,IF(VLOOKUP(A86,Schlußkurse!A$5:AU$105,43,FALSE)&gt;0,VLOOKUP(A86,Schlußkurse!A$5:AU$105,43,FALSE)/VLOOKUP(A86,Ergebnis_je_Aktie_verwässert!A$3:AJ$103,14,FALSE),""),"")</f>
        <v>#N/A</v>
      </c>
      <c r="L86" s="79" t="e">
        <f>IF(VLOOKUP(A86,Ergebnis_je_Aktie_verwässert!A$3:AJ$103,15,FALSE)&gt;0,IF(VLOOKUP(A86,Schlußkurse!A$5:AU$105,44,FALSE)&gt;0,VLOOKUP(A86,Schlußkurse!A$5:AU$105,44,FALSE)/VLOOKUP(A86,Ergebnis_je_Aktie_verwässert!A$3:AJ$103,15,FALSE),""),"")</f>
        <v>#N/A</v>
      </c>
      <c r="M86" s="79" t="e">
        <f>IF(VLOOKUP(A86,Ergebnis_je_Aktie_verwässert!A$3:AJ$103,16,FALSE)&gt;0,IF(VLOOKUP(A86,Schlußkurse!A$5:AU$105,45,FALSE)&gt;0,VLOOKUP(A86,Schlußkurse!A$5:AU$105,45,FALSE)/VLOOKUP(A86,Ergebnis_je_Aktie_verwässert!A$3:AJ$103,16,FALSE),""),"")</f>
        <v>#N/A</v>
      </c>
      <c r="N86" s="79" t="e">
        <f>IF(VLOOKUP(A86,Ergebnis_je_Aktie_verwässert!A$3:AJ$103,17,FALSE)&gt;0,IF(VLOOKUP(A86,Schlußkurse!A$5:AU$105,46,FALSE)&gt;0,VLOOKUP(A86,Schlußkurse!A$5:AU$105,46,FALSE)/VLOOKUP(A86,Ergebnis_je_Aktie_verwässert!A$3:AJ$103,17,FALSE),""),"")</f>
        <v>#N/A</v>
      </c>
      <c r="O86" s="80" t="e">
        <f>IF(VLOOKUP(A86,Ergebnis_je_Aktie_verwässert!A$3:AJ$103,18,FALSE)&gt;0,IF(VLOOKUP(A86,Schlußkurse!A$5:AU$105,47,FALSE)&gt;0,VLOOKUP(A86,Schlußkurse!A$5:AU$105,47,FALSE)/VLOOKUP(A86,Ergebnis_je_Aktie_verwässert!A$3:AJ$103,18,FALSE),""),"")</f>
        <v>#N/A</v>
      </c>
      <c r="P86" s="3" t="e">
        <f t="shared" si="2"/>
        <v>#N/A</v>
      </c>
      <c r="Q86" s="3" t="e">
        <f>VLOOKUP(A86,Schlußkurse!A$5:AU$105,35,FALSE)/VLOOKUP(A86,Ergebnis_je_Aktie_verwässert!A$3:AK$103,23,FALSE)</f>
        <v>#N/A</v>
      </c>
      <c r="R86" s="5" t="e">
        <f t="shared" si="3"/>
        <v>#N/A</v>
      </c>
    </row>
    <row r="87" spans="3:18" x14ac:dyDescent="0.25">
      <c r="C87" s="78" t="e">
        <f>IF(VLOOKUP(A87,Ergebnis_je_Aktie_verwässert!A$3:AJ$103,6,FALSE)&gt;0,IF(VLOOKUP(A87,Schlußkurse!A$5:AU$105,35,FALSE)&gt;0,VLOOKUP(A87,Schlußkurse!A$5:AU$105,35,FALSE)/VLOOKUP(A87,Ergebnis_je_Aktie_verwässert!A$3:AJ$103,6,FALSE),""),"")</f>
        <v>#N/A</v>
      </c>
      <c r="D87" s="79" t="e">
        <f>IF(VLOOKUP(A87,Ergebnis_je_Aktie_verwässert!A$3:AJ$103,7,FALSE)&gt;0,IF(VLOOKUP(A87,Schlußkurse!A$5:AU$105,36,FALSE)&gt;0,VLOOKUP(A87,Schlußkurse!A$5:AU$105,36,FALSE)/VLOOKUP(A87,Ergebnis_je_Aktie_verwässert!A$3:AJ$103,7,FALSE),""),"")</f>
        <v>#N/A</v>
      </c>
      <c r="E87" s="79" t="e">
        <f>IF(VLOOKUP(A87,Ergebnis_je_Aktie_verwässert!A$3:AJ$103,8,FALSE)&gt;0,IF(VLOOKUP(A87,Schlußkurse!A$5:AU$105,37,FALSE)&gt;0,VLOOKUP(A87,Schlußkurse!A$5:AU$105,37,FALSE)/VLOOKUP(A87,Ergebnis_je_Aktie_verwässert!A$3:AJ$103,8,FALSE),""),"")</f>
        <v>#N/A</v>
      </c>
      <c r="F87" s="79" t="e">
        <f>IF(VLOOKUP(A87,Ergebnis_je_Aktie_verwässert!A$3:AJ$103,9,FALSE)&gt;0,IF(VLOOKUP(A87,Schlußkurse!A$5:AU$105,38,FALSE)&gt;0,VLOOKUP(A87,Schlußkurse!A$5:AU$105,38,FALSE)/VLOOKUP(A87,Ergebnis_je_Aktie_verwässert!A$3:AJ$103,9,FALSE),""),"")</f>
        <v>#N/A</v>
      </c>
      <c r="G87" s="79" t="e">
        <f>IF(VLOOKUP(A87,Ergebnis_je_Aktie_verwässert!A$3:AJ$103,10,FALSE)&gt;0,IF(VLOOKUP(A87,Schlußkurse!A$5:AU$105,39,FALSE)&gt;0,VLOOKUP(A87,Schlußkurse!A$5:AU$105,39,FALSE)/VLOOKUP(A87,Ergebnis_je_Aktie_verwässert!A$3:AJ$103,10,FALSE),""),"")</f>
        <v>#N/A</v>
      </c>
      <c r="H87" s="79" t="e">
        <f>IF(VLOOKUP(A87,Ergebnis_je_Aktie_verwässert!A$3:AJ$103,11,FALSE)&gt;0,IF(VLOOKUP(A87,Schlußkurse!A$5:AU$105,40,FALSE)&gt;0,VLOOKUP(A87,Schlußkurse!A$5:AU$105,40,FALSE)/VLOOKUP(A87,Ergebnis_je_Aktie_verwässert!A$3:AJ$103,11,FALSE),""),"")</f>
        <v>#N/A</v>
      </c>
      <c r="I87" s="79" t="e">
        <f>IF(VLOOKUP(A87,Ergebnis_je_Aktie_verwässert!A$3:AJ$103,12,FALSE)&gt;0,IF(VLOOKUP(A87,Schlußkurse!A$5:AU$105,41,FALSE)&gt;0,VLOOKUP(A87,Schlußkurse!A$5:AU$105,41,FALSE)/VLOOKUP(A87,Ergebnis_je_Aktie_verwässert!A$3:AJ$103,12,FALSE),""),"")</f>
        <v>#N/A</v>
      </c>
      <c r="J87" s="79" t="e">
        <f>IF(VLOOKUP(A87,Ergebnis_je_Aktie_verwässert!A$3:AJ$103,13,FALSE)&gt;0,IF(VLOOKUP(A87,Schlußkurse!A$5:AU$105,42,FALSE)&gt;0,VLOOKUP(A87,Schlußkurse!A$5:AU$105,42,FALSE)/VLOOKUP(A87,Ergebnis_je_Aktie_verwässert!A$3:AJ$103,13,FALSE),""),"")</f>
        <v>#N/A</v>
      </c>
      <c r="K87" s="79" t="e">
        <f>IF(VLOOKUP(A87,Ergebnis_je_Aktie_verwässert!A$3:AJ$103,14,FALSE)&gt;0,IF(VLOOKUP(A87,Schlußkurse!A$5:AU$105,43,FALSE)&gt;0,VLOOKUP(A87,Schlußkurse!A$5:AU$105,43,FALSE)/VLOOKUP(A87,Ergebnis_je_Aktie_verwässert!A$3:AJ$103,14,FALSE),""),"")</f>
        <v>#N/A</v>
      </c>
      <c r="L87" s="79" t="e">
        <f>IF(VLOOKUP(A87,Ergebnis_je_Aktie_verwässert!A$3:AJ$103,15,FALSE)&gt;0,IF(VLOOKUP(A87,Schlußkurse!A$5:AU$105,44,FALSE)&gt;0,VLOOKUP(A87,Schlußkurse!A$5:AU$105,44,FALSE)/VLOOKUP(A87,Ergebnis_je_Aktie_verwässert!A$3:AJ$103,15,FALSE),""),"")</f>
        <v>#N/A</v>
      </c>
      <c r="M87" s="79" t="e">
        <f>IF(VLOOKUP(A87,Ergebnis_je_Aktie_verwässert!A$3:AJ$103,16,FALSE)&gt;0,IF(VLOOKUP(A87,Schlußkurse!A$5:AU$105,45,FALSE)&gt;0,VLOOKUP(A87,Schlußkurse!A$5:AU$105,45,FALSE)/VLOOKUP(A87,Ergebnis_je_Aktie_verwässert!A$3:AJ$103,16,FALSE),""),"")</f>
        <v>#N/A</v>
      </c>
      <c r="N87" s="79" t="e">
        <f>IF(VLOOKUP(A87,Ergebnis_je_Aktie_verwässert!A$3:AJ$103,17,FALSE)&gt;0,IF(VLOOKUP(A87,Schlußkurse!A$5:AU$105,46,FALSE)&gt;0,VLOOKUP(A87,Schlußkurse!A$5:AU$105,46,FALSE)/VLOOKUP(A87,Ergebnis_je_Aktie_verwässert!A$3:AJ$103,17,FALSE),""),"")</f>
        <v>#N/A</v>
      </c>
      <c r="O87" s="80" t="e">
        <f>IF(VLOOKUP(A87,Ergebnis_je_Aktie_verwässert!A$3:AJ$103,18,FALSE)&gt;0,IF(VLOOKUP(A87,Schlußkurse!A$5:AU$105,47,FALSE)&gt;0,VLOOKUP(A87,Schlußkurse!A$5:AU$105,47,FALSE)/VLOOKUP(A87,Ergebnis_je_Aktie_verwässert!A$3:AJ$103,18,FALSE),""),"")</f>
        <v>#N/A</v>
      </c>
      <c r="P87" s="3" t="e">
        <f t="shared" si="2"/>
        <v>#N/A</v>
      </c>
      <c r="Q87" s="3" t="e">
        <f>VLOOKUP(A87,Schlußkurse!A$5:AU$105,35,FALSE)/VLOOKUP(A87,Ergebnis_je_Aktie_verwässert!A$3:AK$103,23,FALSE)</f>
        <v>#N/A</v>
      </c>
      <c r="R87" s="5" t="e">
        <f t="shared" si="3"/>
        <v>#N/A</v>
      </c>
    </row>
    <row r="88" spans="3:18" x14ac:dyDescent="0.25">
      <c r="C88" s="78" t="e">
        <f>IF(VLOOKUP(A88,Ergebnis_je_Aktie_verwässert!A$3:AJ$103,6,FALSE)&gt;0,IF(VLOOKUP(A88,Schlußkurse!A$5:AU$105,35,FALSE)&gt;0,VLOOKUP(A88,Schlußkurse!A$5:AU$105,35,FALSE)/VLOOKUP(A88,Ergebnis_je_Aktie_verwässert!A$3:AJ$103,6,FALSE),""),"")</f>
        <v>#N/A</v>
      </c>
      <c r="D88" s="79" t="e">
        <f>IF(VLOOKUP(A88,Ergebnis_je_Aktie_verwässert!A$3:AJ$103,7,FALSE)&gt;0,IF(VLOOKUP(A88,Schlußkurse!A$5:AU$105,36,FALSE)&gt;0,VLOOKUP(A88,Schlußkurse!A$5:AU$105,36,FALSE)/VLOOKUP(A88,Ergebnis_je_Aktie_verwässert!A$3:AJ$103,7,FALSE),""),"")</f>
        <v>#N/A</v>
      </c>
      <c r="E88" s="79" t="e">
        <f>IF(VLOOKUP(A88,Ergebnis_je_Aktie_verwässert!A$3:AJ$103,8,FALSE)&gt;0,IF(VLOOKUP(A88,Schlußkurse!A$5:AU$105,37,FALSE)&gt;0,VLOOKUP(A88,Schlußkurse!A$5:AU$105,37,FALSE)/VLOOKUP(A88,Ergebnis_je_Aktie_verwässert!A$3:AJ$103,8,FALSE),""),"")</f>
        <v>#N/A</v>
      </c>
      <c r="F88" s="79" t="e">
        <f>IF(VLOOKUP(A88,Ergebnis_je_Aktie_verwässert!A$3:AJ$103,9,FALSE)&gt;0,IF(VLOOKUP(A88,Schlußkurse!A$5:AU$105,38,FALSE)&gt;0,VLOOKUP(A88,Schlußkurse!A$5:AU$105,38,FALSE)/VLOOKUP(A88,Ergebnis_je_Aktie_verwässert!A$3:AJ$103,9,FALSE),""),"")</f>
        <v>#N/A</v>
      </c>
      <c r="G88" s="79" t="e">
        <f>IF(VLOOKUP(A88,Ergebnis_je_Aktie_verwässert!A$3:AJ$103,10,FALSE)&gt;0,IF(VLOOKUP(A88,Schlußkurse!A$5:AU$105,39,FALSE)&gt;0,VLOOKUP(A88,Schlußkurse!A$5:AU$105,39,FALSE)/VLOOKUP(A88,Ergebnis_je_Aktie_verwässert!A$3:AJ$103,10,FALSE),""),"")</f>
        <v>#N/A</v>
      </c>
      <c r="H88" s="79" t="e">
        <f>IF(VLOOKUP(A88,Ergebnis_je_Aktie_verwässert!A$3:AJ$103,11,FALSE)&gt;0,IF(VLOOKUP(A88,Schlußkurse!A$5:AU$105,40,FALSE)&gt;0,VLOOKUP(A88,Schlußkurse!A$5:AU$105,40,FALSE)/VLOOKUP(A88,Ergebnis_je_Aktie_verwässert!A$3:AJ$103,11,FALSE),""),"")</f>
        <v>#N/A</v>
      </c>
      <c r="I88" s="79" t="e">
        <f>IF(VLOOKUP(A88,Ergebnis_je_Aktie_verwässert!A$3:AJ$103,12,FALSE)&gt;0,IF(VLOOKUP(A88,Schlußkurse!A$5:AU$105,41,FALSE)&gt;0,VLOOKUP(A88,Schlußkurse!A$5:AU$105,41,FALSE)/VLOOKUP(A88,Ergebnis_je_Aktie_verwässert!A$3:AJ$103,12,FALSE),""),"")</f>
        <v>#N/A</v>
      </c>
      <c r="J88" s="79" t="e">
        <f>IF(VLOOKUP(A88,Ergebnis_je_Aktie_verwässert!A$3:AJ$103,13,FALSE)&gt;0,IF(VLOOKUP(A88,Schlußkurse!A$5:AU$105,42,FALSE)&gt;0,VLOOKUP(A88,Schlußkurse!A$5:AU$105,42,FALSE)/VLOOKUP(A88,Ergebnis_je_Aktie_verwässert!A$3:AJ$103,13,FALSE),""),"")</f>
        <v>#N/A</v>
      </c>
      <c r="K88" s="79" t="e">
        <f>IF(VLOOKUP(A88,Ergebnis_je_Aktie_verwässert!A$3:AJ$103,14,FALSE)&gt;0,IF(VLOOKUP(A88,Schlußkurse!A$5:AU$105,43,FALSE)&gt;0,VLOOKUP(A88,Schlußkurse!A$5:AU$105,43,FALSE)/VLOOKUP(A88,Ergebnis_je_Aktie_verwässert!A$3:AJ$103,14,FALSE),""),"")</f>
        <v>#N/A</v>
      </c>
      <c r="L88" s="79" t="e">
        <f>IF(VLOOKUP(A88,Ergebnis_je_Aktie_verwässert!A$3:AJ$103,15,FALSE)&gt;0,IF(VLOOKUP(A88,Schlußkurse!A$5:AU$105,44,FALSE)&gt;0,VLOOKUP(A88,Schlußkurse!A$5:AU$105,44,FALSE)/VLOOKUP(A88,Ergebnis_je_Aktie_verwässert!A$3:AJ$103,15,FALSE),""),"")</f>
        <v>#N/A</v>
      </c>
      <c r="M88" s="79" t="e">
        <f>IF(VLOOKUP(A88,Ergebnis_je_Aktie_verwässert!A$3:AJ$103,16,FALSE)&gt;0,IF(VLOOKUP(A88,Schlußkurse!A$5:AU$105,45,FALSE)&gt;0,VLOOKUP(A88,Schlußkurse!A$5:AU$105,45,FALSE)/VLOOKUP(A88,Ergebnis_je_Aktie_verwässert!A$3:AJ$103,16,FALSE),""),"")</f>
        <v>#N/A</v>
      </c>
      <c r="N88" s="79" t="e">
        <f>IF(VLOOKUP(A88,Ergebnis_je_Aktie_verwässert!A$3:AJ$103,17,FALSE)&gt;0,IF(VLOOKUP(A88,Schlußkurse!A$5:AU$105,46,FALSE)&gt;0,VLOOKUP(A88,Schlußkurse!A$5:AU$105,46,FALSE)/VLOOKUP(A88,Ergebnis_je_Aktie_verwässert!A$3:AJ$103,17,FALSE),""),"")</f>
        <v>#N/A</v>
      </c>
      <c r="O88" s="80" t="e">
        <f>IF(VLOOKUP(A88,Ergebnis_je_Aktie_verwässert!A$3:AJ$103,18,FALSE)&gt;0,IF(VLOOKUP(A88,Schlußkurse!A$5:AU$105,47,FALSE)&gt;0,VLOOKUP(A88,Schlußkurse!A$5:AU$105,47,FALSE)/VLOOKUP(A88,Ergebnis_je_Aktie_verwässert!A$3:AJ$103,18,FALSE),""),"")</f>
        <v>#N/A</v>
      </c>
      <c r="P88" s="3" t="e">
        <f t="shared" si="2"/>
        <v>#N/A</v>
      </c>
      <c r="Q88" s="3" t="e">
        <f>VLOOKUP(A88,Schlußkurse!A$5:AU$105,35,FALSE)/VLOOKUP(A88,Ergebnis_je_Aktie_verwässert!A$3:AK$103,23,FALSE)</f>
        <v>#N/A</v>
      </c>
      <c r="R88" s="5" t="e">
        <f t="shared" si="3"/>
        <v>#N/A</v>
      </c>
    </row>
    <row r="89" spans="3:18" x14ac:dyDescent="0.25">
      <c r="C89" s="78" t="e">
        <f>IF(VLOOKUP(A89,Ergebnis_je_Aktie_verwässert!A$3:AJ$103,6,FALSE)&gt;0,IF(VLOOKUP(A89,Schlußkurse!A$5:AU$105,35,FALSE)&gt;0,VLOOKUP(A89,Schlußkurse!A$5:AU$105,35,FALSE)/VLOOKUP(A89,Ergebnis_je_Aktie_verwässert!A$3:AJ$103,6,FALSE),""),"")</f>
        <v>#N/A</v>
      </c>
      <c r="D89" s="79" t="e">
        <f>IF(VLOOKUP(A89,Ergebnis_je_Aktie_verwässert!A$3:AJ$103,7,FALSE)&gt;0,IF(VLOOKUP(A89,Schlußkurse!A$5:AU$105,36,FALSE)&gt;0,VLOOKUP(A89,Schlußkurse!A$5:AU$105,36,FALSE)/VLOOKUP(A89,Ergebnis_je_Aktie_verwässert!A$3:AJ$103,7,FALSE),""),"")</f>
        <v>#N/A</v>
      </c>
      <c r="E89" s="79" t="e">
        <f>IF(VLOOKUP(A89,Ergebnis_je_Aktie_verwässert!A$3:AJ$103,8,FALSE)&gt;0,IF(VLOOKUP(A89,Schlußkurse!A$5:AU$105,37,FALSE)&gt;0,VLOOKUP(A89,Schlußkurse!A$5:AU$105,37,FALSE)/VLOOKUP(A89,Ergebnis_je_Aktie_verwässert!A$3:AJ$103,8,FALSE),""),"")</f>
        <v>#N/A</v>
      </c>
      <c r="F89" s="79" t="e">
        <f>IF(VLOOKUP(A89,Ergebnis_je_Aktie_verwässert!A$3:AJ$103,9,FALSE)&gt;0,IF(VLOOKUP(A89,Schlußkurse!A$5:AU$105,38,FALSE)&gt;0,VLOOKUP(A89,Schlußkurse!A$5:AU$105,38,FALSE)/VLOOKUP(A89,Ergebnis_je_Aktie_verwässert!A$3:AJ$103,9,FALSE),""),"")</f>
        <v>#N/A</v>
      </c>
      <c r="G89" s="79" t="e">
        <f>IF(VLOOKUP(A89,Ergebnis_je_Aktie_verwässert!A$3:AJ$103,10,FALSE)&gt;0,IF(VLOOKUP(A89,Schlußkurse!A$5:AU$105,39,FALSE)&gt;0,VLOOKUP(A89,Schlußkurse!A$5:AU$105,39,FALSE)/VLOOKUP(A89,Ergebnis_je_Aktie_verwässert!A$3:AJ$103,10,FALSE),""),"")</f>
        <v>#N/A</v>
      </c>
      <c r="H89" s="79" t="e">
        <f>IF(VLOOKUP(A89,Ergebnis_je_Aktie_verwässert!A$3:AJ$103,11,FALSE)&gt;0,IF(VLOOKUP(A89,Schlußkurse!A$5:AU$105,40,FALSE)&gt;0,VLOOKUP(A89,Schlußkurse!A$5:AU$105,40,FALSE)/VLOOKUP(A89,Ergebnis_je_Aktie_verwässert!A$3:AJ$103,11,FALSE),""),"")</f>
        <v>#N/A</v>
      </c>
      <c r="I89" s="79" t="e">
        <f>IF(VLOOKUP(A89,Ergebnis_je_Aktie_verwässert!A$3:AJ$103,12,FALSE)&gt;0,IF(VLOOKUP(A89,Schlußkurse!A$5:AU$105,41,FALSE)&gt;0,VLOOKUP(A89,Schlußkurse!A$5:AU$105,41,FALSE)/VLOOKUP(A89,Ergebnis_je_Aktie_verwässert!A$3:AJ$103,12,FALSE),""),"")</f>
        <v>#N/A</v>
      </c>
      <c r="J89" s="79" t="e">
        <f>IF(VLOOKUP(A89,Ergebnis_je_Aktie_verwässert!A$3:AJ$103,13,FALSE)&gt;0,IF(VLOOKUP(A89,Schlußkurse!A$5:AU$105,42,FALSE)&gt;0,VLOOKUP(A89,Schlußkurse!A$5:AU$105,42,FALSE)/VLOOKUP(A89,Ergebnis_je_Aktie_verwässert!A$3:AJ$103,13,FALSE),""),"")</f>
        <v>#N/A</v>
      </c>
      <c r="K89" s="79" t="e">
        <f>IF(VLOOKUP(A89,Ergebnis_je_Aktie_verwässert!A$3:AJ$103,14,FALSE)&gt;0,IF(VLOOKUP(A89,Schlußkurse!A$5:AU$105,43,FALSE)&gt;0,VLOOKUP(A89,Schlußkurse!A$5:AU$105,43,FALSE)/VLOOKUP(A89,Ergebnis_je_Aktie_verwässert!A$3:AJ$103,14,FALSE),""),"")</f>
        <v>#N/A</v>
      </c>
      <c r="L89" s="79" t="e">
        <f>IF(VLOOKUP(A89,Ergebnis_je_Aktie_verwässert!A$3:AJ$103,15,FALSE)&gt;0,IF(VLOOKUP(A89,Schlußkurse!A$5:AU$105,44,FALSE)&gt;0,VLOOKUP(A89,Schlußkurse!A$5:AU$105,44,FALSE)/VLOOKUP(A89,Ergebnis_je_Aktie_verwässert!A$3:AJ$103,15,FALSE),""),"")</f>
        <v>#N/A</v>
      </c>
      <c r="M89" s="79" t="e">
        <f>IF(VLOOKUP(A89,Ergebnis_je_Aktie_verwässert!A$3:AJ$103,16,FALSE)&gt;0,IF(VLOOKUP(A89,Schlußkurse!A$5:AU$105,45,FALSE)&gt;0,VLOOKUP(A89,Schlußkurse!A$5:AU$105,45,FALSE)/VLOOKUP(A89,Ergebnis_je_Aktie_verwässert!A$3:AJ$103,16,FALSE),""),"")</f>
        <v>#N/A</v>
      </c>
      <c r="N89" s="79" t="e">
        <f>IF(VLOOKUP(A89,Ergebnis_je_Aktie_verwässert!A$3:AJ$103,17,FALSE)&gt;0,IF(VLOOKUP(A89,Schlußkurse!A$5:AU$105,46,FALSE)&gt;0,VLOOKUP(A89,Schlußkurse!A$5:AU$105,46,FALSE)/VLOOKUP(A89,Ergebnis_je_Aktie_verwässert!A$3:AJ$103,17,FALSE),""),"")</f>
        <v>#N/A</v>
      </c>
      <c r="O89" s="80" t="e">
        <f>IF(VLOOKUP(A89,Ergebnis_je_Aktie_verwässert!A$3:AJ$103,18,FALSE)&gt;0,IF(VLOOKUP(A89,Schlußkurse!A$5:AU$105,47,FALSE)&gt;0,VLOOKUP(A89,Schlußkurse!A$5:AU$105,47,FALSE)/VLOOKUP(A89,Ergebnis_je_Aktie_verwässert!A$3:AJ$103,18,FALSE),""),"")</f>
        <v>#N/A</v>
      </c>
      <c r="P89" s="3" t="e">
        <f t="shared" si="2"/>
        <v>#N/A</v>
      </c>
      <c r="Q89" s="3" t="e">
        <f>VLOOKUP(A89,Schlußkurse!A$5:AU$105,35,FALSE)/VLOOKUP(A89,Ergebnis_je_Aktie_verwässert!A$3:AK$103,23,FALSE)</f>
        <v>#N/A</v>
      </c>
      <c r="R89" s="5" t="e">
        <f t="shared" si="3"/>
        <v>#N/A</v>
      </c>
    </row>
    <row r="90" spans="3:18" x14ac:dyDescent="0.25">
      <c r="C90" s="78" t="e">
        <f>IF(VLOOKUP(A90,Ergebnis_je_Aktie_verwässert!A$3:AJ$103,6,FALSE)&gt;0,IF(VLOOKUP(A90,Schlußkurse!A$5:AU$105,35,FALSE)&gt;0,VLOOKUP(A90,Schlußkurse!A$5:AU$105,35,FALSE)/VLOOKUP(A90,Ergebnis_je_Aktie_verwässert!A$3:AJ$103,6,FALSE),""),"")</f>
        <v>#N/A</v>
      </c>
      <c r="D90" s="79" t="e">
        <f>IF(VLOOKUP(A90,Ergebnis_je_Aktie_verwässert!A$3:AJ$103,7,FALSE)&gt;0,IF(VLOOKUP(A90,Schlußkurse!A$5:AU$105,36,FALSE)&gt;0,VLOOKUP(A90,Schlußkurse!A$5:AU$105,36,FALSE)/VLOOKUP(A90,Ergebnis_je_Aktie_verwässert!A$3:AJ$103,7,FALSE),""),"")</f>
        <v>#N/A</v>
      </c>
      <c r="E90" s="79" t="e">
        <f>IF(VLOOKUP(A90,Ergebnis_je_Aktie_verwässert!A$3:AJ$103,8,FALSE)&gt;0,IF(VLOOKUP(A90,Schlußkurse!A$5:AU$105,37,FALSE)&gt;0,VLOOKUP(A90,Schlußkurse!A$5:AU$105,37,FALSE)/VLOOKUP(A90,Ergebnis_je_Aktie_verwässert!A$3:AJ$103,8,FALSE),""),"")</f>
        <v>#N/A</v>
      </c>
      <c r="F90" s="79" t="e">
        <f>IF(VLOOKUP(A90,Ergebnis_je_Aktie_verwässert!A$3:AJ$103,9,FALSE)&gt;0,IF(VLOOKUP(A90,Schlußkurse!A$5:AU$105,38,FALSE)&gt;0,VLOOKUP(A90,Schlußkurse!A$5:AU$105,38,FALSE)/VLOOKUP(A90,Ergebnis_je_Aktie_verwässert!A$3:AJ$103,9,FALSE),""),"")</f>
        <v>#N/A</v>
      </c>
      <c r="G90" s="79" t="e">
        <f>IF(VLOOKUP(A90,Ergebnis_je_Aktie_verwässert!A$3:AJ$103,10,FALSE)&gt;0,IF(VLOOKUP(A90,Schlußkurse!A$5:AU$105,39,FALSE)&gt;0,VLOOKUP(A90,Schlußkurse!A$5:AU$105,39,FALSE)/VLOOKUP(A90,Ergebnis_je_Aktie_verwässert!A$3:AJ$103,10,FALSE),""),"")</f>
        <v>#N/A</v>
      </c>
      <c r="H90" s="79" t="e">
        <f>IF(VLOOKUP(A90,Ergebnis_je_Aktie_verwässert!A$3:AJ$103,11,FALSE)&gt;0,IF(VLOOKUP(A90,Schlußkurse!A$5:AU$105,40,FALSE)&gt;0,VLOOKUP(A90,Schlußkurse!A$5:AU$105,40,FALSE)/VLOOKUP(A90,Ergebnis_je_Aktie_verwässert!A$3:AJ$103,11,FALSE),""),"")</f>
        <v>#N/A</v>
      </c>
      <c r="I90" s="79" t="e">
        <f>IF(VLOOKUP(A90,Ergebnis_je_Aktie_verwässert!A$3:AJ$103,12,FALSE)&gt;0,IF(VLOOKUP(A90,Schlußkurse!A$5:AU$105,41,FALSE)&gt;0,VLOOKUP(A90,Schlußkurse!A$5:AU$105,41,FALSE)/VLOOKUP(A90,Ergebnis_je_Aktie_verwässert!A$3:AJ$103,12,FALSE),""),"")</f>
        <v>#N/A</v>
      </c>
      <c r="J90" s="79" t="e">
        <f>IF(VLOOKUP(A90,Ergebnis_je_Aktie_verwässert!A$3:AJ$103,13,FALSE)&gt;0,IF(VLOOKUP(A90,Schlußkurse!A$5:AU$105,42,FALSE)&gt;0,VLOOKUP(A90,Schlußkurse!A$5:AU$105,42,FALSE)/VLOOKUP(A90,Ergebnis_je_Aktie_verwässert!A$3:AJ$103,13,FALSE),""),"")</f>
        <v>#N/A</v>
      </c>
      <c r="K90" s="79" t="e">
        <f>IF(VLOOKUP(A90,Ergebnis_je_Aktie_verwässert!A$3:AJ$103,14,FALSE)&gt;0,IF(VLOOKUP(A90,Schlußkurse!A$5:AU$105,43,FALSE)&gt;0,VLOOKUP(A90,Schlußkurse!A$5:AU$105,43,FALSE)/VLOOKUP(A90,Ergebnis_je_Aktie_verwässert!A$3:AJ$103,14,FALSE),""),"")</f>
        <v>#N/A</v>
      </c>
      <c r="L90" s="79" t="e">
        <f>IF(VLOOKUP(A90,Ergebnis_je_Aktie_verwässert!A$3:AJ$103,15,FALSE)&gt;0,IF(VLOOKUP(A90,Schlußkurse!A$5:AU$105,44,FALSE)&gt;0,VLOOKUP(A90,Schlußkurse!A$5:AU$105,44,FALSE)/VLOOKUP(A90,Ergebnis_je_Aktie_verwässert!A$3:AJ$103,15,FALSE),""),"")</f>
        <v>#N/A</v>
      </c>
      <c r="M90" s="79" t="e">
        <f>IF(VLOOKUP(A90,Ergebnis_je_Aktie_verwässert!A$3:AJ$103,16,FALSE)&gt;0,IF(VLOOKUP(A90,Schlußkurse!A$5:AU$105,45,FALSE)&gt;0,VLOOKUP(A90,Schlußkurse!A$5:AU$105,45,FALSE)/VLOOKUP(A90,Ergebnis_je_Aktie_verwässert!A$3:AJ$103,16,FALSE),""),"")</f>
        <v>#N/A</v>
      </c>
      <c r="N90" s="79" t="e">
        <f>IF(VLOOKUP(A90,Ergebnis_je_Aktie_verwässert!A$3:AJ$103,17,FALSE)&gt;0,IF(VLOOKUP(A90,Schlußkurse!A$5:AU$105,46,FALSE)&gt;0,VLOOKUP(A90,Schlußkurse!A$5:AU$105,46,FALSE)/VLOOKUP(A90,Ergebnis_je_Aktie_verwässert!A$3:AJ$103,17,FALSE),""),"")</f>
        <v>#N/A</v>
      </c>
      <c r="O90" s="80" t="e">
        <f>IF(VLOOKUP(A90,Ergebnis_je_Aktie_verwässert!A$3:AJ$103,18,FALSE)&gt;0,IF(VLOOKUP(A90,Schlußkurse!A$5:AU$105,47,FALSE)&gt;0,VLOOKUP(A90,Schlußkurse!A$5:AU$105,47,FALSE)/VLOOKUP(A90,Ergebnis_je_Aktie_verwässert!A$3:AJ$103,18,FALSE),""),"")</f>
        <v>#N/A</v>
      </c>
      <c r="P90" s="3" t="e">
        <f t="shared" si="2"/>
        <v>#N/A</v>
      </c>
      <c r="Q90" s="3" t="e">
        <f>VLOOKUP(A90,Schlußkurse!A$5:AU$105,35,FALSE)/VLOOKUP(A90,Ergebnis_je_Aktie_verwässert!A$3:AK$103,23,FALSE)</f>
        <v>#N/A</v>
      </c>
      <c r="R90" s="5" t="e">
        <f t="shared" si="3"/>
        <v>#N/A</v>
      </c>
    </row>
    <row r="91" spans="3:18" x14ac:dyDescent="0.25">
      <c r="C91" s="78" t="e">
        <f>IF(VLOOKUP(A91,Ergebnis_je_Aktie_verwässert!A$3:AJ$103,6,FALSE)&gt;0,IF(VLOOKUP(A91,Schlußkurse!A$5:AU$105,35,FALSE)&gt;0,VLOOKUP(A91,Schlußkurse!A$5:AU$105,35,FALSE)/VLOOKUP(A91,Ergebnis_je_Aktie_verwässert!A$3:AJ$103,6,FALSE),""),"")</f>
        <v>#N/A</v>
      </c>
      <c r="D91" s="79" t="e">
        <f>IF(VLOOKUP(A91,Ergebnis_je_Aktie_verwässert!A$3:AJ$103,7,FALSE)&gt;0,IF(VLOOKUP(A91,Schlußkurse!A$5:AU$105,36,FALSE)&gt;0,VLOOKUP(A91,Schlußkurse!A$5:AU$105,36,FALSE)/VLOOKUP(A91,Ergebnis_je_Aktie_verwässert!A$3:AJ$103,7,FALSE),""),"")</f>
        <v>#N/A</v>
      </c>
      <c r="E91" s="79" t="e">
        <f>IF(VLOOKUP(A91,Ergebnis_je_Aktie_verwässert!A$3:AJ$103,8,FALSE)&gt;0,IF(VLOOKUP(A91,Schlußkurse!A$5:AU$105,37,FALSE)&gt;0,VLOOKUP(A91,Schlußkurse!A$5:AU$105,37,FALSE)/VLOOKUP(A91,Ergebnis_je_Aktie_verwässert!A$3:AJ$103,8,FALSE),""),"")</f>
        <v>#N/A</v>
      </c>
      <c r="F91" s="79" t="e">
        <f>IF(VLOOKUP(A91,Ergebnis_je_Aktie_verwässert!A$3:AJ$103,9,FALSE)&gt;0,IF(VLOOKUP(A91,Schlußkurse!A$5:AU$105,38,FALSE)&gt;0,VLOOKUP(A91,Schlußkurse!A$5:AU$105,38,FALSE)/VLOOKUP(A91,Ergebnis_je_Aktie_verwässert!A$3:AJ$103,9,FALSE),""),"")</f>
        <v>#N/A</v>
      </c>
      <c r="G91" s="79" t="e">
        <f>IF(VLOOKUP(A91,Ergebnis_je_Aktie_verwässert!A$3:AJ$103,10,FALSE)&gt;0,IF(VLOOKUP(A91,Schlußkurse!A$5:AU$105,39,FALSE)&gt;0,VLOOKUP(A91,Schlußkurse!A$5:AU$105,39,FALSE)/VLOOKUP(A91,Ergebnis_je_Aktie_verwässert!A$3:AJ$103,10,FALSE),""),"")</f>
        <v>#N/A</v>
      </c>
      <c r="H91" s="79" t="e">
        <f>IF(VLOOKUP(A91,Ergebnis_je_Aktie_verwässert!A$3:AJ$103,11,FALSE)&gt;0,IF(VLOOKUP(A91,Schlußkurse!A$5:AU$105,40,FALSE)&gt;0,VLOOKUP(A91,Schlußkurse!A$5:AU$105,40,FALSE)/VLOOKUP(A91,Ergebnis_je_Aktie_verwässert!A$3:AJ$103,11,FALSE),""),"")</f>
        <v>#N/A</v>
      </c>
      <c r="I91" s="79" t="e">
        <f>IF(VLOOKUP(A91,Ergebnis_je_Aktie_verwässert!A$3:AJ$103,12,FALSE)&gt;0,IF(VLOOKUP(A91,Schlußkurse!A$5:AU$105,41,FALSE)&gt;0,VLOOKUP(A91,Schlußkurse!A$5:AU$105,41,FALSE)/VLOOKUP(A91,Ergebnis_je_Aktie_verwässert!A$3:AJ$103,12,FALSE),""),"")</f>
        <v>#N/A</v>
      </c>
      <c r="J91" s="79" t="e">
        <f>IF(VLOOKUP(A91,Ergebnis_je_Aktie_verwässert!A$3:AJ$103,13,FALSE)&gt;0,IF(VLOOKUP(A91,Schlußkurse!A$5:AU$105,42,FALSE)&gt;0,VLOOKUP(A91,Schlußkurse!A$5:AU$105,42,FALSE)/VLOOKUP(A91,Ergebnis_je_Aktie_verwässert!A$3:AJ$103,13,FALSE),""),"")</f>
        <v>#N/A</v>
      </c>
      <c r="K91" s="79" t="e">
        <f>IF(VLOOKUP(A91,Ergebnis_je_Aktie_verwässert!A$3:AJ$103,14,FALSE)&gt;0,IF(VLOOKUP(A91,Schlußkurse!A$5:AU$105,43,FALSE)&gt;0,VLOOKUP(A91,Schlußkurse!A$5:AU$105,43,FALSE)/VLOOKUP(A91,Ergebnis_je_Aktie_verwässert!A$3:AJ$103,14,FALSE),""),"")</f>
        <v>#N/A</v>
      </c>
      <c r="L91" s="79" t="e">
        <f>IF(VLOOKUP(A91,Ergebnis_je_Aktie_verwässert!A$3:AJ$103,15,FALSE)&gt;0,IF(VLOOKUP(A91,Schlußkurse!A$5:AU$105,44,FALSE)&gt;0,VLOOKUP(A91,Schlußkurse!A$5:AU$105,44,FALSE)/VLOOKUP(A91,Ergebnis_je_Aktie_verwässert!A$3:AJ$103,15,FALSE),""),"")</f>
        <v>#N/A</v>
      </c>
      <c r="M91" s="79" t="e">
        <f>IF(VLOOKUP(A91,Ergebnis_je_Aktie_verwässert!A$3:AJ$103,16,FALSE)&gt;0,IF(VLOOKUP(A91,Schlußkurse!A$5:AU$105,45,FALSE)&gt;0,VLOOKUP(A91,Schlußkurse!A$5:AU$105,45,FALSE)/VLOOKUP(A91,Ergebnis_je_Aktie_verwässert!A$3:AJ$103,16,FALSE),""),"")</f>
        <v>#N/A</v>
      </c>
      <c r="N91" s="79" t="e">
        <f>IF(VLOOKUP(A91,Ergebnis_je_Aktie_verwässert!A$3:AJ$103,17,FALSE)&gt;0,IF(VLOOKUP(A91,Schlußkurse!A$5:AU$105,46,FALSE)&gt;0,VLOOKUP(A91,Schlußkurse!A$5:AU$105,46,FALSE)/VLOOKUP(A91,Ergebnis_je_Aktie_verwässert!A$3:AJ$103,17,FALSE),""),"")</f>
        <v>#N/A</v>
      </c>
      <c r="O91" s="80" t="e">
        <f>IF(VLOOKUP(A91,Ergebnis_je_Aktie_verwässert!A$3:AJ$103,18,FALSE)&gt;0,IF(VLOOKUP(A91,Schlußkurse!A$5:AU$105,47,FALSE)&gt;0,VLOOKUP(A91,Schlußkurse!A$5:AU$105,47,FALSE)/VLOOKUP(A91,Ergebnis_je_Aktie_verwässert!A$3:AJ$103,18,FALSE),""),"")</f>
        <v>#N/A</v>
      </c>
      <c r="P91" s="3" t="e">
        <f t="shared" si="2"/>
        <v>#N/A</v>
      </c>
      <c r="Q91" s="3" t="e">
        <f>VLOOKUP(A91,Schlußkurse!A$5:AU$105,35,FALSE)/VLOOKUP(A91,Ergebnis_je_Aktie_verwässert!A$3:AK$103,23,FALSE)</f>
        <v>#N/A</v>
      </c>
      <c r="R91" s="5" t="e">
        <f t="shared" si="3"/>
        <v>#N/A</v>
      </c>
    </row>
    <row r="92" spans="3:18" x14ac:dyDescent="0.25">
      <c r="C92" s="78" t="e">
        <f>IF(VLOOKUP(A92,Ergebnis_je_Aktie_verwässert!A$3:AJ$103,6,FALSE)&gt;0,IF(VLOOKUP(A92,Schlußkurse!A$5:AU$105,35,FALSE)&gt;0,VLOOKUP(A92,Schlußkurse!A$5:AU$105,35,FALSE)/VLOOKUP(A92,Ergebnis_je_Aktie_verwässert!A$3:AJ$103,6,FALSE),""),"")</f>
        <v>#N/A</v>
      </c>
      <c r="D92" s="79" t="e">
        <f>IF(VLOOKUP(A92,Ergebnis_je_Aktie_verwässert!A$3:AJ$103,7,FALSE)&gt;0,IF(VLOOKUP(A92,Schlußkurse!A$5:AU$105,36,FALSE)&gt;0,VLOOKUP(A92,Schlußkurse!A$5:AU$105,36,FALSE)/VLOOKUP(A92,Ergebnis_je_Aktie_verwässert!A$3:AJ$103,7,FALSE),""),"")</f>
        <v>#N/A</v>
      </c>
      <c r="E92" s="79" t="e">
        <f>IF(VLOOKUP(A92,Ergebnis_je_Aktie_verwässert!A$3:AJ$103,8,FALSE)&gt;0,IF(VLOOKUP(A92,Schlußkurse!A$5:AU$105,37,FALSE)&gt;0,VLOOKUP(A92,Schlußkurse!A$5:AU$105,37,FALSE)/VLOOKUP(A92,Ergebnis_je_Aktie_verwässert!A$3:AJ$103,8,FALSE),""),"")</f>
        <v>#N/A</v>
      </c>
      <c r="F92" s="79" t="e">
        <f>IF(VLOOKUP(A92,Ergebnis_je_Aktie_verwässert!A$3:AJ$103,9,FALSE)&gt;0,IF(VLOOKUP(A92,Schlußkurse!A$5:AU$105,38,FALSE)&gt;0,VLOOKUP(A92,Schlußkurse!A$5:AU$105,38,FALSE)/VLOOKUP(A92,Ergebnis_je_Aktie_verwässert!A$3:AJ$103,9,FALSE),""),"")</f>
        <v>#N/A</v>
      </c>
      <c r="G92" s="79" t="e">
        <f>IF(VLOOKUP(A92,Ergebnis_je_Aktie_verwässert!A$3:AJ$103,10,FALSE)&gt;0,IF(VLOOKUP(A92,Schlußkurse!A$5:AU$105,39,FALSE)&gt;0,VLOOKUP(A92,Schlußkurse!A$5:AU$105,39,FALSE)/VLOOKUP(A92,Ergebnis_je_Aktie_verwässert!A$3:AJ$103,10,FALSE),""),"")</f>
        <v>#N/A</v>
      </c>
      <c r="H92" s="79" t="e">
        <f>IF(VLOOKUP(A92,Ergebnis_je_Aktie_verwässert!A$3:AJ$103,11,FALSE)&gt;0,IF(VLOOKUP(A92,Schlußkurse!A$5:AU$105,40,FALSE)&gt;0,VLOOKUP(A92,Schlußkurse!A$5:AU$105,40,FALSE)/VLOOKUP(A92,Ergebnis_je_Aktie_verwässert!A$3:AJ$103,11,FALSE),""),"")</f>
        <v>#N/A</v>
      </c>
      <c r="I92" s="79" t="e">
        <f>IF(VLOOKUP(A92,Ergebnis_je_Aktie_verwässert!A$3:AJ$103,12,FALSE)&gt;0,IF(VLOOKUP(A92,Schlußkurse!A$5:AU$105,41,FALSE)&gt;0,VLOOKUP(A92,Schlußkurse!A$5:AU$105,41,FALSE)/VLOOKUP(A92,Ergebnis_je_Aktie_verwässert!A$3:AJ$103,12,FALSE),""),"")</f>
        <v>#N/A</v>
      </c>
      <c r="J92" s="79" t="e">
        <f>IF(VLOOKUP(A92,Ergebnis_je_Aktie_verwässert!A$3:AJ$103,13,FALSE)&gt;0,IF(VLOOKUP(A92,Schlußkurse!A$5:AU$105,42,FALSE)&gt;0,VLOOKUP(A92,Schlußkurse!A$5:AU$105,42,FALSE)/VLOOKUP(A92,Ergebnis_je_Aktie_verwässert!A$3:AJ$103,13,FALSE),""),"")</f>
        <v>#N/A</v>
      </c>
      <c r="K92" s="79" t="e">
        <f>IF(VLOOKUP(A92,Ergebnis_je_Aktie_verwässert!A$3:AJ$103,14,FALSE)&gt;0,IF(VLOOKUP(A92,Schlußkurse!A$5:AU$105,43,FALSE)&gt;0,VLOOKUP(A92,Schlußkurse!A$5:AU$105,43,FALSE)/VLOOKUP(A92,Ergebnis_je_Aktie_verwässert!A$3:AJ$103,14,FALSE),""),"")</f>
        <v>#N/A</v>
      </c>
      <c r="L92" s="79" t="e">
        <f>IF(VLOOKUP(A92,Ergebnis_je_Aktie_verwässert!A$3:AJ$103,15,FALSE)&gt;0,IF(VLOOKUP(A92,Schlußkurse!A$5:AU$105,44,FALSE)&gt;0,VLOOKUP(A92,Schlußkurse!A$5:AU$105,44,FALSE)/VLOOKUP(A92,Ergebnis_je_Aktie_verwässert!A$3:AJ$103,15,FALSE),""),"")</f>
        <v>#N/A</v>
      </c>
      <c r="M92" s="79" t="e">
        <f>IF(VLOOKUP(A92,Ergebnis_je_Aktie_verwässert!A$3:AJ$103,16,FALSE)&gt;0,IF(VLOOKUP(A92,Schlußkurse!A$5:AU$105,45,FALSE)&gt;0,VLOOKUP(A92,Schlußkurse!A$5:AU$105,45,FALSE)/VLOOKUP(A92,Ergebnis_je_Aktie_verwässert!A$3:AJ$103,16,FALSE),""),"")</f>
        <v>#N/A</v>
      </c>
      <c r="N92" s="79" t="e">
        <f>IF(VLOOKUP(A92,Ergebnis_je_Aktie_verwässert!A$3:AJ$103,17,FALSE)&gt;0,IF(VLOOKUP(A92,Schlußkurse!A$5:AU$105,46,FALSE)&gt;0,VLOOKUP(A92,Schlußkurse!A$5:AU$105,46,FALSE)/VLOOKUP(A92,Ergebnis_je_Aktie_verwässert!A$3:AJ$103,17,FALSE),""),"")</f>
        <v>#N/A</v>
      </c>
      <c r="O92" s="80" t="e">
        <f>IF(VLOOKUP(A92,Ergebnis_je_Aktie_verwässert!A$3:AJ$103,18,FALSE)&gt;0,IF(VLOOKUP(A92,Schlußkurse!A$5:AU$105,47,FALSE)&gt;0,VLOOKUP(A92,Schlußkurse!A$5:AU$105,47,FALSE)/VLOOKUP(A92,Ergebnis_je_Aktie_verwässert!A$3:AJ$103,18,FALSE),""),"")</f>
        <v>#N/A</v>
      </c>
      <c r="P92" s="3" t="e">
        <f t="shared" si="2"/>
        <v>#N/A</v>
      </c>
      <c r="Q92" s="3" t="e">
        <f>VLOOKUP(A92,Schlußkurse!A$5:AU$105,35,FALSE)/VLOOKUP(A92,Ergebnis_je_Aktie_verwässert!A$3:AK$103,23,FALSE)</f>
        <v>#N/A</v>
      </c>
      <c r="R92" s="5" t="e">
        <f t="shared" si="3"/>
        <v>#N/A</v>
      </c>
    </row>
    <row r="93" spans="3:18" x14ac:dyDescent="0.25">
      <c r="C93" s="78" t="e">
        <f>IF(VLOOKUP(A93,Ergebnis_je_Aktie_verwässert!A$3:AJ$103,6,FALSE)&gt;0,IF(VLOOKUP(A93,Schlußkurse!A$5:AU$105,35,FALSE)&gt;0,VLOOKUP(A93,Schlußkurse!A$5:AU$105,35,FALSE)/VLOOKUP(A93,Ergebnis_je_Aktie_verwässert!A$3:AJ$103,6,FALSE),""),"")</f>
        <v>#N/A</v>
      </c>
      <c r="D93" s="79" t="e">
        <f>IF(VLOOKUP(A93,Ergebnis_je_Aktie_verwässert!A$3:AJ$103,7,FALSE)&gt;0,IF(VLOOKUP(A93,Schlußkurse!A$5:AU$105,36,FALSE)&gt;0,VLOOKUP(A93,Schlußkurse!A$5:AU$105,36,FALSE)/VLOOKUP(A93,Ergebnis_je_Aktie_verwässert!A$3:AJ$103,7,FALSE),""),"")</f>
        <v>#N/A</v>
      </c>
      <c r="E93" s="79" t="e">
        <f>IF(VLOOKUP(A93,Ergebnis_je_Aktie_verwässert!A$3:AJ$103,8,FALSE)&gt;0,IF(VLOOKUP(A93,Schlußkurse!A$5:AU$105,37,FALSE)&gt;0,VLOOKUP(A93,Schlußkurse!A$5:AU$105,37,FALSE)/VLOOKUP(A93,Ergebnis_je_Aktie_verwässert!A$3:AJ$103,8,FALSE),""),"")</f>
        <v>#N/A</v>
      </c>
      <c r="F93" s="79" t="e">
        <f>IF(VLOOKUP(A93,Ergebnis_je_Aktie_verwässert!A$3:AJ$103,9,FALSE)&gt;0,IF(VLOOKUP(A93,Schlußkurse!A$5:AU$105,38,FALSE)&gt;0,VLOOKUP(A93,Schlußkurse!A$5:AU$105,38,FALSE)/VLOOKUP(A93,Ergebnis_je_Aktie_verwässert!A$3:AJ$103,9,FALSE),""),"")</f>
        <v>#N/A</v>
      </c>
      <c r="G93" s="79" t="e">
        <f>IF(VLOOKUP(A93,Ergebnis_je_Aktie_verwässert!A$3:AJ$103,10,FALSE)&gt;0,IF(VLOOKUP(A93,Schlußkurse!A$5:AU$105,39,FALSE)&gt;0,VLOOKUP(A93,Schlußkurse!A$5:AU$105,39,FALSE)/VLOOKUP(A93,Ergebnis_je_Aktie_verwässert!A$3:AJ$103,10,FALSE),""),"")</f>
        <v>#N/A</v>
      </c>
      <c r="H93" s="79" t="e">
        <f>IF(VLOOKUP(A93,Ergebnis_je_Aktie_verwässert!A$3:AJ$103,11,FALSE)&gt;0,IF(VLOOKUP(A93,Schlußkurse!A$5:AU$105,40,FALSE)&gt;0,VLOOKUP(A93,Schlußkurse!A$5:AU$105,40,FALSE)/VLOOKUP(A93,Ergebnis_je_Aktie_verwässert!A$3:AJ$103,11,FALSE),""),"")</f>
        <v>#N/A</v>
      </c>
      <c r="I93" s="79" t="e">
        <f>IF(VLOOKUP(A93,Ergebnis_je_Aktie_verwässert!A$3:AJ$103,12,FALSE)&gt;0,IF(VLOOKUP(A93,Schlußkurse!A$5:AU$105,41,FALSE)&gt;0,VLOOKUP(A93,Schlußkurse!A$5:AU$105,41,FALSE)/VLOOKUP(A93,Ergebnis_je_Aktie_verwässert!A$3:AJ$103,12,FALSE),""),"")</f>
        <v>#N/A</v>
      </c>
      <c r="J93" s="79" t="e">
        <f>IF(VLOOKUP(A93,Ergebnis_je_Aktie_verwässert!A$3:AJ$103,13,FALSE)&gt;0,IF(VLOOKUP(A93,Schlußkurse!A$5:AU$105,42,FALSE)&gt;0,VLOOKUP(A93,Schlußkurse!A$5:AU$105,42,FALSE)/VLOOKUP(A93,Ergebnis_je_Aktie_verwässert!A$3:AJ$103,13,FALSE),""),"")</f>
        <v>#N/A</v>
      </c>
      <c r="K93" s="79" t="e">
        <f>IF(VLOOKUP(A93,Ergebnis_je_Aktie_verwässert!A$3:AJ$103,14,FALSE)&gt;0,IF(VLOOKUP(A93,Schlußkurse!A$5:AU$105,43,FALSE)&gt;0,VLOOKUP(A93,Schlußkurse!A$5:AU$105,43,FALSE)/VLOOKUP(A93,Ergebnis_je_Aktie_verwässert!A$3:AJ$103,14,FALSE),""),"")</f>
        <v>#N/A</v>
      </c>
      <c r="L93" s="79" t="e">
        <f>IF(VLOOKUP(A93,Ergebnis_je_Aktie_verwässert!A$3:AJ$103,15,FALSE)&gt;0,IF(VLOOKUP(A93,Schlußkurse!A$5:AU$105,44,FALSE)&gt;0,VLOOKUP(A93,Schlußkurse!A$5:AU$105,44,FALSE)/VLOOKUP(A93,Ergebnis_je_Aktie_verwässert!A$3:AJ$103,15,FALSE),""),"")</f>
        <v>#N/A</v>
      </c>
      <c r="M93" s="79" t="e">
        <f>IF(VLOOKUP(A93,Ergebnis_je_Aktie_verwässert!A$3:AJ$103,16,FALSE)&gt;0,IF(VLOOKUP(A93,Schlußkurse!A$5:AU$105,45,FALSE)&gt;0,VLOOKUP(A93,Schlußkurse!A$5:AU$105,45,FALSE)/VLOOKUP(A93,Ergebnis_je_Aktie_verwässert!A$3:AJ$103,16,FALSE),""),"")</f>
        <v>#N/A</v>
      </c>
      <c r="N93" s="79" t="e">
        <f>IF(VLOOKUP(A93,Ergebnis_je_Aktie_verwässert!A$3:AJ$103,17,FALSE)&gt;0,IF(VLOOKUP(A93,Schlußkurse!A$5:AU$105,46,FALSE)&gt;0,VLOOKUP(A93,Schlußkurse!A$5:AU$105,46,FALSE)/VLOOKUP(A93,Ergebnis_je_Aktie_verwässert!A$3:AJ$103,17,FALSE),""),"")</f>
        <v>#N/A</v>
      </c>
      <c r="O93" s="80" t="e">
        <f>IF(VLOOKUP(A93,Ergebnis_je_Aktie_verwässert!A$3:AJ$103,18,FALSE)&gt;0,IF(VLOOKUP(A93,Schlußkurse!A$5:AU$105,47,FALSE)&gt;0,VLOOKUP(A93,Schlußkurse!A$5:AU$105,47,FALSE)/VLOOKUP(A93,Ergebnis_je_Aktie_verwässert!A$3:AJ$103,18,FALSE),""),"")</f>
        <v>#N/A</v>
      </c>
      <c r="P93" s="3" t="e">
        <f t="shared" si="2"/>
        <v>#N/A</v>
      </c>
      <c r="Q93" s="3" t="e">
        <f>VLOOKUP(A93,Schlußkurse!A$5:AU$105,35,FALSE)/VLOOKUP(A93,Ergebnis_je_Aktie_verwässert!A$3:AK$103,23,FALSE)</f>
        <v>#N/A</v>
      </c>
      <c r="R93" s="5" t="e">
        <f t="shared" si="3"/>
        <v>#N/A</v>
      </c>
    </row>
    <row r="94" spans="3:18" x14ac:dyDescent="0.25">
      <c r="C94" s="78" t="e">
        <f>IF(VLOOKUP(A94,Ergebnis_je_Aktie_verwässert!A$3:AJ$103,6,FALSE)&gt;0,IF(VLOOKUP(A94,Schlußkurse!A$5:AU$105,35,FALSE)&gt;0,VLOOKUP(A94,Schlußkurse!A$5:AU$105,35,FALSE)/VLOOKUP(A94,Ergebnis_je_Aktie_verwässert!A$3:AJ$103,6,FALSE),""),"")</f>
        <v>#N/A</v>
      </c>
      <c r="D94" s="79" t="e">
        <f>IF(VLOOKUP(A94,Ergebnis_je_Aktie_verwässert!A$3:AJ$103,7,FALSE)&gt;0,IF(VLOOKUP(A94,Schlußkurse!A$5:AU$105,36,FALSE)&gt;0,VLOOKUP(A94,Schlußkurse!A$5:AU$105,36,FALSE)/VLOOKUP(A94,Ergebnis_je_Aktie_verwässert!A$3:AJ$103,7,FALSE),""),"")</f>
        <v>#N/A</v>
      </c>
      <c r="E94" s="79" t="e">
        <f>IF(VLOOKUP(A94,Ergebnis_je_Aktie_verwässert!A$3:AJ$103,8,FALSE)&gt;0,IF(VLOOKUP(A94,Schlußkurse!A$5:AU$105,37,FALSE)&gt;0,VLOOKUP(A94,Schlußkurse!A$5:AU$105,37,FALSE)/VLOOKUP(A94,Ergebnis_je_Aktie_verwässert!A$3:AJ$103,8,FALSE),""),"")</f>
        <v>#N/A</v>
      </c>
      <c r="F94" s="79" t="e">
        <f>IF(VLOOKUP(A94,Ergebnis_je_Aktie_verwässert!A$3:AJ$103,9,FALSE)&gt;0,IF(VLOOKUP(A94,Schlußkurse!A$5:AU$105,38,FALSE)&gt;0,VLOOKUP(A94,Schlußkurse!A$5:AU$105,38,FALSE)/VLOOKUP(A94,Ergebnis_je_Aktie_verwässert!A$3:AJ$103,9,FALSE),""),"")</f>
        <v>#N/A</v>
      </c>
      <c r="G94" s="79" t="e">
        <f>IF(VLOOKUP(A94,Ergebnis_je_Aktie_verwässert!A$3:AJ$103,10,FALSE)&gt;0,IF(VLOOKUP(A94,Schlußkurse!A$5:AU$105,39,FALSE)&gt;0,VLOOKUP(A94,Schlußkurse!A$5:AU$105,39,FALSE)/VLOOKUP(A94,Ergebnis_je_Aktie_verwässert!A$3:AJ$103,10,FALSE),""),"")</f>
        <v>#N/A</v>
      </c>
      <c r="H94" s="79" t="e">
        <f>IF(VLOOKUP(A94,Ergebnis_je_Aktie_verwässert!A$3:AJ$103,11,FALSE)&gt;0,IF(VLOOKUP(A94,Schlußkurse!A$5:AU$105,40,FALSE)&gt;0,VLOOKUP(A94,Schlußkurse!A$5:AU$105,40,FALSE)/VLOOKUP(A94,Ergebnis_je_Aktie_verwässert!A$3:AJ$103,11,FALSE),""),"")</f>
        <v>#N/A</v>
      </c>
      <c r="I94" s="79" t="e">
        <f>IF(VLOOKUP(A94,Ergebnis_je_Aktie_verwässert!A$3:AJ$103,12,FALSE)&gt;0,IF(VLOOKUP(A94,Schlußkurse!A$5:AU$105,41,FALSE)&gt;0,VLOOKUP(A94,Schlußkurse!A$5:AU$105,41,FALSE)/VLOOKUP(A94,Ergebnis_je_Aktie_verwässert!A$3:AJ$103,12,FALSE),""),"")</f>
        <v>#N/A</v>
      </c>
      <c r="J94" s="79" t="e">
        <f>IF(VLOOKUP(A94,Ergebnis_je_Aktie_verwässert!A$3:AJ$103,13,FALSE)&gt;0,IF(VLOOKUP(A94,Schlußkurse!A$5:AU$105,42,FALSE)&gt;0,VLOOKUP(A94,Schlußkurse!A$5:AU$105,42,FALSE)/VLOOKUP(A94,Ergebnis_je_Aktie_verwässert!A$3:AJ$103,13,FALSE),""),"")</f>
        <v>#N/A</v>
      </c>
      <c r="K94" s="79" t="e">
        <f>IF(VLOOKUP(A94,Ergebnis_je_Aktie_verwässert!A$3:AJ$103,14,FALSE)&gt;0,IF(VLOOKUP(A94,Schlußkurse!A$5:AU$105,43,FALSE)&gt;0,VLOOKUP(A94,Schlußkurse!A$5:AU$105,43,FALSE)/VLOOKUP(A94,Ergebnis_je_Aktie_verwässert!A$3:AJ$103,14,FALSE),""),"")</f>
        <v>#N/A</v>
      </c>
      <c r="L94" s="79" t="e">
        <f>IF(VLOOKUP(A94,Ergebnis_je_Aktie_verwässert!A$3:AJ$103,15,FALSE)&gt;0,IF(VLOOKUP(A94,Schlußkurse!A$5:AU$105,44,FALSE)&gt;0,VLOOKUP(A94,Schlußkurse!A$5:AU$105,44,FALSE)/VLOOKUP(A94,Ergebnis_je_Aktie_verwässert!A$3:AJ$103,15,FALSE),""),"")</f>
        <v>#N/A</v>
      </c>
      <c r="M94" s="79" t="e">
        <f>IF(VLOOKUP(A94,Ergebnis_je_Aktie_verwässert!A$3:AJ$103,16,FALSE)&gt;0,IF(VLOOKUP(A94,Schlußkurse!A$5:AU$105,45,FALSE)&gt;0,VLOOKUP(A94,Schlußkurse!A$5:AU$105,45,FALSE)/VLOOKUP(A94,Ergebnis_je_Aktie_verwässert!A$3:AJ$103,16,FALSE),""),"")</f>
        <v>#N/A</v>
      </c>
      <c r="N94" s="79" t="e">
        <f>IF(VLOOKUP(A94,Ergebnis_je_Aktie_verwässert!A$3:AJ$103,17,FALSE)&gt;0,IF(VLOOKUP(A94,Schlußkurse!A$5:AU$105,46,FALSE)&gt;0,VLOOKUP(A94,Schlußkurse!A$5:AU$105,46,FALSE)/VLOOKUP(A94,Ergebnis_je_Aktie_verwässert!A$3:AJ$103,17,FALSE),""),"")</f>
        <v>#N/A</v>
      </c>
      <c r="O94" s="80" t="e">
        <f>IF(VLOOKUP(A94,Ergebnis_je_Aktie_verwässert!A$3:AJ$103,18,FALSE)&gt;0,IF(VLOOKUP(A94,Schlußkurse!A$5:AU$105,47,FALSE)&gt;0,VLOOKUP(A94,Schlußkurse!A$5:AU$105,47,FALSE)/VLOOKUP(A94,Ergebnis_je_Aktie_verwässert!A$3:AJ$103,18,FALSE),""),"")</f>
        <v>#N/A</v>
      </c>
      <c r="P94" s="3" t="e">
        <f t="shared" si="2"/>
        <v>#N/A</v>
      </c>
      <c r="Q94" s="3" t="e">
        <f>VLOOKUP(A94,Schlußkurse!A$5:AU$105,35,FALSE)/VLOOKUP(A94,Ergebnis_je_Aktie_verwässert!A$3:AK$103,23,FALSE)</f>
        <v>#N/A</v>
      </c>
      <c r="R94" s="5" t="e">
        <f t="shared" si="3"/>
        <v>#N/A</v>
      </c>
    </row>
    <row r="95" spans="3:18" x14ac:dyDescent="0.25">
      <c r="C95" s="78" t="e">
        <f>IF(VLOOKUP(A95,Ergebnis_je_Aktie_verwässert!A$3:AJ$103,6,FALSE)&gt;0,IF(VLOOKUP(A95,Schlußkurse!A$5:AU$105,35,FALSE)&gt;0,VLOOKUP(A95,Schlußkurse!A$5:AU$105,35,FALSE)/VLOOKUP(A95,Ergebnis_je_Aktie_verwässert!A$3:AJ$103,6,FALSE),""),"")</f>
        <v>#N/A</v>
      </c>
      <c r="D95" s="79" t="e">
        <f>IF(VLOOKUP(A95,Ergebnis_je_Aktie_verwässert!A$3:AJ$103,7,FALSE)&gt;0,IF(VLOOKUP(A95,Schlußkurse!A$5:AU$105,36,FALSE)&gt;0,VLOOKUP(A95,Schlußkurse!A$5:AU$105,36,FALSE)/VLOOKUP(A95,Ergebnis_je_Aktie_verwässert!A$3:AJ$103,7,FALSE),""),"")</f>
        <v>#N/A</v>
      </c>
      <c r="E95" s="79" t="e">
        <f>IF(VLOOKUP(A95,Ergebnis_je_Aktie_verwässert!A$3:AJ$103,8,FALSE)&gt;0,IF(VLOOKUP(A95,Schlußkurse!A$5:AU$105,37,FALSE)&gt;0,VLOOKUP(A95,Schlußkurse!A$5:AU$105,37,FALSE)/VLOOKUP(A95,Ergebnis_je_Aktie_verwässert!A$3:AJ$103,8,FALSE),""),"")</f>
        <v>#N/A</v>
      </c>
      <c r="F95" s="79" t="e">
        <f>IF(VLOOKUP(A95,Ergebnis_je_Aktie_verwässert!A$3:AJ$103,9,FALSE)&gt;0,IF(VLOOKUP(A95,Schlußkurse!A$5:AU$105,38,FALSE)&gt;0,VLOOKUP(A95,Schlußkurse!A$5:AU$105,38,FALSE)/VLOOKUP(A95,Ergebnis_je_Aktie_verwässert!A$3:AJ$103,9,FALSE),""),"")</f>
        <v>#N/A</v>
      </c>
      <c r="G95" s="79" t="e">
        <f>IF(VLOOKUP(A95,Ergebnis_je_Aktie_verwässert!A$3:AJ$103,10,FALSE)&gt;0,IF(VLOOKUP(A95,Schlußkurse!A$5:AU$105,39,FALSE)&gt;0,VLOOKUP(A95,Schlußkurse!A$5:AU$105,39,FALSE)/VLOOKUP(A95,Ergebnis_je_Aktie_verwässert!A$3:AJ$103,10,FALSE),""),"")</f>
        <v>#N/A</v>
      </c>
      <c r="H95" s="79" t="e">
        <f>IF(VLOOKUP(A95,Ergebnis_je_Aktie_verwässert!A$3:AJ$103,11,FALSE)&gt;0,IF(VLOOKUP(A95,Schlußkurse!A$5:AU$105,40,FALSE)&gt;0,VLOOKUP(A95,Schlußkurse!A$5:AU$105,40,FALSE)/VLOOKUP(A95,Ergebnis_je_Aktie_verwässert!A$3:AJ$103,11,FALSE),""),"")</f>
        <v>#N/A</v>
      </c>
      <c r="I95" s="79" t="e">
        <f>IF(VLOOKUP(A95,Ergebnis_je_Aktie_verwässert!A$3:AJ$103,12,FALSE)&gt;0,IF(VLOOKUP(A95,Schlußkurse!A$5:AU$105,41,FALSE)&gt;0,VLOOKUP(A95,Schlußkurse!A$5:AU$105,41,FALSE)/VLOOKUP(A95,Ergebnis_je_Aktie_verwässert!A$3:AJ$103,12,FALSE),""),"")</f>
        <v>#N/A</v>
      </c>
      <c r="J95" s="79" t="e">
        <f>IF(VLOOKUP(A95,Ergebnis_je_Aktie_verwässert!A$3:AJ$103,13,FALSE)&gt;0,IF(VLOOKUP(A95,Schlußkurse!A$5:AU$105,42,FALSE)&gt;0,VLOOKUP(A95,Schlußkurse!A$5:AU$105,42,FALSE)/VLOOKUP(A95,Ergebnis_je_Aktie_verwässert!A$3:AJ$103,13,FALSE),""),"")</f>
        <v>#N/A</v>
      </c>
      <c r="K95" s="79" t="e">
        <f>IF(VLOOKUP(A95,Ergebnis_je_Aktie_verwässert!A$3:AJ$103,14,FALSE)&gt;0,IF(VLOOKUP(A95,Schlußkurse!A$5:AU$105,43,FALSE)&gt;0,VLOOKUP(A95,Schlußkurse!A$5:AU$105,43,FALSE)/VLOOKUP(A95,Ergebnis_je_Aktie_verwässert!A$3:AJ$103,14,FALSE),""),"")</f>
        <v>#N/A</v>
      </c>
      <c r="L95" s="79" t="e">
        <f>IF(VLOOKUP(A95,Ergebnis_je_Aktie_verwässert!A$3:AJ$103,15,FALSE)&gt;0,IF(VLOOKUP(A95,Schlußkurse!A$5:AU$105,44,FALSE)&gt;0,VLOOKUP(A95,Schlußkurse!A$5:AU$105,44,FALSE)/VLOOKUP(A95,Ergebnis_je_Aktie_verwässert!A$3:AJ$103,15,FALSE),""),"")</f>
        <v>#N/A</v>
      </c>
      <c r="M95" s="79" t="e">
        <f>IF(VLOOKUP(A95,Ergebnis_je_Aktie_verwässert!A$3:AJ$103,16,FALSE)&gt;0,IF(VLOOKUP(A95,Schlußkurse!A$5:AU$105,45,FALSE)&gt;0,VLOOKUP(A95,Schlußkurse!A$5:AU$105,45,FALSE)/VLOOKUP(A95,Ergebnis_je_Aktie_verwässert!A$3:AJ$103,16,FALSE),""),"")</f>
        <v>#N/A</v>
      </c>
      <c r="N95" s="79" t="e">
        <f>IF(VLOOKUP(A95,Ergebnis_je_Aktie_verwässert!A$3:AJ$103,17,FALSE)&gt;0,IF(VLOOKUP(A95,Schlußkurse!A$5:AU$105,46,FALSE)&gt;0,VLOOKUP(A95,Schlußkurse!A$5:AU$105,46,FALSE)/VLOOKUP(A95,Ergebnis_je_Aktie_verwässert!A$3:AJ$103,17,FALSE),""),"")</f>
        <v>#N/A</v>
      </c>
      <c r="O95" s="80" t="e">
        <f>IF(VLOOKUP(A95,Ergebnis_je_Aktie_verwässert!A$3:AJ$103,18,FALSE)&gt;0,IF(VLOOKUP(A95,Schlußkurse!A$5:AU$105,47,FALSE)&gt;0,VLOOKUP(A95,Schlußkurse!A$5:AU$105,47,FALSE)/VLOOKUP(A95,Ergebnis_je_Aktie_verwässert!A$3:AJ$103,18,FALSE),""),"")</f>
        <v>#N/A</v>
      </c>
      <c r="P95" s="3" t="e">
        <f t="shared" si="2"/>
        <v>#N/A</v>
      </c>
      <c r="Q95" s="3" t="e">
        <f>VLOOKUP(A95,Schlußkurse!A$5:AU$105,35,FALSE)/VLOOKUP(A95,Ergebnis_je_Aktie_verwässert!A$3:AK$103,23,FALSE)</f>
        <v>#N/A</v>
      </c>
      <c r="R95" s="5" t="e">
        <f t="shared" si="3"/>
        <v>#N/A</v>
      </c>
    </row>
    <row r="96" spans="3:18" x14ac:dyDescent="0.25">
      <c r="C96" s="78" t="e">
        <f>IF(VLOOKUP(A96,Ergebnis_je_Aktie_verwässert!A$3:AJ$103,6,FALSE)&gt;0,IF(VLOOKUP(A96,Schlußkurse!A$5:AU$105,35,FALSE)&gt;0,VLOOKUP(A96,Schlußkurse!A$5:AU$105,35,FALSE)/VLOOKUP(A96,Ergebnis_je_Aktie_verwässert!A$3:AJ$103,6,FALSE),""),"")</f>
        <v>#N/A</v>
      </c>
      <c r="D96" s="79" t="e">
        <f>IF(VLOOKUP(A96,Ergebnis_je_Aktie_verwässert!A$3:AJ$103,7,FALSE)&gt;0,IF(VLOOKUP(A96,Schlußkurse!A$5:AU$105,36,FALSE)&gt;0,VLOOKUP(A96,Schlußkurse!A$5:AU$105,36,FALSE)/VLOOKUP(A96,Ergebnis_je_Aktie_verwässert!A$3:AJ$103,7,FALSE),""),"")</f>
        <v>#N/A</v>
      </c>
      <c r="E96" s="79" t="e">
        <f>IF(VLOOKUP(A96,Ergebnis_je_Aktie_verwässert!A$3:AJ$103,8,FALSE)&gt;0,IF(VLOOKUP(A96,Schlußkurse!A$5:AU$105,37,FALSE)&gt;0,VLOOKUP(A96,Schlußkurse!A$5:AU$105,37,FALSE)/VLOOKUP(A96,Ergebnis_je_Aktie_verwässert!A$3:AJ$103,8,FALSE),""),"")</f>
        <v>#N/A</v>
      </c>
      <c r="F96" s="79" t="e">
        <f>IF(VLOOKUP(A96,Ergebnis_je_Aktie_verwässert!A$3:AJ$103,9,FALSE)&gt;0,IF(VLOOKUP(A96,Schlußkurse!A$5:AU$105,38,FALSE)&gt;0,VLOOKUP(A96,Schlußkurse!A$5:AU$105,38,FALSE)/VLOOKUP(A96,Ergebnis_je_Aktie_verwässert!A$3:AJ$103,9,FALSE),""),"")</f>
        <v>#N/A</v>
      </c>
      <c r="G96" s="79" t="e">
        <f>IF(VLOOKUP(A96,Ergebnis_je_Aktie_verwässert!A$3:AJ$103,10,FALSE)&gt;0,IF(VLOOKUP(A96,Schlußkurse!A$5:AU$105,39,FALSE)&gt;0,VLOOKUP(A96,Schlußkurse!A$5:AU$105,39,FALSE)/VLOOKUP(A96,Ergebnis_je_Aktie_verwässert!A$3:AJ$103,10,FALSE),""),"")</f>
        <v>#N/A</v>
      </c>
      <c r="H96" s="79" t="e">
        <f>IF(VLOOKUP(A96,Ergebnis_je_Aktie_verwässert!A$3:AJ$103,11,FALSE)&gt;0,IF(VLOOKUP(A96,Schlußkurse!A$5:AU$105,40,FALSE)&gt;0,VLOOKUP(A96,Schlußkurse!A$5:AU$105,40,FALSE)/VLOOKUP(A96,Ergebnis_je_Aktie_verwässert!A$3:AJ$103,11,FALSE),""),"")</f>
        <v>#N/A</v>
      </c>
      <c r="I96" s="79" t="e">
        <f>IF(VLOOKUP(A96,Ergebnis_je_Aktie_verwässert!A$3:AJ$103,12,FALSE)&gt;0,IF(VLOOKUP(A96,Schlußkurse!A$5:AU$105,41,FALSE)&gt;0,VLOOKUP(A96,Schlußkurse!A$5:AU$105,41,FALSE)/VLOOKUP(A96,Ergebnis_je_Aktie_verwässert!A$3:AJ$103,12,FALSE),""),"")</f>
        <v>#N/A</v>
      </c>
      <c r="J96" s="79" t="e">
        <f>IF(VLOOKUP(A96,Ergebnis_je_Aktie_verwässert!A$3:AJ$103,13,FALSE)&gt;0,IF(VLOOKUP(A96,Schlußkurse!A$5:AU$105,42,FALSE)&gt;0,VLOOKUP(A96,Schlußkurse!A$5:AU$105,42,FALSE)/VLOOKUP(A96,Ergebnis_je_Aktie_verwässert!A$3:AJ$103,13,FALSE),""),"")</f>
        <v>#N/A</v>
      </c>
      <c r="K96" s="79" t="e">
        <f>IF(VLOOKUP(A96,Ergebnis_je_Aktie_verwässert!A$3:AJ$103,14,FALSE)&gt;0,IF(VLOOKUP(A96,Schlußkurse!A$5:AU$105,43,FALSE)&gt;0,VLOOKUP(A96,Schlußkurse!A$5:AU$105,43,FALSE)/VLOOKUP(A96,Ergebnis_je_Aktie_verwässert!A$3:AJ$103,14,FALSE),""),"")</f>
        <v>#N/A</v>
      </c>
      <c r="L96" s="79" t="e">
        <f>IF(VLOOKUP(A96,Ergebnis_je_Aktie_verwässert!A$3:AJ$103,15,FALSE)&gt;0,IF(VLOOKUP(A96,Schlußkurse!A$5:AU$105,44,FALSE)&gt;0,VLOOKUP(A96,Schlußkurse!A$5:AU$105,44,FALSE)/VLOOKUP(A96,Ergebnis_je_Aktie_verwässert!A$3:AJ$103,15,FALSE),""),"")</f>
        <v>#N/A</v>
      </c>
      <c r="M96" s="79" t="e">
        <f>IF(VLOOKUP(A96,Ergebnis_je_Aktie_verwässert!A$3:AJ$103,16,FALSE)&gt;0,IF(VLOOKUP(A96,Schlußkurse!A$5:AU$105,45,FALSE)&gt;0,VLOOKUP(A96,Schlußkurse!A$5:AU$105,45,FALSE)/VLOOKUP(A96,Ergebnis_je_Aktie_verwässert!A$3:AJ$103,16,FALSE),""),"")</f>
        <v>#N/A</v>
      </c>
      <c r="N96" s="79" t="e">
        <f>IF(VLOOKUP(A96,Ergebnis_je_Aktie_verwässert!A$3:AJ$103,17,FALSE)&gt;0,IF(VLOOKUP(A96,Schlußkurse!A$5:AU$105,46,FALSE)&gt;0,VLOOKUP(A96,Schlußkurse!A$5:AU$105,46,FALSE)/VLOOKUP(A96,Ergebnis_je_Aktie_verwässert!A$3:AJ$103,17,FALSE),""),"")</f>
        <v>#N/A</v>
      </c>
      <c r="O96" s="80" t="e">
        <f>IF(VLOOKUP(A96,Ergebnis_je_Aktie_verwässert!A$3:AJ$103,18,FALSE)&gt;0,IF(VLOOKUP(A96,Schlußkurse!A$5:AU$105,47,FALSE)&gt;0,VLOOKUP(A96,Schlußkurse!A$5:AU$105,47,FALSE)/VLOOKUP(A96,Ergebnis_je_Aktie_verwässert!A$3:AJ$103,18,FALSE),""),"")</f>
        <v>#N/A</v>
      </c>
      <c r="P96" s="3" t="e">
        <f t="shared" si="2"/>
        <v>#N/A</v>
      </c>
      <c r="Q96" s="3" t="e">
        <f>VLOOKUP(A96,Schlußkurse!A$5:AU$105,35,FALSE)/VLOOKUP(A96,Ergebnis_je_Aktie_verwässert!A$3:AK$103,23,FALSE)</f>
        <v>#N/A</v>
      </c>
      <c r="R96" s="5" t="e">
        <f t="shared" si="3"/>
        <v>#N/A</v>
      </c>
    </row>
    <row r="97" spans="3:18" x14ac:dyDescent="0.25">
      <c r="C97" s="78" t="e">
        <f>IF(VLOOKUP(A97,Ergebnis_je_Aktie_verwässert!A$3:AJ$103,6,FALSE)&gt;0,IF(VLOOKUP(A97,Schlußkurse!A$5:AU$105,35,FALSE)&gt;0,VLOOKUP(A97,Schlußkurse!A$5:AU$105,35,FALSE)/VLOOKUP(A97,Ergebnis_je_Aktie_verwässert!A$3:AJ$103,6,FALSE),""),"")</f>
        <v>#N/A</v>
      </c>
      <c r="D97" s="79" t="e">
        <f>IF(VLOOKUP(A97,Ergebnis_je_Aktie_verwässert!A$3:AJ$103,7,FALSE)&gt;0,IF(VLOOKUP(A97,Schlußkurse!A$5:AU$105,36,FALSE)&gt;0,VLOOKUP(A97,Schlußkurse!A$5:AU$105,36,FALSE)/VLOOKUP(A97,Ergebnis_je_Aktie_verwässert!A$3:AJ$103,7,FALSE),""),"")</f>
        <v>#N/A</v>
      </c>
      <c r="E97" s="79" t="e">
        <f>IF(VLOOKUP(A97,Ergebnis_je_Aktie_verwässert!A$3:AJ$103,8,FALSE)&gt;0,IF(VLOOKUP(A97,Schlußkurse!A$5:AU$105,37,FALSE)&gt;0,VLOOKUP(A97,Schlußkurse!A$5:AU$105,37,FALSE)/VLOOKUP(A97,Ergebnis_je_Aktie_verwässert!A$3:AJ$103,8,FALSE),""),"")</f>
        <v>#N/A</v>
      </c>
      <c r="F97" s="79" t="e">
        <f>IF(VLOOKUP(A97,Ergebnis_je_Aktie_verwässert!A$3:AJ$103,9,FALSE)&gt;0,IF(VLOOKUP(A97,Schlußkurse!A$5:AU$105,38,FALSE)&gt;0,VLOOKUP(A97,Schlußkurse!A$5:AU$105,38,FALSE)/VLOOKUP(A97,Ergebnis_je_Aktie_verwässert!A$3:AJ$103,9,FALSE),""),"")</f>
        <v>#N/A</v>
      </c>
      <c r="G97" s="79" t="e">
        <f>IF(VLOOKUP(A97,Ergebnis_je_Aktie_verwässert!A$3:AJ$103,10,FALSE)&gt;0,IF(VLOOKUP(A97,Schlußkurse!A$5:AU$105,39,FALSE)&gt;0,VLOOKUP(A97,Schlußkurse!A$5:AU$105,39,FALSE)/VLOOKUP(A97,Ergebnis_je_Aktie_verwässert!A$3:AJ$103,10,FALSE),""),"")</f>
        <v>#N/A</v>
      </c>
      <c r="H97" s="79" t="e">
        <f>IF(VLOOKUP(A97,Ergebnis_je_Aktie_verwässert!A$3:AJ$103,11,FALSE)&gt;0,IF(VLOOKUP(A97,Schlußkurse!A$5:AU$105,40,FALSE)&gt;0,VLOOKUP(A97,Schlußkurse!A$5:AU$105,40,FALSE)/VLOOKUP(A97,Ergebnis_je_Aktie_verwässert!A$3:AJ$103,11,FALSE),""),"")</f>
        <v>#N/A</v>
      </c>
      <c r="I97" s="79" t="e">
        <f>IF(VLOOKUP(A97,Ergebnis_je_Aktie_verwässert!A$3:AJ$103,12,FALSE)&gt;0,IF(VLOOKUP(A97,Schlußkurse!A$5:AU$105,41,FALSE)&gt;0,VLOOKUP(A97,Schlußkurse!A$5:AU$105,41,FALSE)/VLOOKUP(A97,Ergebnis_je_Aktie_verwässert!A$3:AJ$103,12,FALSE),""),"")</f>
        <v>#N/A</v>
      </c>
      <c r="J97" s="79" t="e">
        <f>IF(VLOOKUP(A97,Ergebnis_je_Aktie_verwässert!A$3:AJ$103,13,FALSE)&gt;0,IF(VLOOKUP(A97,Schlußkurse!A$5:AU$105,42,FALSE)&gt;0,VLOOKUP(A97,Schlußkurse!A$5:AU$105,42,FALSE)/VLOOKUP(A97,Ergebnis_je_Aktie_verwässert!A$3:AJ$103,13,FALSE),""),"")</f>
        <v>#N/A</v>
      </c>
      <c r="K97" s="79" t="e">
        <f>IF(VLOOKUP(A97,Ergebnis_je_Aktie_verwässert!A$3:AJ$103,14,FALSE)&gt;0,IF(VLOOKUP(A97,Schlußkurse!A$5:AU$105,43,FALSE)&gt;0,VLOOKUP(A97,Schlußkurse!A$5:AU$105,43,FALSE)/VLOOKUP(A97,Ergebnis_je_Aktie_verwässert!A$3:AJ$103,14,FALSE),""),"")</f>
        <v>#N/A</v>
      </c>
      <c r="L97" s="79" t="e">
        <f>IF(VLOOKUP(A97,Ergebnis_je_Aktie_verwässert!A$3:AJ$103,15,FALSE)&gt;0,IF(VLOOKUP(A97,Schlußkurse!A$5:AU$105,44,FALSE)&gt;0,VLOOKUP(A97,Schlußkurse!A$5:AU$105,44,FALSE)/VLOOKUP(A97,Ergebnis_je_Aktie_verwässert!A$3:AJ$103,15,FALSE),""),"")</f>
        <v>#N/A</v>
      </c>
      <c r="M97" s="79" t="e">
        <f>IF(VLOOKUP(A97,Ergebnis_je_Aktie_verwässert!A$3:AJ$103,16,FALSE)&gt;0,IF(VLOOKUP(A97,Schlußkurse!A$5:AU$105,45,FALSE)&gt;0,VLOOKUP(A97,Schlußkurse!A$5:AU$105,45,FALSE)/VLOOKUP(A97,Ergebnis_je_Aktie_verwässert!A$3:AJ$103,16,FALSE),""),"")</f>
        <v>#N/A</v>
      </c>
      <c r="N97" s="79" t="e">
        <f>IF(VLOOKUP(A97,Ergebnis_je_Aktie_verwässert!A$3:AJ$103,17,FALSE)&gt;0,IF(VLOOKUP(A97,Schlußkurse!A$5:AU$105,46,FALSE)&gt;0,VLOOKUP(A97,Schlußkurse!A$5:AU$105,46,FALSE)/VLOOKUP(A97,Ergebnis_je_Aktie_verwässert!A$3:AJ$103,17,FALSE),""),"")</f>
        <v>#N/A</v>
      </c>
      <c r="O97" s="80" t="e">
        <f>IF(VLOOKUP(A97,Ergebnis_je_Aktie_verwässert!A$3:AJ$103,18,FALSE)&gt;0,IF(VLOOKUP(A97,Schlußkurse!A$5:AU$105,47,FALSE)&gt;0,VLOOKUP(A97,Schlußkurse!A$5:AU$105,47,FALSE)/VLOOKUP(A97,Ergebnis_je_Aktie_verwässert!A$3:AJ$103,18,FALSE),""),"")</f>
        <v>#N/A</v>
      </c>
      <c r="P97" s="3" t="e">
        <f t="shared" si="2"/>
        <v>#N/A</v>
      </c>
      <c r="Q97" s="3" t="e">
        <f>VLOOKUP(A97,Schlußkurse!A$5:AU$105,35,FALSE)/VLOOKUP(A97,Ergebnis_je_Aktie_verwässert!A$3:AK$103,23,FALSE)</f>
        <v>#N/A</v>
      </c>
      <c r="R97" s="5" t="e">
        <f t="shared" si="3"/>
        <v>#N/A</v>
      </c>
    </row>
    <row r="98" spans="3:18" x14ac:dyDescent="0.25">
      <c r="C98" s="78" t="e">
        <f>IF(VLOOKUP(A98,Ergebnis_je_Aktie_verwässert!A$3:AJ$103,6,FALSE)&gt;0,IF(VLOOKUP(A98,Schlußkurse!A$5:AU$105,35,FALSE)&gt;0,VLOOKUP(A98,Schlußkurse!A$5:AU$105,35,FALSE)/VLOOKUP(A98,Ergebnis_je_Aktie_verwässert!A$3:AJ$103,6,FALSE),""),"")</f>
        <v>#N/A</v>
      </c>
      <c r="D98" s="79" t="e">
        <f>IF(VLOOKUP(A98,Ergebnis_je_Aktie_verwässert!A$3:AJ$103,7,FALSE)&gt;0,IF(VLOOKUP(A98,Schlußkurse!A$5:AU$105,36,FALSE)&gt;0,VLOOKUP(A98,Schlußkurse!A$5:AU$105,36,FALSE)/VLOOKUP(A98,Ergebnis_je_Aktie_verwässert!A$3:AJ$103,7,FALSE),""),"")</f>
        <v>#N/A</v>
      </c>
      <c r="E98" s="79" t="e">
        <f>IF(VLOOKUP(A98,Ergebnis_je_Aktie_verwässert!A$3:AJ$103,8,FALSE)&gt;0,IF(VLOOKUP(A98,Schlußkurse!A$5:AU$105,37,FALSE)&gt;0,VLOOKUP(A98,Schlußkurse!A$5:AU$105,37,FALSE)/VLOOKUP(A98,Ergebnis_je_Aktie_verwässert!A$3:AJ$103,8,FALSE),""),"")</f>
        <v>#N/A</v>
      </c>
      <c r="F98" s="79" t="e">
        <f>IF(VLOOKUP(A98,Ergebnis_je_Aktie_verwässert!A$3:AJ$103,9,FALSE)&gt;0,IF(VLOOKUP(A98,Schlußkurse!A$5:AU$105,38,FALSE)&gt;0,VLOOKUP(A98,Schlußkurse!A$5:AU$105,38,FALSE)/VLOOKUP(A98,Ergebnis_je_Aktie_verwässert!A$3:AJ$103,9,FALSE),""),"")</f>
        <v>#N/A</v>
      </c>
      <c r="G98" s="79" t="e">
        <f>IF(VLOOKUP(A98,Ergebnis_je_Aktie_verwässert!A$3:AJ$103,10,FALSE)&gt;0,IF(VLOOKUP(A98,Schlußkurse!A$5:AU$105,39,FALSE)&gt;0,VLOOKUP(A98,Schlußkurse!A$5:AU$105,39,FALSE)/VLOOKUP(A98,Ergebnis_je_Aktie_verwässert!A$3:AJ$103,10,FALSE),""),"")</f>
        <v>#N/A</v>
      </c>
      <c r="H98" s="79" t="e">
        <f>IF(VLOOKUP(A98,Ergebnis_je_Aktie_verwässert!A$3:AJ$103,11,FALSE)&gt;0,IF(VLOOKUP(A98,Schlußkurse!A$5:AU$105,40,FALSE)&gt;0,VLOOKUP(A98,Schlußkurse!A$5:AU$105,40,FALSE)/VLOOKUP(A98,Ergebnis_je_Aktie_verwässert!A$3:AJ$103,11,FALSE),""),"")</f>
        <v>#N/A</v>
      </c>
      <c r="I98" s="79" t="e">
        <f>IF(VLOOKUP(A98,Ergebnis_je_Aktie_verwässert!A$3:AJ$103,12,FALSE)&gt;0,IF(VLOOKUP(A98,Schlußkurse!A$5:AU$105,41,FALSE)&gt;0,VLOOKUP(A98,Schlußkurse!A$5:AU$105,41,FALSE)/VLOOKUP(A98,Ergebnis_je_Aktie_verwässert!A$3:AJ$103,12,FALSE),""),"")</f>
        <v>#N/A</v>
      </c>
      <c r="J98" s="79" t="e">
        <f>IF(VLOOKUP(A98,Ergebnis_je_Aktie_verwässert!A$3:AJ$103,13,FALSE)&gt;0,IF(VLOOKUP(A98,Schlußkurse!A$5:AU$105,42,FALSE)&gt;0,VLOOKUP(A98,Schlußkurse!A$5:AU$105,42,FALSE)/VLOOKUP(A98,Ergebnis_je_Aktie_verwässert!A$3:AJ$103,13,FALSE),""),"")</f>
        <v>#N/A</v>
      </c>
      <c r="K98" s="79" t="e">
        <f>IF(VLOOKUP(A98,Ergebnis_je_Aktie_verwässert!A$3:AJ$103,14,FALSE)&gt;0,IF(VLOOKUP(A98,Schlußkurse!A$5:AU$105,43,FALSE)&gt;0,VLOOKUP(A98,Schlußkurse!A$5:AU$105,43,FALSE)/VLOOKUP(A98,Ergebnis_je_Aktie_verwässert!A$3:AJ$103,14,FALSE),""),"")</f>
        <v>#N/A</v>
      </c>
      <c r="L98" s="79" t="e">
        <f>IF(VLOOKUP(A98,Ergebnis_je_Aktie_verwässert!A$3:AJ$103,15,FALSE)&gt;0,IF(VLOOKUP(A98,Schlußkurse!A$5:AU$105,44,FALSE)&gt;0,VLOOKUP(A98,Schlußkurse!A$5:AU$105,44,FALSE)/VLOOKUP(A98,Ergebnis_je_Aktie_verwässert!A$3:AJ$103,15,FALSE),""),"")</f>
        <v>#N/A</v>
      </c>
      <c r="M98" s="79" t="e">
        <f>IF(VLOOKUP(A98,Ergebnis_je_Aktie_verwässert!A$3:AJ$103,16,FALSE)&gt;0,IF(VLOOKUP(A98,Schlußkurse!A$5:AU$105,45,FALSE)&gt;0,VLOOKUP(A98,Schlußkurse!A$5:AU$105,45,FALSE)/VLOOKUP(A98,Ergebnis_je_Aktie_verwässert!A$3:AJ$103,16,FALSE),""),"")</f>
        <v>#N/A</v>
      </c>
      <c r="N98" s="79" t="e">
        <f>IF(VLOOKUP(A98,Ergebnis_je_Aktie_verwässert!A$3:AJ$103,17,FALSE)&gt;0,IF(VLOOKUP(A98,Schlußkurse!A$5:AU$105,46,FALSE)&gt;0,VLOOKUP(A98,Schlußkurse!A$5:AU$105,46,FALSE)/VLOOKUP(A98,Ergebnis_je_Aktie_verwässert!A$3:AJ$103,17,FALSE),""),"")</f>
        <v>#N/A</v>
      </c>
      <c r="O98" s="80" t="e">
        <f>IF(VLOOKUP(A98,Ergebnis_je_Aktie_verwässert!A$3:AJ$103,18,FALSE)&gt;0,IF(VLOOKUP(A98,Schlußkurse!A$5:AU$105,47,FALSE)&gt;0,VLOOKUP(A98,Schlußkurse!A$5:AU$105,47,FALSE)/VLOOKUP(A98,Ergebnis_je_Aktie_verwässert!A$3:AJ$103,18,FALSE),""),"")</f>
        <v>#N/A</v>
      </c>
      <c r="P98" s="3" t="e">
        <f t="shared" si="2"/>
        <v>#N/A</v>
      </c>
      <c r="Q98" s="3" t="e">
        <f>VLOOKUP(A98,Schlußkurse!A$5:AU$105,35,FALSE)/VLOOKUP(A98,Ergebnis_je_Aktie_verwässert!A$3:AK$103,23,FALSE)</f>
        <v>#N/A</v>
      </c>
      <c r="R98" s="5" t="e">
        <f t="shared" si="3"/>
        <v>#N/A</v>
      </c>
    </row>
    <row r="99" spans="3:18" x14ac:dyDescent="0.25">
      <c r="C99" s="78" t="e">
        <f>IF(VLOOKUP(A99,Ergebnis_je_Aktie_verwässert!A$3:AJ$103,6,FALSE)&gt;0,IF(VLOOKUP(A99,Schlußkurse!A$5:AU$105,35,FALSE)&gt;0,VLOOKUP(A99,Schlußkurse!A$5:AU$105,35,FALSE)/VLOOKUP(A99,Ergebnis_je_Aktie_verwässert!A$3:AJ$103,6,FALSE),""),"")</f>
        <v>#N/A</v>
      </c>
      <c r="D99" s="79" t="e">
        <f>IF(VLOOKUP(A99,Ergebnis_je_Aktie_verwässert!A$3:AJ$103,7,FALSE)&gt;0,IF(VLOOKUP(A99,Schlußkurse!A$5:AU$105,36,FALSE)&gt;0,VLOOKUP(A99,Schlußkurse!A$5:AU$105,36,FALSE)/VLOOKUP(A99,Ergebnis_je_Aktie_verwässert!A$3:AJ$103,7,FALSE),""),"")</f>
        <v>#N/A</v>
      </c>
      <c r="E99" s="79" t="e">
        <f>IF(VLOOKUP(A99,Ergebnis_je_Aktie_verwässert!A$3:AJ$103,8,FALSE)&gt;0,IF(VLOOKUP(A99,Schlußkurse!A$5:AU$105,37,FALSE)&gt;0,VLOOKUP(A99,Schlußkurse!A$5:AU$105,37,FALSE)/VLOOKUP(A99,Ergebnis_je_Aktie_verwässert!A$3:AJ$103,8,FALSE),""),"")</f>
        <v>#N/A</v>
      </c>
      <c r="F99" s="79" t="e">
        <f>IF(VLOOKUP(A99,Ergebnis_je_Aktie_verwässert!A$3:AJ$103,9,FALSE)&gt;0,IF(VLOOKUP(A99,Schlußkurse!A$5:AU$105,38,FALSE)&gt;0,VLOOKUP(A99,Schlußkurse!A$5:AU$105,38,FALSE)/VLOOKUP(A99,Ergebnis_je_Aktie_verwässert!A$3:AJ$103,9,FALSE),""),"")</f>
        <v>#N/A</v>
      </c>
      <c r="G99" s="79" t="e">
        <f>IF(VLOOKUP(A99,Ergebnis_je_Aktie_verwässert!A$3:AJ$103,10,FALSE)&gt;0,IF(VLOOKUP(A99,Schlußkurse!A$5:AU$105,39,FALSE)&gt;0,VLOOKUP(A99,Schlußkurse!A$5:AU$105,39,FALSE)/VLOOKUP(A99,Ergebnis_je_Aktie_verwässert!A$3:AJ$103,10,FALSE),""),"")</f>
        <v>#N/A</v>
      </c>
      <c r="H99" s="79" t="e">
        <f>IF(VLOOKUP(A99,Ergebnis_je_Aktie_verwässert!A$3:AJ$103,11,FALSE)&gt;0,IF(VLOOKUP(A99,Schlußkurse!A$5:AU$105,40,FALSE)&gt;0,VLOOKUP(A99,Schlußkurse!A$5:AU$105,40,FALSE)/VLOOKUP(A99,Ergebnis_je_Aktie_verwässert!A$3:AJ$103,11,FALSE),""),"")</f>
        <v>#N/A</v>
      </c>
      <c r="I99" s="79" t="e">
        <f>IF(VLOOKUP(A99,Ergebnis_je_Aktie_verwässert!A$3:AJ$103,12,FALSE)&gt;0,IF(VLOOKUP(A99,Schlußkurse!A$5:AU$105,41,FALSE)&gt;0,VLOOKUP(A99,Schlußkurse!A$5:AU$105,41,FALSE)/VLOOKUP(A99,Ergebnis_je_Aktie_verwässert!A$3:AJ$103,12,FALSE),""),"")</f>
        <v>#N/A</v>
      </c>
      <c r="J99" s="79" t="e">
        <f>IF(VLOOKUP(A99,Ergebnis_je_Aktie_verwässert!A$3:AJ$103,13,FALSE)&gt;0,IF(VLOOKUP(A99,Schlußkurse!A$5:AU$105,42,FALSE)&gt;0,VLOOKUP(A99,Schlußkurse!A$5:AU$105,42,FALSE)/VLOOKUP(A99,Ergebnis_je_Aktie_verwässert!A$3:AJ$103,13,FALSE),""),"")</f>
        <v>#N/A</v>
      </c>
      <c r="K99" s="79" t="e">
        <f>IF(VLOOKUP(A99,Ergebnis_je_Aktie_verwässert!A$3:AJ$103,14,FALSE)&gt;0,IF(VLOOKUP(A99,Schlußkurse!A$5:AU$105,43,FALSE)&gt;0,VLOOKUP(A99,Schlußkurse!A$5:AU$105,43,FALSE)/VLOOKUP(A99,Ergebnis_je_Aktie_verwässert!A$3:AJ$103,14,FALSE),""),"")</f>
        <v>#N/A</v>
      </c>
      <c r="L99" s="79" t="e">
        <f>IF(VLOOKUP(A99,Ergebnis_je_Aktie_verwässert!A$3:AJ$103,15,FALSE)&gt;0,IF(VLOOKUP(A99,Schlußkurse!A$5:AU$105,44,FALSE)&gt;0,VLOOKUP(A99,Schlußkurse!A$5:AU$105,44,FALSE)/VLOOKUP(A99,Ergebnis_je_Aktie_verwässert!A$3:AJ$103,15,FALSE),""),"")</f>
        <v>#N/A</v>
      </c>
      <c r="M99" s="79" t="e">
        <f>IF(VLOOKUP(A99,Ergebnis_je_Aktie_verwässert!A$3:AJ$103,16,FALSE)&gt;0,IF(VLOOKUP(A99,Schlußkurse!A$5:AU$105,45,FALSE)&gt;0,VLOOKUP(A99,Schlußkurse!A$5:AU$105,45,FALSE)/VLOOKUP(A99,Ergebnis_je_Aktie_verwässert!A$3:AJ$103,16,FALSE),""),"")</f>
        <v>#N/A</v>
      </c>
      <c r="N99" s="79" t="e">
        <f>IF(VLOOKUP(A99,Ergebnis_je_Aktie_verwässert!A$3:AJ$103,17,FALSE)&gt;0,IF(VLOOKUP(A99,Schlußkurse!A$5:AU$105,46,FALSE)&gt;0,VLOOKUP(A99,Schlußkurse!A$5:AU$105,46,FALSE)/VLOOKUP(A99,Ergebnis_je_Aktie_verwässert!A$3:AJ$103,17,FALSE),""),"")</f>
        <v>#N/A</v>
      </c>
      <c r="O99" s="80" t="e">
        <f>IF(VLOOKUP(A99,Ergebnis_je_Aktie_verwässert!A$3:AJ$103,18,FALSE)&gt;0,IF(VLOOKUP(A99,Schlußkurse!A$5:AU$105,47,FALSE)&gt;0,VLOOKUP(A99,Schlußkurse!A$5:AU$105,47,FALSE)/VLOOKUP(A99,Ergebnis_je_Aktie_verwässert!A$3:AJ$103,18,FALSE),""),"")</f>
        <v>#N/A</v>
      </c>
      <c r="P99" s="3" t="e">
        <f t="shared" si="2"/>
        <v>#N/A</v>
      </c>
      <c r="Q99" s="3" t="e">
        <f>VLOOKUP(A99,Schlußkurse!A$5:AU$105,35,FALSE)/VLOOKUP(A99,Ergebnis_je_Aktie_verwässert!A$3:AK$103,23,FALSE)</f>
        <v>#N/A</v>
      </c>
      <c r="R99" s="5" t="e">
        <f t="shared" si="3"/>
        <v>#N/A</v>
      </c>
    </row>
    <row r="100" spans="3:18" x14ac:dyDescent="0.25">
      <c r="C100" s="78" t="e">
        <f>IF(VLOOKUP(A100,Ergebnis_je_Aktie_verwässert!A$3:AJ$103,6,FALSE)&gt;0,IF(VLOOKUP(A100,Schlußkurse!A$5:AU$105,35,FALSE)&gt;0,VLOOKUP(A100,Schlußkurse!A$5:AU$105,35,FALSE)/VLOOKUP(A100,Ergebnis_je_Aktie_verwässert!A$3:AJ$103,6,FALSE),""),"")</f>
        <v>#N/A</v>
      </c>
      <c r="D100" s="79" t="e">
        <f>IF(VLOOKUP(A100,Ergebnis_je_Aktie_verwässert!A$3:AJ$103,7,FALSE)&gt;0,IF(VLOOKUP(A100,Schlußkurse!A$5:AU$105,36,FALSE)&gt;0,VLOOKUP(A100,Schlußkurse!A$5:AU$105,36,FALSE)/VLOOKUP(A100,Ergebnis_je_Aktie_verwässert!A$3:AJ$103,7,FALSE),""),"")</f>
        <v>#N/A</v>
      </c>
      <c r="E100" s="79" t="e">
        <f>IF(VLOOKUP(A100,Ergebnis_je_Aktie_verwässert!A$3:AJ$103,8,FALSE)&gt;0,IF(VLOOKUP(A100,Schlußkurse!A$5:AU$105,37,FALSE)&gt;0,VLOOKUP(A100,Schlußkurse!A$5:AU$105,37,FALSE)/VLOOKUP(A100,Ergebnis_je_Aktie_verwässert!A$3:AJ$103,8,FALSE),""),"")</f>
        <v>#N/A</v>
      </c>
      <c r="F100" s="79" t="e">
        <f>IF(VLOOKUP(A100,Ergebnis_je_Aktie_verwässert!A$3:AJ$103,9,FALSE)&gt;0,IF(VLOOKUP(A100,Schlußkurse!A$5:AU$105,38,FALSE)&gt;0,VLOOKUP(A100,Schlußkurse!A$5:AU$105,38,FALSE)/VLOOKUP(A100,Ergebnis_je_Aktie_verwässert!A$3:AJ$103,9,FALSE),""),"")</f>
        <v>#N/A</v>
      </c>
      <c r="G100" s="79" t="e">
        <f>IF(VLOOKUP(A100,Ergebnis_je_Aktie_verwässert!A$3:AJ$103,10,FALSE)&gt;0,IF(VLOOKUP(A100,Schlußkurse!A$5:AU$105,39,FALSE)&gt;0,VLOOKUP(A100,Schlußkurse!A$5:AU$105,39,FALSE)/VLOOKUP(A100,Ergebnis_je_Aktie_verwässert!A$3:AJ$103,10,FALSE),""),"")</f>
        <v>#N/A</v>
      </c>
      <c r="H100" s="79" t="e">
        <f>IF(VLOOKUP(A100,Ergebnis_je_Aktie_verwässert!A$3:AJ$103,11,FALSE)&gt;0,IF(VLOOKUP(A100,Schlußkurse!A$5:AU$105,40,FALSE)&gt;0,VLOOKUP(A100,Schlußkurse!A$5:AU$105,40,FALSE)/VLOOKUP(A100,Ergebnis_je_Aktie_verwässert!A$3:AJ$103,11,FALSE),""),"")</f>
        <v>#N/A</v>
      </c>
      <c r="I100" s="79" t="e">
        <f>IF(VLOOKUP(A100,Ergebnis_je_Aktie_verwässert!A$3:AJ$103,12,FALSE)&gt;0,IF(VLOOKUP(A100,Schlußkurse!A$5:AU$105,41,FALSE)&gt;0,VLOOKUP(A100,Schlußkurse!A$5:AU$105,41,FALSE)/VLOOKUP(A100,Ergebnis_je_Aktie_verwässert!A$3:AJ$103,12,FALSE),""),"")</f>
        <v>#N/A</v>
      </c>
      <c r="J100" s="79" t="e">
        <f>IF(VLOOKUP(A100,Ergebnis_je_Aktie_verwässert!A$3:AJ$103,13,FALSE)&gt;0,IF(VLOOKUP(A100,Schlußkurse!A$5:AU$105,42,FALSE)&gt;0,VLOOKUP(A100,Schlußkurse!A$5:AU$105,42,FALSE)/VLOOKUP(A100,Ergebnis_je_Aktie_verwässert!A$3:AJ$103,13,FALSE),""),"")</f>
        <v>#N/A</v>
      </c>
      <c r="K100" s="79" t="e">
        <f>IF(VLOOKUP(A100,Ergebnis_je_Aktie_verwässert!A$3:AJ$103,14,FALSE)&gt;0,IF(VLOOKUP(A100,Schlußkurse!A$5:AU$105,43,FALSE)&gt;0,VLOOKUP(A100,Schlußkurse!A$5:AU$105,43,FALSE)/VLOOKUP(A100,Ergebnis_je_Aktie_verwässert!A$3:AJ$103,14,FALSE),""),"")</f>
        <v>#N/A</v>
      </c>
      <c r="L100" s="79" t="e">
        <f>IF(VLOOKUP(A100,Ergebnis_je_Aktie_verwässert!A$3:AJ$103,15,FALSE)&gt;0,IF(VLOOKUP(A100,Schlußkurse!A$5:AU$105,44,FALSE)&gt;0,VLOOKUP(A100,Schlußkurse!A$5:AU$105,44,FALSE)/VLOOKUP(A100,Ergebnis_je_Aktie_verwässert!A$3:AJ$103,15,FALSE),""),"")</f>
        <v>#N/A</v>
      </c>
      <c r="M100" s="79" t="e">
        <f>IF(VLOOKUP(A100,Ergebnis_je_Aktie_verwässert!A$3:AJ$103,16,FALSE)&gt;0,IF(VLOOKUP(A100,Schlußkurse!A$5:AU$105,45,FALSE)&gt;0,VLOOKUP(A100,Schlußkurse!A$5:AU$105,45,FALSE)/VLOOKUP(A100,Ergebnis_je_Aktie_verwässert!A$3:AJ$103,16,FALSE),""),"")</f>
        <v>#N/A</v>
      </c>
      <c r="N100" s="79" t="e">
        <f>IF(VLOOKUP(A100,Ergebnis_je_Aktie_verwässert!A$3:AJ$103,17,FALSE)&gt;0,IF(VLOOKUP(A100,Schlußkurse!A$5:AU$105,46,FALSE)&gt;0,VLOOKUP(A100,Schlußkurse!A$5:AU$105,46,FALSE)/VLOOKUP(A100,Ergebnis_je_Aktie_verwässert!A$3:AJ$103,17,FALSE),""),"")</f>
        <v>#N/A</v>
      </c>
      <c r="O100" s="80" t="e">
        <f>IF(VLOOKUP(A100,Ergebnis_je_Aktie_verwässert!A$3:AJ$103,18,FALSE)&gt;0,IF(VLOOKUP(A100,Schlußkurse!A$5:AU$105,47,FALSE)&gt;0,VLOOKUP(A100,Schlußkurse!A$5:AU$105,47,FALSE)/VLOOKUP(A100,Ergebnis_je_Aktie_verwässert!A$3:AJ$103,18,FALSE),""),"")</f>
        <v>#N/A</v>
      </c>
      <c r="P100" s="3" t="e">
        <f t="shared" si="2"/>
        <v>#N/A</v>
      </c>
      <c r="Q100" s="3" t="e">
        <f>VLOOKUP(A100,Schlußkurse!A$5:AU$105,35,FALSE)/VLOOKUP(A100,Ergebnis_je_Aktie_verwässert!A$3:AK$103,23,FALSE)</f>
        <v>#N/A</v>
      </c>
      <c r="R100" s="5" t="e">
        <f t="shared" si="3"/>
        <v>#N/A</v>
      </c>
    </row>
    <row r="101" spans="3:18" x14ac:dyDescent="0.25">
      <c r="C101" s="78" t="e">
        <f>IF(VLOOKUP(A101,Ergebnis_je_Aktie_verwässert!A$3:AJ$103,6,FALSE)&gt;0,IF(VLOOKUP(A101,Schlußkurse!A$5:AU$105,35,FALSE)&gt;0,VLOOKUP(A101,Schlußkurse!A$5:AU$105,35,FALSE)/VLOOKUP(A101,Ergebnis_je_Aktie_verwässert!A$3:AJ$103,6,FALSE),""),"")</f>
        <v>#N/A</v>
      </c>
      <c r="D101" s="79" t="e">
        <f>IF(VLOOKUP(A101,Ergebnis_je_Aktie_verwässert!A$3:AJ$103,7,FALSE)&gt;0,IF(VLOOKUP(A101,Schlußkurse!A$5:AU$105,36,FALSE)&gt;0,VLOOKUP(A101,Schlußkurse!A$5:AU$105,36,FALSE)/VLOOKUP(A101,Ergebnis_je_Aktie_verwässert!A$3:AJ$103,7,FALSE),""),"")</f>
        <v>#N/A</v>
      </c>
      <c r="E101" s="79" t="e">
        <f>IF(VLOOKUP(A101,Ergebnis_je_Aktie_verwässert!A$3:AJ$103,8,FALSE)&gt;0,IF(VLOOKUP(A101,Schlußkurse!A$5:AU$105,37,FALSE)&gt;0,VLOOKUP(A101,Schlußkurse!A$5:AU$105,37,FALSE)/VLOOKUP(A101,Ergebnis_je_Aktie_verwässert!A$3:AJ$103,8,FALSE),""),"")</f>
        <v>#N/A</v>
      </c>
      <c r="F101" s="79" t="e">
        <f>IF(VLOOKUP(A101,Ergebnis_je_Aktie_verwässert!A$3:AJ$103,9,FALSE)&gt;0,IF(VLOOKUP(A101,Schlußkurse!A$5:AU$105,38,FALSE)&gt;0,VLOOKUP(A101,Schlußkurse!A$5:AU$105,38,FALSE)/VLOOKUP(A101,Ergebnis_je_Aktie_verwässert!A$3:AJ$103,9,FALSE),""),"")</f>
        <v>#N/A</v>
      </c>
      <c r="G101" s="79" t="e">
        <f>IF(VLOOKUP(A101,Ergebnis_je_Aktie_verwässert!A$3:AJ$103,10,FALSE)&gt;0,IF(VLOOKUP(A101,Schlußkurse!A$5:AU$105,39,FALSE)&gt;0,VLOOKUP(A101,Schlußkurse!A$5:AU$105,39,FALSE)/VLOOKUP(A101,Ergebnis_je_Aktie_verwässert!A$3:AJ$103,10,FALSE),""),"")</f>
        <v>#N/A</v>
      </c>
      <c r="H101" s="79" t="e">
        <f>IF(VLOOKUP(A101,Ergebnis_je_Aktie_verwässert!A$3:AJ$103,11,FALSE)&gt;0,IF(VLOOKUP(A101,Schlußkurse!A$5:AU$105,40,FALSE)&gt;0,VLOOKUP(A101,Schlußkurse!A$5:AU$105,40,FALSE)/VLOOKUP(A101,Ergebnis_je_Aktie_verwässert!A$3:AJ$103,11,FALSE),""),"")</f>
        <v>#N/A</v>
      </c>
      <c r="I101" s="79" t="e">
        <f>IF(VLOOKUP(A101,Ergebnis_je_Aktie_verwässert!A$3:AJ$103,12,FALSE)&gt;0,IF(VLOOKUP(A101,Schlußkurse!A$5:AU$105,41,FALSE)&gt;0,VLOOKUP(A101,Schlußkurse!A$5:AU$105,41,FALSE)/VLOOKUP(A101,Ergebnis_je_Aktie_verwässert!A$3:AJ$103,12,FALSE),""),"")</f>
        <v>#N/A</v>
      </c>
      <c r="J101" s="79" t="e">
        <f>IF(VLOOKUP(A101,Ergebnis_je_Aktie_verwässert!A$3:AJ$103,13,FALSE)&gt;0,IF(VLOOKUP(A101,Schlußkurse!A$5:AU$105,42,FALSE)&gt;0,VLOOKUP(A101,Schlußkurse!A$5:AU$105,42,FALSE)/VLOOKUP(A101,Ergebnis_je_Aktie_verwässert!A$3:AJ$103,13,FALSE),""),"")</f>
        <v>#N/A</v>
      </c>
      <c r="K101" s="79" t="e">
        <f>IF(VLOOKUP(A101,Ergebnis_je_Aktie_verwässert!A$3:AJ$103,14,FALSE)&gt;0,IF(VLOOKUP(A101,Schlußkurse!A$5:AU$105,43,FALSE)&gt;0,VLOOKUP(A101,Schlußkurse!A$5:AU$105,43,FALSE)/VLOOKUP(A101,Ergebnis_je_Aktie_verwässert!A$3:AJ$103,14,FALSE),""),"")</f>
        <v>#N/A</v>
      </c>
      <c r="L101" s="79" t="e">
        <f>IF(VLOOKUP(A101,Ergebnis_je_Aktie_verwässert!A$3:AJ$103,15,FALSE)&gt;0,IF(VLOOKUP(A101,Schlußkurse!A$5:AU$105,44,FALSE)&gt;0,VLOOKUP(A101,Schlußkurse!A$5:AU$105,44,FALSE)/VLOOKUP(A101,Ergebnis_je_Aktie_verwässert!A$3:AJ$103,15,FALSE),""),"")</f>
        <v>#N/A</v>
      </c>
      <c r="M101" s="79" t="e">
        <f>IF(VLOOKUP(A101,Ergebnis_je_Aktie_verwässert!A$3:AJ$103,16,FALSE)&gt;0,IF(VLOOKUP(A101,Schlußkurse!A$5:AU$105,45,FALSE)&gt;0,VLOOKUP(A101,Schlußkurse!A$5:AU$105,45,FALSE)/VLOOKUP(A101,Ergebnis_je_Aktie_verwässert!A$3:AJ$103,16,FALSE),""),"")</f>
        <v>#N/A</v>
      </c>
      <c r="N101" s="79" t="e">
        <f>IF(VLOOKUP(A101,Ergebnis_je_Aktie_verwässert!A$3:AJ$103,17,FALSE)&gt;0,IF(VLOOKUP(A101,Schlußkurse!A$5:AU$105,46,FALSE)&gt;0,VLOOKUP(A101,Schlußkurse!A$5:AU$105,46,FALSE)/VLOOKUP(A101,Ergebnis_je_Aktie_verwässert!A$3:AJ$103,17,FALSE),""),"")</f>
        <v>#N/A</v>
      </c>
      <c r="O101" s="80" t="e">
        <f>IF(VLOOKUP(A101,Ergebnis_je_Aktie_verwässert!A$3:AJ$103,18,FALSE)&gt;0,IF(VLOOKUP(A101,Schlußkurse!A$5:AU$105,47,FALSE)&gt;0,VLOOKUP(A101,Schlußkurse!A$5:AU$105,47,FALSE)/VLOOKUP(A101,Ergebnis_je_Aktie_verwässert!A$3:AJ$103,18,FALSE),""),"")</f>
        <v>#N/A</v>
      </c>
      <c r="P101" s="3" t="e">
        <f t="shared" si="2"/>
        <v>#N/A</v>
      </c>
      <c r="Q101" s="3" t="e">
        <f>VLOOKUP(A101,Schlußkurse!A$5:AU$105,35,FALSE)/VLOOKUP(A101,Ergebnis_je_Aktie_verwässert!A$3:AK$103,23,FALSE)</f>
        <v>#N/A</v>
      </c>
      <c r="R101" s="5" t="e">
        <f t="shared" si="3"/>
        <v>#N/A</v>
      </c>
    </row>
    <row r="102" spans="3:18" x14ac:dyDescent="0.25">
      <c r="C102" s="78" t="e">
        <f>IF(VLOOKUP(A102,Ergebnis_je_Aktie_verwässert!A$3:AJ$103,6,FALSE)&gt;0,IF(VLOOKUP(A102,Schlußkurse!A$5:AU$105,35,FALSE)&gt;0,VLOOKUP(A102,Schlußkurse!A$5:AU$105,35,FALSE)/VLOOKUP(A102,Ergebnis_je_Aktie_verwässert!A$3:AJ$103,6,FALSE),""),"")</f>
        <v>#N/A</v>
      </c>
      <c r="D102" s="79" t="e">
        <f>IF(VLOOKUP(A102,Ergebnis_je_Aktie_verwässert!A$3:AJ$103,7,FALSE)&gt;0,IF(VLOOKUP(A102,Schlußkurse!A$5:AU$105,36,FALSE)&gt;0,VLOOKUP(A102,Schlußkurse!A$5:AU$105,36,FALSE)/VLOOKUP(A102,Ergebnis_je_Aktie_verwässert!A$3:AJ$103,7,FALSE),""),"")</f>
        <v>#N/A</v>
      </c>
      <c r="E102" s="79" t="e">
        <f>IF(VLOOKUP(A102,Ergebnis_je_Aktie_verwässert!A$3:AJ$103,8,FALSE)&gt;0,IF(VLOOKUP(A102,Schlußkurse!A$5:AU$105,37,FALSE)&gt;0,VLOOKUP(A102,Schlußkurse!A$5:AU$105,37,FALSE)/VLOOKUP(A102,Ergebnis_je_Aktie_verwässert!A$3:AJ$103,8,FALSE),""),"")</f>
        <v>#N/A</v>
      </c>
      <c r="F102" s="79" t="e">
        <f>IF(VLOOKUP(A102,Ergebnis_je_Aktie_verwässert!A$3:AJ$103,9,FALSE)&gt;0,IF(VLOOKUP(A102,Schlußkurse!A$5:AU$105,38,FALSE)&gt;0,VLOOKUP(A102,Schlußkurse!A$5:AU$105,38,FALSE)/VLOOKUP(A102,Ergebnis_je_Aktie_verwässert!A$3:AJ$103,9,FALSE),""),"")</f>
        <v>#N/A</v>
      </c>
      <c r="G102" s="79" t="e">
        <f>IF(VLOOKUP(A102,Ergebnis_je_Aktie_verwässert!A$3:AJ$103,10,FALSE)&gt;0,IF(VLOOKUP(A102,Schlußkurse!A$5:AU$105,39,FALSE)&gt;0,VLOOKUP(A102,Schlußkurse!A$5:AU$105,39,FALSE)/VLOOKUP(A102,Ergebnis_je_Aktie_verwässert!A$3:AJ$103,10,FALSE),""),"")</f>
        <v>#N/A</v>
      </c>
      <c r="H102" s="79" t="e">
        <f>IF(VLOOKUP(A102,Ergebnis_je_Aktie_verwässert!A$3:AJ$103,11,FALSE)&gt;0,IF(VLOOKUP(A102,Schlußkurse!A$5:AU$105,40,FALSE)&gt;0,VLOOKUP(A102,Schlußkurse!A$5:AU$105,40,FALSE)/VLOOKUP(A102,Ergebnis_je_Aktie_verwässert!A$3:AJ$103,11,FALSE),""),"")</f>
        <v>#N/A</v>
      </c>
      <c r="I102" s="79" t="e">
        <f>IF(VLOOKUP(A102,Ergebnis_je_Aktie_verwässert!A$3:AJ$103,12,FALSE)&gt;0,IF(VLOOKUP(A102,Schlußkurse!A$5:AU$105,41,FALSE)&gt;0,VLOOKUP(A102,Schlußkurse!A$5:AU$105,41,FALSE)/VLOOKUP(A102,Ergebnis_je_Aktie_verwässert!A$3:AJ$103,12,FALSE),""),"")</f>
        <v>#N/A</v>
      </c>
      <c r="J102" s="79" t="e">
        <f>IF(VLOOKUP(A102,Ergebnis_je_Aktie_verwässert!A$3:AJ$103,13,FALSE)&gt;0,IF(VLOOKUP(A102,Schlußkurse!A$5:AU$105,42,FALSE)&gt;0,VLOOKUP(A102,Schlußkurse!A$5:AU$105,42,FALSE)/VLOOKUP(A102,Ergebnis_je_Aktie_verwässert!A$3:AJ$103,13,FALSE),""),"")</f>
        <v>#N/A</v>
      </c>
      <c r="K102" s="79" t="e">
        <f>IF(VLOOKUP(A102,Ergebnis_je_Aktie_verwässert!A$3:AJ$103,14,FALSE)&gt;0,IF(VLOOKUP(A102,Schlußkurse!A$5:AU$105,43,FALSE)&gt;0,VLOOKUP(A102,Schlußkurse!A$5:AU$105,43,FALSE)/VLOOKUP(A102,Ergebnis_je_Aktie_verwässert!A$3:AJ$103,14,FALSE),""),"")</f>
        <v>#N/A</v>
      </c>
      <c r="L102" s="79" t="e">
        <f>IF(VLOOKUP(A102,Ergebnis_je_Aktie_verwässert!A$3:AJ$103,15,FALSE)&gt;0,IF(VLOOKUP(A102,Schlußkurse!A$5:AU$105,44,FALSE)&gt;0,VLOOKUP(A102,Schlußkurse!A$5:AU$105,44,FALSE)/VLOOKUP(A102,Ergebnis_je_Aktie_verwässert!A$3:AJ$103,15,FALSE),""),"")</f>
        <v>#N/A</v>
      </c>
      <c r="M102" s="79" t="e">
        <f>IF(VLOOKUP(A102,Ergebnis_je_Aktie_verwässert!A$3:AJ$103,16,FALSE)&gt;0,IF(VLOOKUP(A102,Schlußkurse!A$5:AU$105,45,FALSE)&gt;0,VLOOKUP(A102,Schlußkurse!A$5:AU$105,45,FALSE)/VLOOKUP(A102,Ergebnis_je_Aktie_verwässert!A$3:AJ$103,16,FALSE),""),"")</f>
        <v>#N/A</v>
      </c>
      <c r="N102" s="79" t="e">
        <f>IF(VLOOKUP(A102,Ergebnis_je_Aktie_verwässert!A$3:AJ$103,17,FALSE)&gt;0,IF(VLOOKUP(A102,Schlußkurse!A$5:AU$105,46,FALSE)&gt;0,VLOOKUP(A102,Schlußkurse!A$5:AU$105,46,FALSE)/VLOOKUP(A102,Ergebnis_je_Aktie_verwässert!A$3:AJ$103,17,FALSE),""),"")</f>
        <v>#N/A</v>
      </c>
      <c r="O102" s="80" t="e">
        <f>IF(VLOOKUP(A102,Ergebnis_je_Aktie_verwässert!A$3:AJ$103,18,FALSE)&gt;0,IF(VLOOKUP(A102,Schlußkurse!A$5:AU$105,47,FALSE)&gt;0,VLOOKUP(A102,Schlußkurse!A$5:AU$105,47,FALSE)/VLOOKUP(A102,Ergebnis_je_Aktie_verwässert!A$3:AJ$103,18,FALSE),""),"")</f>
        <v>#N/A</v>
      </c>
      <c r="P102" s="3" t="e">
        <f t="shared" si="2"/>
        <v>#N/A</v>
      </c>
      <c r="Q102" s="3" t="e">
        <f>VLOOKUP(A102,Schlußkurse!A$5:AU$105,35,FALSE)/VLOOKUP(A102,Ergebnis_je_Aktie_verwässert!A$3:AK$103,23,FALSE)</f>
        <v>#N/A</v>
      </c>
      <c r="R102" s="5" t="e">
        <f t="shared" si="3"/>
        <v>#N/A</v>
      </c>
    </row>
    <row r="103" spans="3:18" x14ac:dyDescent="0.25">
      <c r="C103" s="78" t="e">
        <f>IF(VLOOKUP(A103,Ergebnis_je_Aktie_verwässert!A$3:AJ$103,6,FALSE)&gt;0,IF(VLOOKUP(A103,Schlußkurse!A$5:AU$105,35,FALSE)&gt;0,VLOOKUP(A103,Schlußkurse!A$5:AU$105,35,FALSE)/VLOOKUP(A103,Ergebnis_je_Aktie_verwässert!A$3:AJ$103,6,FALSE),""),"")</f>
        <v>#N/A</v>
      </c>
      <c r="D103" s="79" t="e">
        <f>IF(VLOOKUP(A103,Ergebnis_je_Aktie_verwässert!A$3:AJ$103,7,FALSE)&gt;0,IF(VLOOKUP(A103,Schlußkurse!A$5:AU$105,36,FALSE)&gt;0,VLOOKUP(A103,Schlußkurse!A$5:AU$105,36,FALSE)/VLOOKUP(A103,Ergebnis_je_Aktie_verwässert!A$3:AJ$103,7,FALSE),""),"")</f>
        <v>#N/A</v>
      </c>
      <c r="E103" s="79" t="e">
        <f>IF(VLOOKUP(A103,Ergebnis_je_Aktie_verwässert!A$3:AJ$103,8,FALSE)&gt;0,IF(VLOOKUP(A103,Schlußkurse!A$5:AU$105,37,FALSE)&gt;0,VLOOKUP(A103,Schlußkurse!A$5:AU$105,37,FALSE)/VLOOKUP(A103,Ergebnis_je_Aktie_verwässert!A$3:AJ$103,8,FALSE),""),"")</f>
        <v>#N/A</v>
      </c>
      <c r="F103" s="79" t="e">
        <f>IF(VLOOKUP(A103,Ergebnis_je_Aktie_verwässert!A$3:AJ$103,9,FALSE)&gt;0,IF(VLOOKUP(A103,Schlußkurse!A$5:AU$105,38,FALSE)&gt;0,VLOOKUP(A103,Schlußkurse!A$5:AU$105,38,FALSE)/VLOOKUP(A103,Ergebnis_je_Aktie_verwässert!A$3:AJ$103,9,FALSE),""),"")</f>
        <v>#N/A</v>
      </c>
      <c r="G103" s="79" t="e">
        <f>IF(VLOOKUP(A103,Ergebnis_je_Aktie_verwässert!A$3:AJ$103,10,FALSE)&gt;0,IF(VLOOKUP(A103,Schlußkurse!A$5:AU$105,39,FALSE)&gt;0,VLOOKUP(A103,Schlußkurse!A$5:AU$105,39,FALSE)/VLOOKUP(A103,Ergebnis_je_Aktie_verwässert!A$3:AJ$103,10,FALSE),""),"")</f>
        <v>#N/A</v>
      </c>
      <c r="H103" s="79" t="e">
        <f>IF(VLOOKUP(A103,Ergebnis_je_Aktie_verwässert!A$3:AJ$103,11,FALSE)&gt;0,IF(VLOOKUP(A103,Schlußkurse!A$5:AU$105,40,FALSE)&gt;0,VLOOKUP(A103,Schlußkurse!A$5:AU$105,40,FALSE)/VLOOKUP(A103,Ergebnis_je_Aktie_verwässert!A$3:AJ$103,11,FALSE),""),"")</f>
        <v>#N/A</v>
      </c>
      <c r="I103" s="79" t="e">
        <f>IF(VLOOKUP(A103,Ergebnis_je_Aktie_verwässert!A$3:AJ$103,12,FALSE)&gt;0,IF(VLOOKUP(A103,Schlußkurse!A$5:AU$105,41,FALSE)&gt;0,VLOOKUP(A103,Schlußkurse!A$5:AU$105,41,FALSE)/VLOOKUP(A103,Ergebnis_je_Aktie_verwässert!A$3:AJ$103,12,FALSE),""),"")</f>
        <v>#N/A</v>
      </c>
      <c r="J103" s="79" t="e">
        <f>IF(VLOOKUP(A103,Ergebnis_je_Aktie_verwässert!A$3:AJ$103,13,FALSE)&gt;0,IF(VLOOKUP(A103,Schlußkurse!A$5:AU$105,42,FALSE)&gt;0,VLOOKUP(A103,Schlußkurse!A$5:AU$105,42,FALSE)/VLOOKUP(A103,Ergebnis_je_Aktie_verwässert!A$3:AJ$103,13,FALSE),""),"")</f>
        <v>#N/A</v>
      </c>
      <c r="K103" s="79" t="e">
        <f>IF(VLOOKUP(A103,Ergebnis_je_Aktie_verwässert!A$3:AJ$103,14,FALSE)&gt;0,IF(VLOOKUP(A103,Schlußkurse!A$5:AU$105,43,FALSE)&gt;0,VLOOKUP(A103,Schlußkurse!A$5:AU$105,43,FALSE)/VLOOKUP(A103,Ergebnis_je_Aktie_verwässert!A$3:AJ$103,14,FALSE),""),"")</f>
        <v>#N/A</v>
      </c>
      <c r="L103" s="79" t="e">
        <f>IF(VLOOKUP(A103,Ergebnis_je_Aktie_verwässert!A$3:AJ$103,15,FALSE)&gt;0,IF(VLOOKUP(A103,Schlußkurse!A$5:AU$105,44,FALSE)&gt;0,VLOOKUP(A103,Schlußkurse!A$5:AU$105,44,FALSE)/VLOOKUP(A103,Ergebnis_je_Aktie_verwässert!A$3:AJ$103,15,FALSE),""),"")</f>
        <v>#N/A</v>
      </c>
      <c r="M103" s="79" t="e">
        <f>IF(VLOOKUP(A103,Ergebnis_je_Aktie_verwässert!A$3:AJ$103,16,FALSE)&gt;0,IF(VLOOKUP(A103,Schlußkurse!A$5:AU$105,45,FALSE)&gt;0,VLOOKUP(A103,Schlußkurse!A$5:AU$105,45,FALSE)/VLOOKUP(A103,Ergebnis_je_Aktie_verwässert!A$3:AJ$103,16,FALSE),""),"")</f>
        <v>#N/A</v>
      </c>
      <c r="N103" s="79" t="e">
        <f>IF(VLOOKUP(A103,Ergebnis_je_Aktie_verwässert!A$3:AJ$103,17,FALSE)&gt;0,IF(VLOOKUP(A103,Schlußkurse!A$5:AU$105,46,FALSE)&gt;0,VLOOKUP(A103,Schlußkurse!A$5:AU$105,46,FALSE)/VLOOKUP(A103,Ergebnis_je_Aktie_verwässert!A$3:AJ$103,17,FALSE),""),"")</f>
        <v>#N/A</v>
      </c>
      <c r="O103" s="80" t="e">
        <f>IF(VLOOKUP(A103,Ergebnis_je_Aktie_verwässert!A$3:AJ$103,18,FALSE)&gt;0,IF(VLOOKUP(A103,Schlußkurse!A$5:AU$105,47,FALSE)&gt;0,VLOOKUP(A103,Schlußkurse!A$5:AU$105,47,FALSE)/VLOOKUP(A103,Ergebnis_je_Aktie_verwässert!A$3:AJ$103,18,FALSE),""),"")</f>
        <v>#N/A</v>
      </c>
      <c r="P103" s="3" t="e">
        <f t="shared" ref="P103" si="4">MEDIAN(C103:O103)</f>
        <v>#N/A</v>
      </c>
      <c r="Q103" s="3" t="e">
        <f>VLOOKUP(A103,Schlußkurse!A$5:AU$105,35,FALSE)/VLOOKUP(A103,Ergebnis_je_Aktie_verwässert!A$3:AK$103,23,FALSE)</f>
        <v>#N/A</v>
      </c>
      <c r="R103" s="5" t="e">
        <f t="shared" ref="R103" si="5">(Q103/P103)-1</f>
        <v>#N/A</v>
      </c>
    </row>
  </sheetData>
  <autoFilter ref="A3:R3">
    <sortState ref="A4:R68">
      <sortCondition ref="B3"/>
    </sortState>
  </autoFilter>
  <pageMargins left="0.7" right="0.7" top="0.78740157499999996" bottom="0.78740157499999996" header="0.3" footer="0.3"/>
  <pageSetup paperSize="9" orientation="portrait" r:id="rId1"/>
  <ignoredErrors>
    <ignoredError sqref="D54:O54"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3"/>
  <sheetViews>
    <sheetView zoomScale="60" zoomScaleNormal="60" workbookViewId="0">
      <pane ySplit="3" topLeftCell="A4" activePane="bottomLeft" state="frozenSplit"/>
      <selection pane="bottomLeft"/>
    </sheetView>
  </sheetViews>
  <sheetFormatPr baseColWidth="10" defaultRowHeight="15" x14ac:dyDescent="0.25"/>
  <cols>
    <col min="1" max="1" width="28" customWidth="1"/>
    <col min="2" max="2" width="20.85546875" customWidth="1"/>
    <col min="3" max="3" width="15.140625" customWidth="1"/>
    <col min="4" max="4" width="14.7109375" bestFit="1" customWidth="1"/>
    <col min="5" max="5" width="15.140625" customWidth="1"/>
    <col min="6" max="6" width="14.42578125" customWidth="1"/>
    <col min="7" max="14" width="14.85546875" customWidth="1"/>
    <col min="15" max="15" width="15.85546875" customWidth="1"/>
    <col min="16" max="16" width="14.7109375" bestFit="1" customWidth="1"/>
    <col min="17" max="17" width="18" customWidth="1"/>
    <col min="18" max="18" width="30.140625" bestFit="1" customWidth="1"/>
  </cols>
  <sheetData>
    <row r="1" spans="1:18" x14ac:dyDescent="0.25">
      <c r="A1" s="1"/>
      <c r="B1" s="1"/>
      <c r="C1" s="74"/>
      <c r="D1" s="75"/>
      <c r="E1" s="75"/>
      <c r="F1" s="75"/>
      <c r="G1" s="75"/>
      <c r="H1" s="75"/>
      <c r="I1" s="75"/>
      <c r="J1" s="75"/>
      <c r="K1" s="75"/>
      <c r="L1" s="75"/>
      <c r="M1" s="75"/>
      <c r="N1" s="75"/>
      <c r="O1" s="76"/>
      <c r="P1" s="1"/>
      <c r="Q1" s="1"/>
      <c r="R1" s="1"/>
    </row>
    <row r="2" spans="1:18" x14ac:dyDescent="0.25">
      <c r="A2" s="1"/>
      <c r="B2" s="1"/>
      <c r="C2" s="57">
        <v>2017</v>
      </c>
      <c r="D2" s="37">
        <v>2016</v>
      </c>
      <c r="E2" s="37">
        <v>2015</v>
      </c>
      <c r="F2" s="37">
        <v>2014</v>
      </c>
      <c r="G2" s="37">
        <v>2013</v>
      </c>
      <c r="H2" s="37">
        <v>2012</v>
      </c>
      <c r="I2" s="37">
        <v>2011</v>
      </c>
      <c r="J2" s="37">
        <v>2010</v>
      </c>
      <c r="K2" s="37">
        <v>2009</v>
      </c>
      <c r="L2" s="37">
        <v>2008</v>
      </c>
      <c r="M2" s="37">
        <v>2007</v>
      </c>
      <c r="N2" s="37">
        <v>2006</v>
      </c>
      <c r="O2" s="58">
        <v>2005</v>
      </c>
      <c r="P2" s="1"/>
      <c r="Q2" s="1"/>
      <c r="R2" s="1"/>
    </row>
    <row r="3" spans="1:18" x14ac:dyDescent="0.25">
      <c r="A3" s="1" t="s">
        <v>0</v>
      </c>
      <c r="B3" s="1" t="s">
        <v>1</v>
      </c>
      <c r="C3" s="57" t="s">
        <v>168</v>
      </c>
      <c r="D3" s="37" t="s">
        <v>111</v>
      </c>
      <c r="E3" s="37" t="s">
        <v>112</v>
      </c>
      <c r="F3" s="37" t="s">
        <v>101</v>
      </c>
      <c r="G3" s="37" t="s">
        <v>102</v>
      </c>
      <c r="H3" s="37" t="s">
        <v>103</v>
      </c>
      <c r="I3" s="37" t="s">
        <v>104</v>
      </c>
      <c r="J3" s="37" t="s">
        <v>105</v>
      </c>
      <c r="K3" s="37" t="s">
        <v>106</v>
      </c>
      <c r="L3" s="37" t="s">
        <v>107</v>
      </c>
      <c r="M3" s="37" t="s">
        <v>108</v>
      </c>
      <c r="N3" s="37" t="s">
        <v>109</v>
      </c>
      <c r="O3" s="58" t="s">
        <v>110</v>
      </c>
      <c r="P3" s="1" t="s">
        <v>113</v>
      </c>
      <c r="Q3" s="1" t="s">
        <v>157</v>
      </c>
      <c r="R3" s="1" t="s">
        <v>115</v>
      </c>
    </row>
    <row r="4" spans="1:18" x14ac:dyDescent="0.25">
      <c r="A4" t="s">
        <v>80</v>
      </c>
      <c r="B4" t="s">
        <v>164</v>
      </c>
      <c r="C4" s="78">
        <f>IF(VLOOKUP(A4,Buchwert_je_Aktie!A$3:AJ$103,6,FALSE)&lt;&gt;"",IF(VLOOKUP(A4,Schlußkurse!A$5:AU$105,35,FALSE)&gt;0,VLOOKUP(A4,Schlußkurse!A$5:AU$105,35,FALSE) /VLOOKUP(A4,Buchwert_je_Aktie!A$3:AJ$103,6,FALSE),""),"")</f>
        <v>2.8908389224137929</v>
      </c>
      <c r="D4" s="79">
        <f>IF(VLOOKUP(A4,Buchwert_je_Aktie!A$3:AJ$103,7,FALSE)&lt;&gt;"",IF(VLOOKUP(A4,Schlußkurse!A$5:AU$105,36,FALSE)&gt;0,VLOOKUP(A4,Schlußkurse!A$5:AU$105,36,FALSE)/VLOOKUP(A4,Buchwert_je_Aktie!A$3:AJ$103,7,FALSE),""),"")</f>
        <v>3.1339935981308411</v>
      </c>
      <c r="E4" s="79">
        <f>IF(VLOOKUP(A4,Buchwert_je_Aktie!A$3:AJ$103,8,FALSE)&lt;&gt;"",IF(VLOOKUP(A4,Schlußkurse!A$5:AU$105,37,FALSE)&gt;0,VLOOKUP(A4,Schlußkurse!A$5:AU$105,37,FALSE)/VLOOKUP(A4,Buchwert_je_Aktie!A$3:AJ$103,8,FALSE),""),"")</f>
        <v>3.1879603960396037</v>
      </c>
      <c r="F4" s="79">
        <f>IF(VLOOKUP(A4,Buchwert_je_Aktie!A$3:AJ$103,9,FALSE)&lt;&gt;"",IF(VLOOKUP(A4,Schlußkurse!A$5:AU$105,38,FALSE)&gt;0,VLOOKUP(A4,Schlußkurse!A$5:AU$105,38,FALSE)/VLOOKUP(A4,Buchwert_je_Aktie!A$3:AJ$103,9,FALSE),""),"")</f>
        <v>4.1131119818519277</v>
      </c>
      <c r="G4" s="79">
        <f>IF(VLOOKUP(A4,Buchwert_je_Aktie!A$3:AJ$103,10,FALSE)&lt;&gt;"",IF(VLOOKUP(A4,Schlußkurse!A$5:AU$105,39,FALSE)&gt;0,VLOOKUP(A4,Schlußkurse!A$5:AU$105,39,FALSE)/VLOOKUP(A4,Buchwert_je_Aktie!A$3:AJ$103,10,FALSE),""),"")</f>
        <v>3.8708480278422277</v>
      </c>
      <c r="H4" s="79">
        <f>IF(VLOOKUP(A4,Buchwert_je_Aktie!A$3:AJ$103,11,FALSE)&lt;&gt;"",IF(VLOOKUP(A4,Schlußkurse!A$5:AU$105,40,FALSE)&gt;0,VLOOKUP(A4,Schlußkurse!A$5:AU$105,40,FALSE)/VLOOKUP(A4,Buchwert_je_Aktie!A$3:AJ$103,11,FALSE),""),"")</f>
        <v>3.0728336130927403</v>
      </c>
      <c r="I4" s="79">
        <f>IF(VLOOKUP(A4,Buchwert_je_Aktie!A$3:AJ$103,12,FALSE)&lt;&gt;"",IF(VLOOKUP(A4,Schlußkurse!A$5:AU$105,41,FALSE)&gt;0,VLOOKUP(A4,Schlußkurse!A$5:AU$105,41,FALSE)/VLOOKUP(A4,Buchwert_je_Aktie!A$3:AJ$103,12,FALSE),""),"")</f>
        <v>3.5646255479785678</v>
      </c>
      <c r="J4" s="79">
        <f>IF(VLOOKUP(A4,Buchwert_je_Aktie!A$3:AJ$103,13,FALSE)&lt;&gt;"",IF(VLOOKUP(A4,Schlußkurse!A$5:AU$105,42,FALSE)&gt;0,VLOOKUP(A4,Schlußkurse!A$5:AU$105,42,FALSE)/VLOOKUP(A4,Buchwert_je_Aktie!A$3:AJ$103,13,FALSE),""),"")</f>
        <v>3.477734754586018</v>
      </c>
      <c r="K4" s="79">
        <f>IF(VLOOKUP(A4,Buchwert_je_Aktie!A$3:AJ$103,14,FALSE)&lt;&gt;"",IF(VLOOKUP(A4,Schlußkurse!A$5:AU$105,43,FALSE)&gt;0,VLOOKUP(A4,Schlußkurse!A$5:AU$105,43,FALSE)/VLOOKUP(A4,Buchwert_je_Aktie!A$3:AJ$103,14,FALSE),""),"")</f>
        <v>2.4778561398860779</v>
      </c>
      <c r="L4" s="79">
        <f>IF(VLOOKUP(A4,Buchwert_je_Aktie!A$3:AJ$103,15,FALSE)&lt;&gt;"",IF(VLOOKUP(A4,Schlußkurse!A$5:AU$105,44,FALSE)&gt;0,VLOOKUP(A4,Schlußkurse!A$5:AU$105,44,FALSE)/VLOOKUP(A4,Buchwert_je_Aktie!A$3:AJ$103,15,FALSE),""),"")</f>
        <v>4.1920874505928856</v>
      </c>
      <c r="M4" s="79">
        <f>IF(VLOOKUP(A4,Buchwert_je_Aktie!A$3:AJ$103,16,FALSE)&lt;&gt;"",IF(VLOOKUP(A4,Schlußkurse!A$5:AU$105,45,FALSE)&gt;0,VLOOKUP(A4,Schlußkurse!A$5:AU$105,45,FALSE)/VLOOKUP(A4,Buchwert_je_Aktie!A$3:AJ$103,16,FALSE),""),"")</f>
        <v>3.1143737864077665</v>
      </c>
      <c r="N4" s="79">
        <f>IF(VLOOKUP(A4,Buchwert_je_Aktie!A$3:AJ$103,17,FALSE)&lt;&gt;"",IF(VLOOKUP(A4,Schlußkurse!A$5:AU$105,46,FALSE)&gt;0,VLOOKUP(A4,Schlußkurse!A$5:AU$105,46,FALSE)/VLOOKUP(A4,Buchwert_je_Aktie!A$3:AJ$103,17,FALSE),""),"")</f>
        <v>2.2838381057268724</v>
      </c>
      <c r="O4" s="80">
        <f>IF(VLOOKUP(A4,Buchwert_je_Aktie!A$3:AJ$103,18,FALSE)&lt;&gt;"",IF(VLOOKUP(A4,Schlußkurse!A$5:AU$105,47,FALSE)&gt;0,VLOOKUP(A4,Schlußkurse!A$5:AU$105,47,FALSE)/VLOOKUP(A4,Buchwert_je_Aktie!A$3:AJ$103,18,FALSE),""),"")</f>
        <v>2.0862859393461992</v>
      </c>
      <c r="P4" s="3">
        <f>MEDIAN(C4:O4)</f>
        <v>3.1339935981308411</v>
      </c>
      <c r="Q4" s="3">
        <f ca="1">VLOOKUP(A4,Schlußkurse!A$5:AU$105,35,FALSE)/VLOOKUP(A4,Buchwert_je_Aktie!A$3:AK$103,23,FALSE)</f>
        <v>3.2546488029763831</v>
      </c>
      <c r="R4" s="5">
        <f ca="1">IF(Q4&lt;0,IF(P4&lt;0,((Q4/P4)-1)*-1,(Q4/P4)-1),IF(P4&lt;0,ABS((Q4/P4)-1),(Q4/P4)-1))</f>
        <v>3.849886768036237E-2</v>
      </c>
    </row>
    <row r="5" spans="1:18" x14ac:dyDescent="0.25">
      <c r="A5" t="s">
        <v>2</v>
      </c>
      <c r="B5" t="s">
        <v>3</v>
      </c>
      <c r="C5" s="78">
        <f>IF(VLOOKUP(A5,Buchwert_je_Aktie!A$3:AJ$103,6,FALSE)&lt;&gt;"",IF(VLOOKUP(A5,Schlußkurse!A$5:AU$105,35,FALSE)&gt;0,VLOOKUP(A5,Schlußkurse!A$5:AU$105,35,FALSE) /VLOOKUP(A5,Buchwert_je_Aktie!A$3:AJ$103,6,FALSE),""),"")</f>
        <v>3.1451157492354738</v>
      </c>
      <c r="D5" s="79">
        <f>IF(VLOOKUP(A5,Buchwert_je_Aktie!A$3:AJ$103,7,FALSE)&lt;&gt;"",IF(VLOOKUP(A5,Schlußkurse!A$5:AU$105,36,FALSE)&gt;0,VLOOKUP(A5,Schlußkurse!A$5:AU$105,36,FALSE)/VLOOKUP(A5,Buchwert_je_Aktie!A$3:AJ$103,7,FALSE),""),"")</f>
        <v>3.1742371913580247</v>
      </c>
      <c r="E5" s="79">
        <f>IF(VLOOKUP(A5,Buchwert_je_Aktie!A$3:AJ$103,8,FALSE)&lt;&gt;"",IF(VLOOKUP(A5,Schlußkurse!A$5:AU$105,37,FALSE)&gt;0,VLOOKUP(A5,Schlußkurse!A$5:AU$105,37,FALSE)/VLOOKUP(A5,Buchwert_je_Aktie!A$3:AJ$103,8,FALSE),""),"")</f>
        <v>2.9687722044728431</v>
      </c>
      <c r="F5" s="79">
        <f>IF(VLOOKUP(A5,Buchwert_je_Aktie!A$3:AJ$103,9,FALSE)&lt;&gt;"",IF(VLOOKUP(A5,Schlußkurse!A$5:AU$105,38,FALSE)&gt;0,VLOOKUP(A5,Schlußkurse!A$5:AU$105,38,FALSE)/VLOOKUP(A5,Buchwert_je_Aktie!A$3:AJ$103,9,FALSE),""),"")</f>
        <v>2.7104271186440676</v>
      </c>
      <c r="G5" s="79">
        <f>IF(VLOOKUP(A5,Buchwert_je_Aktie!A$3:AJ$103,10,FALSE)&lt;&gt;"",IF(VLOOKUP(A5,Schlußkurse!A$5:AU$105,39,FALSE)&gt;0,VLOOKUP(A5,Schlußkurse!A$5:AU$105,39,FALSE)/VLOOKUP(A5,Buchwert_je_Aktie!A$3:AJ$103,10,FALSE),""),"")</f>
        <v>2.0478750000000003</v>
      </c>
      <c r="H5" s="79">
        <f>IF(VLOOKUP(A5,Buchwert_je_Aktie!A$3:AJ$103,11,FALSE)&lt;&gt;"",IF(VLOOKUP(A5,Schlußkurse!A$5:AU$105,40,FALSE)&gt;0,VLOOKUP(A5,Schlußkurse!A$5:AU$105,40,FALSE)/VLOOKUP(A5,Buchwert_je_Aktie!A$3:AJ$103,11,FALSE),""),"")</f>
        <v>2.2403396004700351</v>
      </c>
      <c r="I5" s="79">
        <f>IF(VLOOKUP(A5,Buchwert_je_Aktie!A$3:AJ$103,12,FALSE)&lt;&gt;"",IF(VLOOKUP(A5,Schlußkurse!A$5:AU$105,41,FALSE)&gt;0,VLOOKUP(A5,Schlußkurse!A$5:AU$105,41,FALSE)/VLOOKUP(A5,Buchwert_je_Aktie!A$3:AJ$103,12,FALSE),""),"")</f>
        <v>2.4525848623853213</v>
      </c>
      <c r="J5" s="79">
        <f>IF(VLOOKUP(A5,Buchwert_je_Aktie!A$3:AJ$103,13,FALSE)&lt;&gt;"",IF(VLOOKUP(A5,Schlußkurse!A$5:AU$105,42,FALSE)&gt;0,VLOOKUP(A5,Schlußkurse!A$5:AU$105,42,FALSE)/VLOOKUP(A5,Buchwert_je_Aktie!A$3:AJ$103,13,FALSE),""),"")</f>
        <v>2.2760350584307179</v>
      </c>
      <c r="K5" s="79">
        <f>IF(VLOOKUP(A5,Buchwert_je_Aktie!A$3:AJ$103,14,FALSE)&lt;&gt;"",IF(VLOOKUP(A5,Schlußkurse!A$5:AU$105,43,FALSE)&gt;0,VLOOKUP(A5,Schlußkurse!A$5:AU$105,43,FALSE)/VLOOKUP(A5,Buchwert_je_Aktie!A$3:AJ$103,14,FALSE),""),"")</f>
        <v>2.2605781249999999</v>
      </c>
      <c r="L5" s="79">
        <f>IF(VLOOKUP(A5,Buchwert_je_Aktie!A$3:AJ$103,15,FALSE)&lt;&gt;"",IF(VLOOKUP(A5,Schlußkurse!A$5:AU$105,44,FALSE)&gt;0,VLOOKUP(A5,Schlußkurse!A$5:AU$105,44,FALSE)/VLOOKUP(A5,Buchwert_je_Aktie!A$3:AJ$103,15,FALSE),""),"")</f>
        <v>2.8806955835962147</v>
      </c>
      <c r="M5" s="79">
        <f>IF(VLOOKUP(A5,Buchwert_je_Aktie!A$3:AJ$103,16,FALSE)&lt;&gt;"",IF(VLOOKUP(A5,Schlußkurse!A$5:AU$105,45,FALSE)&gt;0,VLOOKUP(A5,Schlußkurse!A$5:AU$105,45,FALSE)/VLOOKUP(A5,Buchwert_je_Aktie!A$3:AJ$103,16,FALSE),""),"")</f>
        <v>3.1959077050997786</v>
      </c>
      <c r="N5" s="79">
        <f>IF(VLOOKUP(A5,Buchwert_je_Aktie!A$3:AJ$103,17,FALSE)&lt;&gt;"",IF(VLOOKUP(A5,Schlußkurse!A$5:AU$105,46,FALSE)&gt;0,VLOOKUP(A5,Schlußkurse!A$5:AU$105,46,FALSE)/VLOOKUP(A5,Buchwert_je_Aktie!A$3:AJ$103,17,FALSE),""),"")</f>
        <v>3.4891799468791498</v>
      </c>
      <c r="O5" s="80">
        <f>IF(VLOOKUP(A5,Buchwert_je_Aktie!A$3:AJ$103,18,FALSE)&lt;&gt;"",IF(VLOOKUP(A5,Schlußkurse!A$5:AU$105,47,FALSE)&gt;0,VLOOKUP(A5,Schlußkurse!A$5:AU$105,47,FALSE)/VLOOKUP(A5,Buchwert_je_Aktie!A$3:AJ$103,18,FALSE),""),"")</f>
        <v>4.173762458471761</v>
      </c>
      <c r="P5" s="3">
        <f t="shared" ref="P5:P68" si="0">MEDIAN(C5:O5)</f>
        <v>2.8806955835962147</v>
      </c>
      <c r="Q5" s="3">
        <f ca="1">VLOOKUP(A5,Schlußkurse!A$5:AU$105,35,FALSE)/VLOOKUP(A5,Buchwert_je_Aktie!A$3:AK$103,23,FALSE)</f>
        <v>3.247119205065689</v>
      </c>
      <c r="R5" s="5">
        <f t="shared" ref="R5:R68" ca="1" si="1">IF(Q5&lt;0,IF(P5&lt;0,((Q5/P5)-1)*-1,(Q5/P5)-1),IF(P5&lt;0,ABS((Q5/P5)-1),(Q5/P5)-1))</f>
        <v>0.12719970258434476</v>
      </c>
    </row>
    <row r="6" spans="1:18" x14ac:dyDescent="0.25">
      <c r="A6" t="s">
        <v>4</v>
      </c>
      <c r="B6" t="s">
        <v>5</v>
      </c>
      <c r="C6" s="78">
        <f>IF(VLOOKUP(A6,Buchwert_je_Aktie!A$3:AJ$103,6,FALSE)&lt;&gt;"",IF(VLOOKUP(A6,Schlußkurse!A$5:AU$105,35,FALSE)&gt;0,VLOOKUP(A6,Schlußkurse!A$5:AU$105,35,FALSE) /VLOOKUP(A6,Buchwert_je_Aktie!A$3:AJ$103,6,FALSE),""),"")</f>
        <v>5.951219512195121</v>
      </c>
      <c r="D6" s="79">
        <f>IF(VLOOKUP(A6,Buchwert_je_Aktie!A$3:AJ$103,7,FALSE)&lt;&gt;"",IF(VLOOKUP(A6,Schlußkurse!A$5:AU$105,36,FALSE)&gt;0,VLOOKUP(A6,Schlußkurse!A$5:AU$105,36,FALSE)/VLOOKUP(A6,Buchwert_je_Aktie!A$3:AJ$103,7,FALSE),""),"")</f>
        <v>7.0446194225721772</v>
      </c>
      <c r="E6" s="79">
        <f>IF(VLOOKUP(A6,Buchwert_je_Aktie!A$3:AJ$103,8,FALSE)&lt;&gt;"",IF(VLOOKUP(A6,Schlußkurse!A$5:AU$105,37,FALSE)&gt;0,VLOOKUP(A6,Schlußkurse!A$5:AU$105,37,FALSE)/VLOOKUP(A6,Buchwert_je_Aktie!A$3:AJ$103,8,FALSE),""),"")</f>
        <v>8.6506410256410255</v>
      </c>
      <c r="F6" s="79">
        <f>IF(VLOOKUP(A6,Buchwert_je_Aktie!A$3:AJ$103,9,FALSE)&lt;&gt;"",IF(VLOOKUP(A6,Schlußkurse!A$5:AU$105,38,FALSE)&gt;0,VLOOKUP(A6,Schlußkurse!A$5:AU$105,38,FALSE)/VLOOKUP(A6,Buchwert_je_Aktie!A$3:AJ$103,9,FALSE),""),"")</f>
        <v>10.973139586085424</v>
      </c>
      <c r="G6" s="79">
        <f>IF(VLOOKUP(A6,Buchwert_je_Aktie!A$3:AJ$103,10,FALSE)&lt;&gt;"",IF(VLOOKUP(A6,Schlußkurse!A$5:AU$105,39,FALSE)&gt;0,VLOOKUP(A6,Schlußkurse!A$5:AU$105,39,FALSE)/VLOOKUP(A6,Buchwert_je_Aktie!A$3:AJ$103,10,FALSE),""),"")</f>
        <v>8.225301743406348</v>
      </c>
      <c r="H6" s="79">
        <f>IF(VLOOKUP(A6,Buchwert_je_Aktie!A$3:AJ$103,11,FALSE)&lt;&gt;"",IF(VLOOKUP(A6,Schlußkurse!A$5:AU$105,40,FALSE)&gt;0,VLOOKUP(A6,Schlußkurse!A$5:AU$105,40,FALSE)/VLOOKUP(A6,Buchwert_je_Aktie!A$3:AJ$103,11,FALSE),""),"")</f>
        <v>9.4761904761904745</v>
      </c>
      <c r="I6" s="79">
        <f>IF(VLOOKUP(A6,Buchwert_je_Aktie!A$3:AJ$103,12,FALSE)&lt;&gt;"",IF(VLOOKUP(A6,Schlußkurse!A$5:AU$105,41,FALSE)&gt;0,VLOOKUP(A6,Schlußkurse!A$5:AU$105,41,FALSE)/VLOOKUP(A6,Buchwert_je_Aktie!A$3:AJ$103,12,FALSE),""),"")</f>
        <v>9.7717546362339522</v>
      </c>
      <c r="J6" s="79">
        <f>IF(VLOOKUP(A6,Buchwert_je_Aktie!A$3:AJ$103,13,FALSE)&lt;&gt;"",IF(VLOOKUP(A6,Schlußkurse!A$5:AU$105,42,FALSE)&gt;0,VLOOKUP(A6,Schlußkurse!A$5:AU$105,42,FALSE)/VLOOKUP(A6,Buchwert_je_Aktie!A$3:AJ$103,13,FALSE),""),"")</f>
        <v>16.010928961748633</v>
      </c>
      <c r="K6" s="79">
        <f>IF(VLOOKUP(A6,Buchwert_je_Aktie!A$3:AJ$103,14,FALSE)&lt;&gt;"",IF(VLOOKUP(A6,Schlußkurse!A$5:AU$105,43,FALSE)&gt;0,VLOOKUP(A6,Schlußkurse!A$5:AU$105,43,FALSE)/VLOOKUP(A6,Buchwert_je_Aktie!A$3:AJ$103,14,FALSE),""),"")</f>
        <v>19.02810304449649</v>
      </c>
      <c r="L6" s="79" t="str">
        <f>IF(VLOOKUP(A6,Buchwert_je_Aktie!A$3:AJ$103,15,FALSE)&lt;&gt;"",IF(VLOOKUP(A6,Schlußkurse!A$5:AU$105,44,FALSE)&gt;0,VLOOKUP(A6,Schlußkurse!A$5:AU$105,44,FALSE)/VLOOKUP(A6,Buchwert_je_Aktie!A$3:AJ$103,15,FALSE),""),"")</f>
        <v/>
      </c>
      <c r="M6" s="79" t="str">
        <f>IF(VLOOKUP(A6,Buchwert_je_Aktie!A$3:AJ$103,16,FALSE)&lt;&gt;"",IF(VLOOKUP(A6,Schlußkurse!A$5:AU$105,45,FALSE)&gt;0,VLOOKUP(A6,Schlußkurse!A$5:AU$105,45,FALSE)/VLOOKUP(A6,Buchwert_je_Aktie!A$3:AJ$103,16,FALSE),""),"")</f>
        <v/>
      </c>
      <c r="N6" s="79" t="str">
        <f>IF(VLOOKUP(A6,Buchwert_je_Aktie!A$3:AJ$103,17,FALSE)&lt;&gt;"",IF(VLOOKUP(A6,Schlußkurse!A$5:AU$105,46,FALSE)&gt;0,VLOOKUP(A6,Schlußkurse!A$5:AU$105,46,FALSE)/VLOOKUP(A6,Buchwert_je_Aktie!A$3:AJ$103,17,FALSE),""),"")</f>
        <v/>
      </c>
      <c r="O6" s="80" t="str">
        <f>IF(VLOOKUP(A6,Buchwert_je_Aktie!A$3:AJ$103,18,FALSE)&lt;&gt;"",IF(VLOOKUP(A6,Schlußkurse!A$5:AU$105,47,FALSE)&gt;0,VLOOKUP(A6,Schlußkurse!A$5:AU$105,47,FALSE)/VLOOKUP(A6,Buchwert_je_Aktie!A$3:AJ$103,18,FALSE),""),"")</f>
        <v/>
      </c>
      <c r="P6" s="3">
        <f t="shared" si="0"/>
        <v>9.4761904761904745</v>
      </c>
      <c r="Q6" s="3">
        <f ca="1">VLOOKUP(A6,Schlußkurse!A$5:AU$105,35,FALSE)/VLOOKUP(A6,Buchwert_je_Aktie!A$3:AK$103,23,FALSE)</f>
        <v>8.0027828852556766</v>
      </c>
      <c r="R6" s="5">
        <f t="shared" ca="1" si="1"/>
        <v>-0.15548522316397373</v>
      </c>
    </row>
    <row r="7" spans="1:18" x14ac:dyDescent="0.25">
      <c r="A7" t="s">
        <v>6</v>
      </c>
      <c r="B7" t="s">
        <v>7</v>
      </c>
      <c r="C7" s="78">
        <f>IF(VLOOKUP(A7,Buchwert_je_Aktie!A$3:AJ$103,6,FALSE)&lt;&gt;"",IF(VLOOKUP(A7,Schlußkurse!A$5:AU$105,35,FALSE)&gt;0,VLOOKUP(A7,Schlußkurse!A$5:AU$105,35,FALSE) /VLOOKUP(A7,Buchwert_je_Aktie!A$3:AJ$103,6,FALSE),""),"")</f>
        <v>2.9047619047619051</v>
      </c>
      <c r="D7" s="79">
        <f>IF(VLOOKUP(A7,Buchwert_je_Aktie!A$3:AJ$103,7,FALSE)&lt;&gt;"",IF(VLOOKUP(A7,Schlußkurse!A$5:AU$105,36,FALSE)&gt;0,VLOOKUP(A7,Schlußkurse!A$5:AU$105,36,FALSE)/VLOOKUP(A7,Buchwert_je_Aktie!A$3:AJ$103,7,FALSE),""),"")</f>
        <v>3.0756302521008405</v>
      </c>
      <c r="E7" s="79">
        <f>IF(VLOOKUP(A7,Buchwert_je_Aktie!A$3:AJ$103,8,FALSE)&lt;&gt;"",IF(VLOOKUP(A7,Schlußkurse!A$5:AU$105,37,FALSE)&gt;0,VLOOKUP(A7,Schlußkurse!A$5:AU$105,37,FALSE)/VLOOKUP(A7,Buchwert_je_Aktie!A$3:AJ$103,8,FALSE),""),"")</f>
        <v>3.2422222222222223</v>
      </c>
      <c r="F7" s="79">
        <f>IF(VLOOKUP(A7,Buchwert_je_Aktie!A$3:AJ$103,9,FALSE)&lt;&gt;"",IF(VLOOKUP(A7,Schlußkurse!A$5:AU$105,38,FALSE)&gt;0,VLOOKUP(A7,Schlußkurse!A$5:AU$105,38,FALSE)/VLOOKUP(A7,Buchwert_je_Aktie!A$3:AJ$103,9,FALSE),""),"")</f>
        <v>3.0022988505747126</v>
      </c>
      <c r="G7" s="79">
        <f>IF(VLOOKUP(A7,Buchwert_je_Aktie!A$3:AJ$103,10,FALSE)&lt;&gt;"",IF(VLOOKUP(A7,Schlußkurse!A$5:AU$105,39,FALSE)&gt;0,VLOOKUP(A7,Schlußkurse!A$5:AU$105,39,FALSE)/VLOOKUP(A7,Buchwert_je_Aktie!A$3:AJ$103,10,FALSE),""),"")</f>
        <v>3.0721649484536084</v>
      </c>
      <c r="H7" s="79">
        <f>IF(VLOOKUP(A7,Buchwert_je_Aktie!A$3:AJ$103,11,FALSE)&lt;&gt;"",IF(VLOOKUP(A7,Schlußkurse!A$5:AU$105,40,FALSE)&gt;0,VLOOKUP(A7,Schlußkurse!A$5:AU$105,40,FALSE)/VLOOKUP(A7,Buchwert_je_Aktie!A$3:AJ$103,11,FALSE),""),"")</f>
        <v>2.8571428571428572</v>
      </c>
      <c r="I7" s="79">
        <f>IF(VLOOKUP(A7,Buchwert_je_Aktie!A$3:AJ$103,12,FALSE)&lt;&gt;"",IF(VLOOKUP(A7,Schlußkurse!A$5:AU$105,41,FALSE)&gt;0,VLOOKUP(A7,Schlußkurse!A$5:AU$105,41,FALSE)/VLOOKUP(A7,Buchwert_je_Aktie!A$3:AJ$103,12,FALSE),""),"")</f>
        <v>3.1812899477048227</v>
      </c>
      <c r="J7" s="79">
        <f>IF(VLOOKUP(A7,Buchwert_je_Aktie!A$3:AJ$103,13,FALSE)&lt;&gt;"",IF(VLOOKUP(A7,Schlußkurse!A$5:AU$105,42,FALSE)&gt;0,VLOOKUP(A7,Schlußkurse!A$5:AU$105,42,FALSE)/VLOOKUP(A7,Buchwert_je_Aktie!A$3:AJ$103,13,FALSE),""),"")</f>
        <v>2.8123249299719886</v>
      </c>
      <c r="K7" s="79" t="str">
        <f>IF(VLOOKUP(A7,Buchwert_je_Aktie!A$3:AJ$103,14,FALSE)&lt;&gt;"",IF(VLOOKUP(A7,Schlußkurse!A$5:AU$105,43,FALSE)&gt;0,VLOOKUP(A7,Schlußkurse!A$5:AU$105,43,FALSE)/VLOOKUP(A7,Buchwert_je_Aktie!A$3:AJ$103,14,FALSE),""),"")</f>
        <v/>
      </c>
      <c r="L7" s="79" t="str">
        <f>IF(VLOOKUP(A7,Buchwert_je_Aktie!A$3:AJ$103,15,FALSE)&lt;&gt;"",IF(VLOOKUP(A7,Schlußkurse!A$5:AU$105,44,FALSE)&gt;0,VLOOKUP(A7,Schlußkurse!A$5:AU$105,44,FALSE)/VLOOKUP(A7,Buchwert_je_Aktie!A$3:AJ$103,15,FALSE),""),"")</f>
        <v/>
      </c>
      <c r="M7" s="79" t="str">
        <f>IF(VLOOKUP(A7,Buchwert_je_Aktie!A$3:AJ$103,16,FALSE)&lt;&gt;"",IF(VLOOKUP(A7,Schlußkurse!A$5:AU$105,45,FALSE)&gt;0,VLOOKUP(A7,Schlußkurse!A$5:AU$105,45,FALSE)/VLOOKUP(A7,Buchwert_je_Aktie!A$3:AJ$103,16,FALSE),""),"")</f>
        <v/>
      </c>
      <c r="N7" s="79" t="str">
        <f>IF(VLOOKUP(A7,Buchwert_je_Aktie!A$3:AJ$103,17,FALSE)&lt;&gt;"",IF(VLOOKUP(A7,Schlußkurse!A$5:AU$105,46,FALSE)&gt;0,VLOOKUP(A7,Schlußkurse!A$5:AU$105,46,FALSE)/VLOOKUP(A7,Buchwert_je_Aktie!A$3:AJ$103,17,FALSE),""),"")</f>
        <v/>
      </c>
      <c r="O7" s="80" t="str">
        <f>IF(VLOOKUP(A7,Buchwert_je_Aktie!A$3:AJ$103,18,FALSE)&lt;&gt;"",IF(VLOOKUP(A7,Schlußkurse!A$5:AU$105,47,FALSE)&gt;0,VLOOKUP(A7,Schlußkurse!A$5:AU$105,47,FALSE)/VLOOKUP(A7,Buchwert_je_Aktie!A$3:AJ$103,18,FALSE),""),"")</f>
        <v/>
      </c>
      <c r="P7" s="3">
        <f t="shared" si="0"/>
        <v>3.0372318995141603</v>
      </c>
      <c r="Q7" s="3">
        <f ca="1">VLOOKUP(A7,Schlußkurse!A$5:AU$105,35,FALSE)/VLOOKUP(A7,Buchwert_je_Aktie!A$3:AK$103,23,FALSE)</f>
        <v>3.1908555929576443</v>
      </c>
      <c r="R7" s="5">
        <f t="shared" ca="1" si="1"/>
        <v>5.0580165929396959E-2</v>
      </c>
    </row>
    <row r="8" spans="1:18" x14ac:dyDescent="0.25">
      <c r="A8" t="s">
        <v>8</v>
      </c>
      <c r="B8" t="s">
        <v>9</v>
      </c>
      <c r="C8" s="78">
        <f>IF(VLOOKUP(A8,Buchwert_je_Aktie!A$3:AJ$103,6,FALSE)&lt;&gt;"",IF(VLOOKUP(A8,Schlußkurse!A$5:AU$105,35,FALSE)&gt;0,VLOOKUP(A8,Schlußkurse!A$5:AU$105,35,FALSE) /VLOOKUP(A8,Buchwert_je_Aktie!A$3:AJ$103,6,FALSE),""),"")</f>
        <v>3.5000000000000004</v>
      </c>
      <c r="D8" s="79">
        <f>IF(VLOOKUP(A8,Buchwert_je_Aktie!A$3:AJ$103,7,FALSE)&lt;&gt;"",IF(VLOOKUP(A8,Schlußkurse!A$5:AU$105,36,FALSE)&gt;0,VLOOKUP(A8,Schlußkurse!A$5:AU$105,36,FALSE)/VLOOKUP(A8,Buchwert_je_Aktie!A$3:AJ$103,7,FALSE),""),"")</f>
        <v>3.8850000000000002</v>
      </c>
      <c r="E8" s="79">
        <f>IF(VLOOKUP(A8,Buchwert_je_Aktie!A$3:AJ$103,8,FALSE)&lt;&gt;"",IF(VLOOKUP(A8,Schlußkurse!A$5:AU$105,37,FALSE)&gt;0,VLOOKUP(A8,Schlußkurse!A$5:AU$105,37,FALSE)/VLOOKUP(A8,Buchwert_je_Aktie!A$3:AJ$103,8,FALSE),""),"")</f>
        <v>3.7664804469273747</v>
      </c>
      <c r="F8" s="79">
        <f>IF(VLOOKUP(A8,Buchwert_je_Aktie!A$3:AJ$103,9,FALSE)&lt;&gt;"",IF(VLOOKUP(A8,Schlußkurse!A$5:AU$105,38,FALSE)&gt;0,VLOOKUP(A8,Schlußkurse!A$5:AU$105,38,FALSE)/VLOOKUP(A8,Buchwert_je_Aktie!A$3:AJ$103,9,FALSE),""),"")</f>
        <v>4.6025</v>
      </c>
      <c r="G8" s="79">
        <f>IF(VLOOKUP(A8,Buchwert_je_Aktie!A$3:AJ$103,10,FALSE)&lt;&gt;"",IF(VLOOKUP(A8,Schlußkurse!A$5:AU$105,39,FALSE)&gt;0,VLOOKUP(A8,Schlußkurse!A$5:AU$105,39,FALSE)/VLOOKUP(A8,Buchwert_je_Aktie!A$3:AJ$103,10,FALSE),""),"")</f>
        <v>4.5803108808290158</v>
      </c>
      <c r="H8" s="79">
        <f>IF(VLOOKUP(A8,Buchwert_je_Aktie!A$3:AJ$103,11,FALSE)&lt;&gt;"",IF(VLOOKUP(A8,Schlußkurse!A$5:AU$105,40,FALSE)&gt;0,VLOOKUP(A8,Schlußkurse!A$5:AU$105,40,FALSE)/VLOOKUP(A8,Buchwert_je_Aktie!A$3:AJ$103,11,FALSE),""),"")</f>
        <v>3.360429447852761</v>
      </c>
      <c r="I8" s="79">
        <f>IF(VLOOKUP(A8,Buchwert_je_Aktie!A$3:AJ$103,12,FALSE)&lt;&gt;"",IF(VLOOKUP(A8,Schlußkurse!A$5:AU$105,41,FALSE)&gt;0,VLOOKUP(A8,Schlußkurse!A$5:AU$105,41,FALSE)/VLOOKUP(A8,Buchwert_je_Aktie!A$3:AJ$103,12,FALSE),""),"")</f>
        <v>3.4690893901420212</v>
      </c>
      <c r="J8" s="79">
        <f>IF(VLOOKUP(A8,Buchwert_je_Aktie!A$3:AJ$103,13,FALSE)&lt;&gt;"",IF(VLOOKUP(A8,Schlußkurse!A$5:AU$105,42,FALSE)&gt;0,VLOOKUP(A8,Schlußkurse!A$5:AU$105,42,FALSE)/VLOOKUP(A8,Buchwert_je_Aktie!A$3:AJ$103,13,FALSE),""),"")</f>
        <v>3.9628990509059534</v>
      </c>
      <c r="K8" s="79">
        <f>IF(VLOOKUP(A8,Buchwert_je_Aktie!A$3:AJ$103,14,FALSE)&lt;&gt;"",IF(VLOOKUP(A8,Schlußkurse!A$5:AU$105,43,FALSE)&gt;0,VLOOKUP(A8,Schlußkurse!A$5:AU$105,43,FALSE)/VLOOKUP(A8,Buchwert_je_Aktie!A$3:AJ$103,14,FALSE),""),"")</f>
        <v>4.0152963671128106</v>
      </c>
      <c r="L8" s="79">
        <f>IF(VLOOKUP(A8,Buchwert_je_Aktie!A$3:AJ$103,15,FALSE)&lt;&gt;"",IF(VLOOKUP(A8,Schlußkurse!A$5:AU$105,44,FALSE)&gt;0,VLOOKUP(A8,Schlußkurse!A$5:AU$105,44,FALSE)/VLOOKUP(A8,Buchwert_je_Aktie!A$3:AJ$103,15,FALSE),""),"")</f>
        <v>5.4303278688524594</v>
      </c>
      <c r="M8" s="79">
        <f>IF(VLOOKUP(A8,Buchwert_je_Aktie!A$3:AJ$103,16,FALSE)&lt;&gt;"",IF(VLOOKUP(A8,Schlußkurse!A$5:AU$105,45,FALSE)&gt;0,VLOOKUP(A8,Schlußkurse!A$5:AU$105,45,FALSE)/VLOOKUP(A8,Buchwert_je_Aktie!A$3:AJ$103,16,FALSE),""),"")</f>
        <v>5.9829476248477453</v>
      </c>
      <c r="N8" s="79">
        <f>IF(VLOOKUP(A8,Buchwert_je_Aktie!A$3:AJ$103,17,FALSE)&lt;&gt;"",IF(VLOOKUP(A8,Schlußkurse!A$5:AU$105,46,FALSE)&gt;0,VLOOKUP(A8,Schlußkurse!A$5:AU$105,46,FALSE)/VLOOKUP(A8,Buchwert_je_Aktie!A$3:AJ$103,17,FALSE),""),"")</f>
        <v>4.8826338028169012</v>
      </c>
      <c r="O8" s="80">
        <f>IF(VLOOKUP(A8,Buchwert_je_Aktie!A$3:AJ$103,18,FALSE)&lt;&gt;"",IF(VLOOKUP(A8,Schlußkurse!A$5:AU$105,47,FALSE)&gt;0,VLOOKUP(A8,Schlußkurse!A$5:AU$105,47,FALSE)/VLOOKUP(A8,Buchwert_je_Aktie!A$3:AJ$103,18,FALSE),""),"")</f>
        <v>5.562046783625731</v>
      </c>
      <c r="P8" s="3">
        <f t="shared" si="0"/>
        <v>4.0152963671128106</v>
      </c>
      <c r="Q8" s="3">
        <f ca="1">VLOOKUP(A8,Schlußkurse!A$5:AU$105,35,FALSE)/VLOOKUP(A8,Buchwert_je_Aktie!A$3:AK$103,23,FALSE)</f>
        <v>4.1748007522163526</v>
      </c>
      <c r="R8" s="5">
        <f t="shared" ca="1" si="1"/>
        <v>3.9724187337691674E-2</v>
      </c>
    </row>
    <row r="9" spans="1:18" x14ac:dyDescent="0.25">
      <c r="A9" t="s">
        <v>10</v>
      </c>
      <c r="B9" t="s">
        <v>11</v>
      </c>
      <c r="C9" s="78">
        <f>IF(VLOOKUP(A9,Buchwert_je_Aktie!A$3:AJ$103,6,FALSE)&lt;&gt;"",IF(VLOOKUP(A9,Schlußkurse!A$5:AU$105,35,FALSE)&gt;0,VLOOKUP(A9,Schlußkurse!A$5:AU$105,35,FALSE) /VLOOKUP(A9,Buchwert_je_Aktie!A$3:AJ$103,6,FALSE),""),"")</f>
        <v>2.6761467889908257</v>
      </c>
      <c r="D9" s="79">
        <f>IF(VLOOKUP(A9,Buchwert_je_Aktie!A$3:AJ$103,7,FALSE)&lt;&gt;"",IF(VLOOKUP(A9,Schlußkurse!A$5:AU$105,36,FALSE)&gt;0,VLOOKUP(A9,Schlußkurse!A$5:AU$105,36,FALSE)/VLOOKUP(A9,Buchwert_je_Aktie!A$3:AJ$103,7,FALSE),""),"")</f>
        <v>2.9405241935483875</v>
      </c>
      <c r="E9" s="79">
        <f>IF(VLOOKUP(A9,Buchwert_je_Aktie!A$3:AJ$103,8,FALSE)&lt;&gt;"",IF(VLOOKUP(A9,Schlußkurse!A$5:AU$105,37,FALSE)&gt;0,VLOOKUP(A9,Schlußkurse!A$5:AU$105,37,FALSE)/VLOOKUP(A9,Buchwert_je_Aktie!A$3:AJ$103,8,FALSE),""),"")</f>
        <v>3.0421822272215975</v>
      </c>
      <c r="F9" s="79">
        <f>IF(VLOOKUP(A9,Buchwert_je_Aktie!A$3:AJ$103,9,FALSE)&lt;&gt;"",IF(VLOOKUP(A9,Schlußkurse!A$5:AU$105,38,FALSE)&gt;0,VLOOKUP(A9,Schlußkurse!A$5:AU$105,38,FALSE)/VLOOKUP(A9,Buchwert_je_Aktie!A$3:AJ$103,9,FALSE),""),"")</f>
        <v>3.4237726098191215</v>
      </c>
      <c r="G9" s="79">
        <f>IF(VLOOKUP(A9,Buchwert_je_Aktie!A$3:AJ$103,10,FALSE)&lt;&gt;"",IF(VLOOKUP(A9,Schlußkurse!A$5:AU$105,39,FALSE)&gt;0,VLOOKUP(A9,Schlußkurse!A$5:AU$105,39,FALSE)/VLOOKUP(A9,Buchwert_je_Aktie!A$3:AJ$103,10,FALSE),""),"")</f>
        <v>2.0368098159509205</v>
      </c>
      <c r="H9" s="79">
        <f>IF(VLOOKUP(A9,Buchwert_je_Aktie!A$3:AJ$103,11,FALSE)&lt;&gt;"",IF(VLOOKUP(A9,Schlußkurse!A$5:AU$105,40,FALSE)&gt;0,VLOOKUP(A9,Schlußkurse!A$5:AU$105,40,FALSE)/VLOOKUP(A9,Buchwert_je_Aktie!A$3:AJ$103,11,FALSE),""),"")</f>
        <v>1.2012133468149646</v>
      </c>
      <c r="I9" s="79">
        <f>IF(VLOOKUP(A9,Buchwert_je_Aktie!A$3:AJ$103,12,FALSE)&lt;&gt;"",IF(VLOOKUP(A9,Schlußkurse!A$5:AU$105,41,FALSE)&gt;0,VLOOKUP(A9,Schlußkurse!A$5:AU$105,41,FALSE)/VLOOKUP(A9,Buchwert_je_Aktie!A$3:AJ$103,12,FALSE),""),"")</f>
        <v>1.394072447859495</v>
      </c>
      <c r="J9" s="79">
        <f>IF(VLOOKUP(A9,Buchwert_je_Aktie!A$3:AJ$103,13,FALSE)&lt;&gt;"",IF(VLOOKUP(A9,Schlußkurse!A$5:AU$105,42,FALSE)&gt;0,VLOOKUP(A9,Schlußkurse!A$5:AU$105,42,FALSE)/VLOOKUP(A9,Buchwert_je_Aktie!A$3:AJ$103,13,FALSE),""),"")</f>
        <v>1.5517836593785961</v>
      </c>
      <c r="K9" s="79">
        <f>IF(VLOOKUP(A9,Buchwert_je_Aktie!A$3:AJ$103,14,FALSE)&lt;&gt;"",IF(VLOOKUP(A9,Schlußkurse!A$5:AU$105,43,FALSE)&gt;0,VLOOKUP(A9,Schlußkurse!A$5:AU$105,43,FALSE)/VLOOKUP(A9,Buchwert_je_Aktie!A$3:AJ$103,14,FALSE),""),"")</f>
        <v>1.7618343195266273</v>
      </c>
      <c r="L9" s="79">
        <f>IF(VLOOKUP(A9,Buchwert_je_Aktie!A$3:AJ$103,15,FALSE)&lt;&gt;"",IF(VLOOKUP(A9,Schlußkurse!A$5:AU$105,44,FALSE)&gt;0,VLOOKUP(A9,Schlußkurse!A$5:AU$105,44,FALSE)/VLOOKUP(A9,Buchwert_je_Aktie!A$3:AJ$103,15,FALSE),""),"")</f>
        <v>3.6336939721792896</v>
      </c>
      <c r="M9" s="79">
        <f>IF(VLOOKUP(A9,Buchwert_je_Aktie!A$3:AJ$103,16,FALSE)&lt;&gt;"",IF(VLOOKUP(A9,Schlußkurse!A$5:AU$105,45,FALSE)&gt;0,VLOOKUP(A9,Schlußkurse!A$5:AU$105,45,FALSE)/VLOOKUP(A9,Buchwert_je_Aktie!A$3:AJ$103,16,FALSE),""),"")</f>
        <v>2.4934497816593888</v>
      </c>
      <c r="N9" s="79">
        <f>IF(VLOOKUP(A9,Buchwert_je_Aktie!A$3:AJ$103,17,FALSE)&lt;&gt;"",IF(VLOOKUP(A9,Schlußkurse!A$5:AU$105,46,FALSE)&gt;0,VLOOKUP(A9,Schlußkurse!A$5:AU$105,46,FALSE)/VLOOKUP(A9,Buchwert_je_Aktie!A$3:AJ$103,17,FALSE),""),"")</f>
        <v>2.195069667738478</v>
      </c>
      <c r="O9" s="80">
        <f>IF(VLOOKUP(A9,Buchwert_je_Aktie!A$3:AJ$103,18,FALSE)&lt;&gt;"",IF(VLOOKUP(A9,Schlußkurse!A$5:AU$105,47,FALSE)&gt;0,VLOOKUP(A9,Schlußkurse!A$5:AU$105,47,FALSE)/VLOOKUP(A9,Buchwert_je_Aktie!A$3:AJ$103,18,FALSE),""),"")</f>
        <v>1.88195991091314</v>
      </c>
      <c r="P9" s="3">
        <f t="shared" si="0"/>
        <v>2.195069667738478</v>
      </c>
      <c r="Q9" s="3">
        <f ca="1">VLOOKUP(A9,Schlußkurse!A$5:AU$105,35,FALSE)/VLOOKUP(A9,Buchwert_je_Aktie!A$3:AK$103,23,FALSE)</f>
        <v>3.1572491175745476</v>
      </c>
      <c r="R9" s="5">
        <f t="shared" ca="1" si="1"/>
        <v>0.43833663412942037</v>
      </c>
    </row>
    <row r="10" spans="1:18" x14ac:dyDescent="0.25">
      <c r="A10" t="s">
        <v>12</v>
      </c>
      <c r="B10" t="s">
        <v>13</v>
      </c>
      <c r="C10" s="78">
        <f>IF(VLOOKUP(A10,Buchwert_je_Aktie!A$3:AJ$103,6,FALSE)&lt;&gt;"",IF(VLOOKUP(A10,Schlußkurse!A$5:AU$105,35,FALSE)&gt;0,VLOOKUP(A10,Schlußkurse!A$5:AU$105,35,FALSE) /VLOOKUP(A10,Buchwert_je_Aktie!A$3:AJ$103,6,FALSE),""),"")</f>
        <v>2.4663677130044843</v>
      </c>
      <c r="D10" s="79">
        <f>IF(VLOOKUP(A10,Buchwert_je_Aktie!A$3:AJ$103,7,FALSE)&lt;&gt;"",IF(VLOOKUP(A10,Schlußkurse!A$5:AU$105,36,FALSE)&gt;0,VLOOKUP(A10,Schlußkurse!A$5:AU$105,36,FALSE)/VLOOKUP(A10,Buchwert_je_Aktie!A$3:AJ$103,7,FALSE),""),"")</f>
        <v>2.6148969889064979</v>
      </c>
      <c r="E10" s="79">
        <f>IF(VLOOKUP(A10,Buchwert_je_Aktie!A$3:AJ$103,8,FALSE)&lt;&gt;"",IF(VLOOKUP(A10,Schlußkurse!A$5:AU$105,37,FALSE)&gt;0,VLOOKUP(A10,Schlußkurse!A$5:AU$105,37,FALSE)/VLOOKUP(A10,Buchwert_je_Aktie!A$3:AJ$103,8,FALSE),""),"")</f>
        <v>2.1233974358974357</v>
      </c>
      <c r="F10" s="79">
        <f>IF(VLOOKUP(A10,Buchwert_je_Aktie!A$3:AJ$103,9,FALSE)&lt;&gt;"",IF(VLOOKUP(A10,Schlußkurse!A$5:AU$105,38,FALSE)&gt;0,VLOOKUP(A10,Schlußkurse!A$5:AU$105,38,FALSE)/VLOOKUP(A10,Buchwert_je_Aktie!A$3:AJ$103,9,FALSE),""),"")</f>
        <v>1.6551264980026632</v>
      </c>
      <c r="G10" s="79">
        <f>IF(VLOOKUP(A10,Buchwert_je_Aktie!A$3:AJ$103,10,FALSE)&lt;&gt;"",IF(VLOOKUP(A10,Schlußkurse!A$5:AU$105,39,FALSE)&gt;0,VLOOKUP(A10,Schlußkurse!A$5:AU$105,39,FALSE)/VLOOKUP(A10,Buchwert_je_Aktie!A$3:AJ$103,10,FALSE),""),"")</f>
        <v>1.1937500000000001</v>
      </c>
      <c r="H10" s="79">
        <f>IF(VLOOKUP(A10,Buchwert_je_Aktie!A$3:AJ$103,11,FALSE)&lt;&gt;"",IF(VLOOKUP(A10,Schlußkurse!A$5:AU$105,40,FALSE)&gt;0,VLOOKUP(A10,Schlußkurse!A$5:AU$105,40,FALSE)/VLOOKUP(A10,Buchwert_je_Aktie!A$3:AJ$103,11,FALSE),""),"")</f>
        <v>1.2538896746817538</v>
      </c>
      <c r="I10" s="79">
        <f>IF(VLOOKUP(A10,Buchwert_je_Aktie!A$3:AJ$103,12,FALSE)&lt;&gt;"",IF(VLOOKUP(A10,Schlußkurse!A$5:AU$105,41,FALSE)&gt;0,VLOOKUP(A10,Schlußkurse!A$5:AU$105,41,FALSE)/VLOOKUP(A10,Buchwert_je_Aktie!A$3:AJ$103,12,FALSE),""),"")</f>
        <v>1.0449134199134198</v>
      </c>
      <c r="J10" s="79">
        <f>IF(VLOOKUP(A10,Buchwert_je_Aktie!A$3:AJ$103,13,FALSE)&lt;&gt;"",IF(VLOOKUP(A10,Schlußkurse!A$5:AU$105,42,FALSE)&gt;0,VLOOKUP(A10,Schlußkurse!A$5:AU$105,42,FALSE)/VLOOKUP(A10,Buchwert_je_Aktie!A$3:AJ$103,13,FALSE),""),"")</f>
        <v>1.0331325301204817</v>
      </c>
      <c r="K10" s="79">
        <f>IF(VLOOKUP(A10,Buchwert_je_Aktie!A$3:AJ$103,14,FALSE)&lt;&gt;"",IF(VLOOKUP(A10,Schlußkurse!A$5:AU$105,43,FALSE)&gt;0,VLOOKUP(A10,Schlußkurse!A$5:AU$105,43,FALSE)/VLOOKUP(A10,Buchwert_je_Aktie!A$3:AJ$103,14,FALSE),""),"")</f>
        <v>1.1174636174636177</v>
      </c>
      <c r="L10" s="79">
        <f>IF(VLOOKUP(A10,Buchwert_je_Aktie!A$3:AJ$103,15,FALSE)&lt;&gt;"",IF(VLOOKUP(A10,Schlußkurse!A$5:AU$105,44,FALSE)&gt;0,VLOOKUP(A10,Schlußkurse!A$5:AU$105,44,FALSE)/VLOOKUP(A10,Buchwert_je_Aktie!A$3:AJ$103,15,FALSE),""),"")</f>
        <v>1.5187057633973708</v>
      </c>
      <c r="M10" s="79">
        <f>IF(VLOOKUP(A10,Buchwert_je_Aktie!A$3:AJ$103,16,FALSE)&lt;&gt;"",IF(VLOOKUP(A10,Schlußkurse!A$5:AU$105,45,FALSE)&gt;0,VLOOKUP(A10,Schlußkurse!A$5:AU$105,45,FALSE)/VLOOKUP(A10,Buchwert_je_Aktie!A$3:AJ$103,16,FALSE),""),"")</f>
        <v>1.3346190935390549</v>
      </c>
      <c r="N10" s="79">
        <f>IF(VLOOKUP(A10,Buchwert_je_Aktie!A$3:AJ$103,17,FALSE)&lt;&gt;"",IF(VLOOKUP(A10,Schlußkurse!A$5:AU$105,46,FALSE)&gt;0,VLOOKUP(A10,Schlußkurse!A$5:AU$105,46,FALSE)/VLOOKUP(A10,Buchwert_je_Aktie!A$3:AJ$103,17,FALSE),""),"")</f>
        <v>1.2361720807726075</v>
      </c>
      <c r="O10" s="80">
        <f>IF(VLOOKUP(A10,Buchwert_je_Aktie!A$3:AJ$103,18,FALSE)&lt;&gt;"",IF(VLOOKUP(A10,Schlußkurse!A$5:AU$105,47,FALSE)&gt;0,VLOOKUP(A10,Schlußkurse!A$5:AU$105,47,FALSE)/VLOOKUP(A10,Buchwert_je_Aktie!A$3:AJ$103,18,FALSE),""),"")</f>
        <v>1.4098221845893308</v>
      </c>
      <c r="P10" s="3">
        <f t="shared" si="0"/>
        <v>1.3346190935390549</v>
      </c>
      <c r="Q10" s="3">
        <f ca="1">VLOOKUP(A10,Schlußkurse!A$5:AU$105,35,FALSE)/VLOOKUP(A10,Buchwert_je_Aktie!A$3:AK$103,23,FALSE)</f>
        <v>2.6342164314793299</v>
      </c>
      <c r="R10" s="5">
        <f t="shared" ca="1" si="1"/>
        <v>0.9737589880376194</v>
      </c>
    </row>
    <row r="11" spans="1:18" x14ac:dyDescent="0.25">
      <c r="A11" t="s">
        <v>14</v>
      </c>
      <c r="B11" t="s">
        <v>15</v>
      </c>
      <c r="C11" s="78">
        <f>IF(VLOOKUP(A11,Buchwert_je_Aktie!A$3:AJ$103,6,FALSE)&lt;&gt;"",IF(VLOOKUP(A11,Schlußkurse!A$5:AU$105,35,FALSE)&gt;0,VLOOKUP(A11,Schlußkurse!A$5:AU$105,35,FALSE) /VLOOKUP(A11,Buchwert_je_Aktie!A$3:AJ$103,6,FALSE),""),"")</f>
        <v>3.0229074889867844</v>
      </c>
      <c r="D11" s="79">
        <f>IF(VLOOKUP(A11,Buchwert_je_Aktie!A$3:AJ$103,7,FALSE)&lt;&gt;"",IF(VLOOKUP(A11,Schlußkurse!A$5:AU$105,36,FALSE)&gt;0,VLOOKUP(A11,Schlußkurse!A$5:AU$105,36,FALSE)/VLOOKUP(A11,Buchwert_je_Aktie!A$3:AJ$103,7,FALSE),""),"")</f>
        <v>3.3970297029702974</v>
      </c>
      <c r="E11" s="79">
        <f>IF(VLOOKUP(A11,Buchwert_je_Aktie!A$3:AJ$103,8,FALSE)&lt;&gt;"",IF(VLOOKUP(A11,Schlußkurse!A$5:AU$105,37,FALSE)&gt;0,VLOOKUP(A11,Schlußkurse!A$5:AU$105,37,FALSE)/VLOOKUP(A11,Buchwert_je_Aktie!A$3:AJ$103,8,FALSE),""),"")</f>
        <v>3.2366666666666664</v>
      </c>
      <c r="F11" s="79">
        <f>IF(VLOOKUP(A11,Buchwert_je_Aktie!A$3:AJ$103,9,FALSE)&lt;&gt;"",IF(VLOOKUP(A11,Schlußkurse!A$5:AU$105,38,FALSE)&gt;0,VLOOKUP(A11,Schlußkurse!A$5:AU$105,38,FALSE)/VLOOKUP(A11,Buchwert_je_Aktie!A$3:AJ$103,9,FALSE),""),"")</f>
        <v>3.9238035264483626</v>
      </c>
      <c r="G11" s="79">
        <f>IF(VLOOKUP(A11,Buchwert_je_Aktie!A$3:AJ$103,10,FALSE)&lt;&gt;"",IF(VLOOKUP(A11,Schlußkurse!A$5:AU$105,39,FALSE)&gt;0,VLOOKUP(A11,Schlußkurse!A$5:AU$105,39,FALSE)/VLOOKUP(A11,Buchwert_je_Aktie!A$3:AJ$103,10,FALSE),""),"")</f>
        <v>4.6470137825421132</v>
      </c>
      <c r="H11" s="79">
        <f>IF(VLOOKUP(A11,Buchwert_je_Aktie!A$3:AJ$103,11,FALSE)&lt;&gt;"",IF(VLOOKUP(A11,Schlußkurse!A$5:AU$105,40,FALSE)&gt;0,VLOOKUP(A11,Schlußkurse!A$5:AU$105,40,FALSE)/VLOOKUP(A11,Buchwert_je_Aktie!A$3:AJ$103,11,FALSE),""),"")</f>
        <v>3.5429314830875978</v>
      </c>
      <c r="I11" s="79">
        <f>IF(VLOOKUP(A11,Buchwert_je_Aktie!A$3:AJ$103,12,FALSE)&lt;&gt;"",IF(VLOOKUP(A11,Schlußkurse!A$5:AU$105,41,FALSE)&gt;0,VLOOKUP(A11,Schlußkurse!A$5:AU$105,41,FALSE)/VLOOKUP(A11,Buchwert_je_Aktie!A$3:AJ$103,12,FALSE),""),"")</f>
        <v>3.684719535783366</v>
      </c>
      <c r="J11" s="79">
        <f>IF(VLOOKUP(A11,Buchwert_je_Aktie!A$3:AJ$103,13,FALSE)&lt;&gt;"",IF(VLOOKUP(A11,Schlußkurse!A$5:AU$105,42,FALSE)&gt;0,VLOOKUP(A11,Schlußkurse!A$5:AU$105,42,FALSE)/VLOOKUP(A11,Buchwert_je_Aktie!A$3:AJ$103,13,FALSE),""),"")</f>
        <v>4.1301627033792236</v>
      </c>
      <c r="K11" s="79">
        <f>IF(VLOOKUP(A11,Buchwert_je_Aktie!A$3:AJ$103,14,FALSE)&lt;&gt;"",IF(VLOOKUP(A11,Schlußkurse!A$5:AU$105,43,FALSE)&gt;0,VLOOKUP(A11,Schlußkurse!A$5:AU$105,43,FALSE)/VLOOKUP(A11,Buchwert_je_Aktie!A$3:AJ$103,14,FALSE),""),"")</f>
        <v>3.6526772793053541</v>
      </c>
      <c r="L11" s="79">
        <f>IF(VLOOKUP(A11,Buchwert_je_Aktie!A$3:AJ$103,15,FALSE)&lt;&gt;"",IF(VLOOKUP(A11,Schlußkurse!A$5:AU$105,44,FALSE)&gt;0,VLOOKUP(A11,Schlußkurse!A$5:AU$105,44,FALSE)/VLOOKUP(A11,Buchwert_je_Aktie!A$3:AJ$103,15,FALSE),""),"")</f>
        <v>6.0631399317406141</v>
      </c>
      <c r="M11" s="79">
        <f>IF(VLOOKUP(A11,Buchwert_je_Aktie!A$3:AJ$103,16,FALSE)&lt;&gt;"",IF(VLOOKUP(A11,Schlußkurse!A$5:AU$105,45,FALSE)&gt;0,VLOOKUP(A11,Schlußkurse!A$5:AU$105,45,FALSE)/VLOOKUP(A11,Buchwert_je_Aktie!A$3:AJ$103,16,FALSE),""),"")</f>
        <v>7.7126436781609193</v>
      </c>
      <c r="N11" s="79">
        <f>IF(VLOOKUP(A11,Buchwert_je_Aktie!A$3:AJ$103,17,FALSE)&lt;&gt;"",IF(VLOOKUP(A11,Schlußkurse!A$5:AU$105,46,FALSE)&gt;0,VLOOKUP(A11,Schlußkurse!A$5:AU$105,46,FALSE)/VLOOKUP(A11,Buchwert_je_Aktie!A$3:AJ$103,17,FALSE),""),"")</f>
        <v>7.9111570247933889</v>
      </c>
      <c r="O11" s="80">
        <f>IF(VLOOKUP(A11,Buchwert_je_Aktie!A$3:AJ$103,18,FALSE)&lt;&gt;"",IF(VLOOKUP(A11,Schlußkurse!A$5:AU$105,47,FALSE)&gt;0,VLOOKUP(A11,Schlußkurse!A$5:AU$105,47,FALSE)/VLOOKUP(A11,Buchwert_je_Aktie!A$3:AJ$103,18,FALSE),""),"")</f>
        <v>7.1881838074398248</v>
      </c>
      <c r="P11" s="3">
        <f t="shared" si="0"/>
        <v>3.9238035264483626</v>
      </c>
      <c r="Q11" s="3">
        <f ca="1">VLOOKUP(A11,Schlußkurse!A$5:AU$105,35,FALSE)/VLOOKUP(A11,Buchwert_je_Aktie!A$3:AK$103,23,FALSE)</f>
        <v>3.660601031355581</v>
      </c>
      <c r="R11" s="5">
        <f t="shared" ca="1" si="1"/>
        <v>-6.7078408314449889E-2</v>
      </c>
    </row>
    <row r="12" spans="1:18" x14ac:dyDescent="0.25">
      <c r="A12" t="s">
        <v>16</v>
      </c>
      <c r="B12" t="s">
        <v>17</v>
      </c>
      <c r="C12" s="78">
        <f>IF(VLOOKUP(A12,Buchwert_je_Aktie!A$3:AJ$103,6,FALSE)&lt;&gt;"",IF(VLOOKUP(A12,Schlußkurse!A$5:AU$105,35,FALSE)&gt;0,VLOOKUP(A12,Schlußkurse!A$5:AU$105,35,FALSE) /VLOOKUP(A12,Buchwert_je_Aktie!A$3:AJ$103,6,FALSE),""),"")</f>
        <v>2.1193478260869565</v>
      </c>
      <c r="D12" s="79">
        <f>IF(VLOOKUP(A12,Buchwert_je_Aktie!A$3:AJ$103,7,FALSE)&lt;&gt;"",IF(VLOOKUP(A12,Schlußkurse!A$5:AU$105,36,FALSE)&gt;0,VLOOKUP(A12,Schlußkurse!A$5:AU$105,36,FALSE)/VLOOKUP(A12,Buchwert_je_Aktie!A$3:AJ$103,7,FALSE),""),"")</f>
        <v>2.3047281323877069</v>
      </c>
      <c r="E12" s="79">
        <f>IF(VLOOKUP(A12,Buchwert_je_Aktie!A$3:AJ$103,8,FALSE)&lt;&gt;"",IF(VLOOKUP(A12,Schlußkurse!A$5:AU$105,37,FALSE)&gt;0,VLOOKUP(A12,Schlußkurse!A$5:AU$105,37,FALSE)/VLOOKUP(A12,Buchwert_je_Aktie!A$3:AJ$103,8,FALSE),""),"")</f>
        <v>2.4197435897435899</v>
      </c>
      <c r="F12" s="79">
        <f>IF(VLOOKUP(A12,Buchwert_je_Aktie!A$3:AJ$103,9,FALSE)&lt;&gt;"",IF(VLOOKUP(A12,Schlußkurse!A$5:AU$105,38,FALSE)&gt;0,VLOOKUP(A12,Schlußkurse!A$5:AU$105,38,FALSE)/VLOOKUP(A12,Buchwert_je_Aktie!A$3:AJ$103,9,FALSE),""),"")</f>
        <v>2.5344336937962435</v>
      </c>
      <c r="G12" s="79">
        <f>IF(VLOOKUP(A12,Buchwert_je_Aktie!A$3:AJ$103,10,FALSE)&lt;&gt;"",IF(VLOOKUP(A12,Schlußkurse!A$5:AU$105,39,FALSE)&gt;0,VLOOKUP(A12,Schlußkurse!A$5:AU$105,39,FALSE)/VLOOKUP(A12,Buchwert_je_Aktie!A$3:AJ$103,10,FALSE),""),"")</f>
        <v>2.4321529301159512</v>
      </c>
      <c r="H12" s="79">
        <f>IF(VLOOKUP(A12,Buchwert_je_Aktie!A$3:AJ$103,11,FALSE)&lt;&gt;"",IF(VLOOKUP(A12,Schlußkurse!A$5:AU$105,40,FALSE)&gt;0,VLOOKUP(A12,Schlußkurse!A$5:AU$105,40,FALSE)/VLOOKUP(A12,Buchwert_je_Aktie!A$3:AJ$103,11,FALSE),""),"")</f>
        <v>1.9529816513761469</v>
      </c>
      <c r="I12" s="79">
        <f>IF(VLOOKUP(A12,Buchwert_je_Aktie!A$3:AJ$103,12,FALSE)&lt;&gt;"",IF(VLOOKUP(A12,Schlußkurse!A$5:AU$105,41,FALSE)&gt;0,VLOOKUP(A12,Schlußkurse!A$5:AU$105,41,FALSE)/VLOOKUP(A12,Buchwert_je_Aktie!A$3:AJ$103,12,FALSE),""),"")</f>
        <v>2.2449985503044361</v>
      </c>
      <c r="J12" s="79">
        <f>IF(VLOOKUP(A12,Buchwert_je_Aktie!A$3:AJ$103,13,FALSE)&lt;&gt;"",IF(VLOOKUP(A12,Schlußkurse!A$5:AU$105,42,FALSE)&gt;0,VLOOKUP(A12,Schlußkurse!A$5:AU$105,42,FALSE)/VLOOKUP(A12,Buchwert_je_Aktie!A$3:AJ$103,13,FALSE),""),"")</f>
        <v>2.0406320541760721</v>
      </c>
      <c r="K12" s="79">
        <f>IF(VLOOKUP(A12,Buchwert_je_Aktie!A$3:AJ$103,14,FALSE)&lt;&gt;"",IF(VLOOKUP(A12,Schlußkurse!A$5:AU$105,43,FALSE)&gt;0,VLOOKUP(A12,Schlußkurse!A$5:AU$105,43,FALSE)/VLOOKUP(A12,Buchwert_je_Aktie!A$3:AJ$103,14,FALSE),""),"")</f>
        <v>2.2555746140651802</v>
      </c>
      <c r="L12" s="79">
        <f>IF(VLOOKUP(A12,Buchwert_je_Aktie!A$3:AJ$103,15,FALSE)&lt;&gt;"",IF(VLOOKUP(A12,Schlußkurse!A$5:AU$105,44,FALSE)&gt;0,VLOOKUP(A12,Schlußkurse!A$5:AU$105,44,FALSE)/VLOOKUP(A12,Buchwert_je_Aktie!A$3:AJ$103,15,FALSE),""),"")</f>
        <v>3.2919085011949472</v>
      </c>
      <c r="M12" s="79">
        <f>IF(VLOOKUP(A12,Buchwert_je_Aktie!A$3:AJ$103,16,FALSE)&lt;&gt;"",IF(VLOOKUP(A12,Schlußkurse!A$5:AU$105,45,FALSE)&gt;0,VLOOKUP(A12,Schlußkurse!A$5:AU$105,45,FALSE)/VLOOKUP(A12,Buchwert_je_Aktie!A$3:AJ$103,16,FALSE),""),"")</f>
        <v>2.1689785624211853</v>
      </c>
      <c r="N12" s="79">
        <f>IF(VLOOKUP(A12,Buchwert_je_Aktie!A$3:AJ$103,17,FALSE)&lt;&gt;"",IF(VLOOKUP(A12,Schlußkurse!A$5:AU$105,46,FALSE)&gt;0,VLOOKUP(A12,Schlußkurse!A$5:AU$105,46,FALSE)/VLOOKUP(A12,Buchwert_je_Aktie!A$3:AJ$103,17,FALSE),""),"")</f>
        <v>1.9489206445728182</v>
      </c>
      <c r="O12" s="80">
        <f>IF(VLOOKUP(A12,Buchwert_je_Aktie!A$3:AJ$103,18,FALSE)&lt;&gt;"",IF(VLOOKUP(A12,Schlußkurse!A$5:AU$105,47,FALSE)&gt;0,VLOOKUP(A12,Schlußkurse!A$5:AU$105,47,FALSE)/VLOOKUP(A12,Buchwert_je_Aktie!A$3:AJ$103,18,FALSE),""),"")</f>
        <v>1.9349673202614379</v>
      </c>
      <c r="P12" s="3">
        <f t="shared" si="0"/>
        <v>2.2449985503044361</v>
      </c>
      <c r="Q12" s="3">
        <f ca="1">VLOOKUP(A12,Schlußkurse!A$5:AU$105,35,FALSE)/VLOOKUP(A12,Buchwert_je_Aktie!A$3:AK$103,23,FALSE)</f>
        <v>2.3805628472010256</v>
      </c>
      <c r="R12" s="5">
        <f t="shared" ca="1" si="1"/>
        <v>6.0385026475053172E-2</v>
      </c>
    </row>
    <row r="13" spans="1:18" x14ac:dyDescent="0.25">
      <c r="A13" t="s">
        <v>18</v>
      </c>
      <c r="B13" t="s">
        <v>19</v>
      </c>
      <c r="C13" s="78">
        <f>IF(VLOOKUP(A13,Buchwert_je_Aktie!A$3:AJ$103,6,FALSE)&lt;&gt;"",IF(VLOOKUP(A13,Schlußkurse!A$5:AU$105,35,FALSE)&gt;0,VLOOKUP(A13,Schlußkurse!A$5:AU$105,35,FALSE) /VLOOKUP(A13,Buchwert_je_Aktie!A$3:AJ$103,6,FALSE),""),"")</f>
        <v>1.0343537414965986</v>
      </c>
      <c r="D13" s="79">
        <f>IF(VLOOKUP(A13,Buchwert_je_Aktie!A$3:AJ$103,7,FALSE)&lt;&gt;"",IF(VLOOKUP(A13,Schlußkurse!A$5:AU$105,36,FALSE)&gt;0,VLOOKUP(A13,Schlußkurse!A$5:AU$105,36,FALSE)/VLOOKUP(A13,Buchwert_je_Aktie!A$3:AJ$103,7,FALSE),""),"")</f>
        <v>1.0707746478873241</v>
      </c>
      <c r="E13" s="79">
        <f>IF(VLOOKUP(A13,Buchwert_je_Aktie!A$3:AJ$103,8,FALSE)&lt;&gt;"",IF(VLOOKUP(A13,Schlußkurse!A$5:AU$105,37,FALSE)&gt;0,VLOOKUP(A13,Schlußkurse!A$5:AU$105,37,FALSE)/VLOOKUP(A13,Buchwert_je_Aktie!A$3:AJ$103,8,FALSE),""),"")</f>
        <v>1.0099264705882351</v>
      </c>
      <c r="F13" s="79">
        <f>IF(VLOOKUP(A13,Buchwert_je_Aktie!A$3:AJ$103,9,FALSE)&lt;&gt;"",IF(VLOOKUP(A13,Schlußkurse!A$5:AU$105,38,FALSE)&gt;0,VLOOKUP(A13,Schlußkurse!A$5:AU$105,38,FALSE)/VLOOKUP(A13,Buchwert_je_Aktie!A$3:AJ$103,9,FALSE),""),"")</f>
        <v>0.98140340310194252</v>
      </c>
      <c r="G13" s="79">
        <f>IF(VLOOKUP(A13,Buchwert_je_Aktie!A$3:AJ$103,10,FALSE)&lt;&gt;"",IF(VLOOKUP(A13,Schlußkurse!A$5:AU$105,39,FALSE)&gt;0,VLOOKUP(A13,Schlußkurse!A$5:AU$105,39,FALSE)/VLOOKUP(A13,Buchwert_je_Aktie!A$3:AJ$103,10,FALSE),""),"")</f>
        <v>0.95524564761644337</v>
      </c>
      <c r="H13" s="79">
        <f>IF(VLOOKUP(A13,Buchwert_je_Aktie!A$3:AJ$103,11,FALSE)&lt;&gt;"",IF(VLOOKUP(A13,Schlußkurse!A$5:AU$105,40,FALSE)&gt;0,VLOOKUP(A13,Schlußkurse!A$5:AU$105,40,FALSE)/VLOOKUP(A13,Buchwert_je_Aktie!A$3:AJ$103,11,FALSE),""),"")</f>
        <v>0.62928905917411659</v>
      </c>
      <c r="I13" s="79">
        <f>IF(VLOOKUP(A13,Buchwert_je_Aktie!A$3:AJ$103,12,FALSE)&lt;&gt;"",IF(VLOOKUP(A13,Schlußkurse!A$5:AU$105,41,FALSE)&gt;0,VLOOKUP(A13,Schlußkurse!A$5:AU$105,41,FALSE)/VLOOKUP(A13,Buchwert_je_Aktie!A$3:AJ$103,12,FALSE),""),"")</f>
        <v>0.90146984287886467</v>
      </c>
      <c r="J13" s="79">
        <f>IF(VLOOKUP(A13,Buchwert_je_Aktie!A$3:AJ$103,13,FALSE)&lt;&gt;"",IF(VLOOKUP(A13,Schlußkurse!A$5:AU$105,42,FALSE)&gt;0,VLOOKUP(A13,Schlußkurse!A$5:AU$105,42,FALSE)/VLOOKUP(A13,Buchwert_je_Aktie!A$3:AJ$103,13,FALSE),""),"")</f>
        <v>0.8902850137909899</v>
      </c>
      <c r="K13" s="79">
        <f>IF(VLOOKUP(A13,Buchwert_je_Aktie!A$3:AJ$103,14,FALSE)&lt;&gt;"",IF(VLOOKUP(A13,Schlußkurse!A$5:AU$105,43,FALSE)&gt;0,VLOOKUP(A13,Schlußkurse!A$5:AU$105,43,FALSE)/VLOOKUP(A13,Buchwert_je_Aktie!A$3:AJ$103,14,FALSE),""),"")</f>
        <v>0.84755339586393952</v>
      </c>
      <c r="L13" s="79">
        <f>IF(VLOOKUP(A13,Buchwert_je_Aktie!A$3:AJ$103,15,FALSE)&lt;&gt;"",IF(VLOOKUP(A13,Schlußkurse!A$5:AU$105,44,FALSE)&gt;0,VLOOKUP(A13,Schlußkurse!A$5:AU$105,44,FALSE)/VLOOKUP(A13,Buchwert_je_Aktie!A$3:AJ$103,15,FALSE),""),"")</f>
        <v>1.9899125756556826</v>
      </c>
      <c r="M13" s="79">
        <f>IF(VLOOKUP(A13,Buchwert_je_Aktie!A$3:AJ$103,16,FALSE)&lt;&gt;"",IF(VLOOKUP(A13,Schlußkurse!A$5:AU$105,45,FALSE)&gt;0,VLOOKUP(A13,Schlußkurse!A$5:AU$105,45,FALSE)/VLOOKUP(A13,Buchwert_je_Aktie!A$3:AJ$103,16,FALSE),""),"")</f>
        <v>1.4590364853398698</v>
      </c>
      <c r="N13" s="79">
        <f>IF(VLOOKUP(A13,Buchwert_je_Aktie!A$3:AJ$103,17,FALSE)&lt;&gt;"",IF(VLOOKUP(A13,Schlußkurse!A$5:AU$105,46,FALSE)&gt;0,VLOOKUP(A13,Schlußkurse!A$5:AU$105,46,FALSE)/VLOOKUP(A13,Buchwert_je_Aktie!A$3:AJ$103,17,FALSE),""),"")</f>
        <v>1.0953767123287672</v>
      </c>
      <c r="O13" s="80">
        <f>IF(VLOOKUP(A13,Buchwert_je_Aktie!A$3:AJ$103,18,FALSE)&lt;&gt;"",IF(VLOOKUP(A13,Schlußkurse!A$5:AU$105,47,FALSE)&gt;0,VLOOKUP(A13,Schlußkurse!A$5:AU$105,47,FALSE)/VLOOKUP(A13,Buchwert_je_Aktie!A$3:AJ$103,18,FALSE),""),"")</f>
        <v>1.0034957844951675</v>
      </c>
      <c r="P13" s="3">
        <f t="shared" si="0"/>
        <v>1.0034957844951675</v>
      </c>
      <c r="Q13" s="3">
        <f ca="1">VLOOKUP(A13,Schlußkurse!A$5:AU$105,35,FALSE)/VLOOKUP(A13,Buchwert_je_Aktie!A$3:AK$103,23,FALSE)</f>
        <v>1.1015455204056992</v>
      </c>
      <c r="R13" s="5">
        <f t="shared" ca="1" si="1"/>
        <v>9.7708169207564755E-2</v>
      </c>
    </row>
    <row r="14" spans="1:18" x14ac:dyDescent="0.25">
      <c r="A14" t="s">
        <v>20</v>
      </c>
      <c r="B14" t="s">
        <v>21</v>
      </c>
      <c r="C14" s="78">
        <f>IF(VLOOKUP(A14,Buchwert_je_Aktie!A$3:AJ$103,6,FALSE)&lt;&gt;"",IF(VLOOKUP(A14,Schlußkurse!A$5:AU$105,35,FALSE)&gt;0,VLOOKUP(A14,Schlußkurse!A$5:AU$105,35,FALSE) /VLOOKUP(A14,Buchwert_je_Aktie!A$3:AJ$103,6,FALSE),""),"")</f>
        <v>0.88190954773869346</v>
      </c>
      <c r="D14" s="79">
        <f>IF(VLOOKUP(A14,Buchwert_je_Aktie!A$3:AJ$103,7,FALSE)&lt;&gt;"",IF(VLOOKUP(A14,Schlußkurse!A$5:AU$105,36,FALSE)&gt;0,VLOOKUP(A14,Schlußkurse!A$5:AU$105,36,FALSE)/VLOOKUP(A14,Buchwert_je_Aktie!A$3:AJ$103,7,FALSE),""),"")</f>
        <v>0.91884816753926701</v>
      </c>
      <c r="E14" s="79">
        <f>IF(VLOOKUP(A14,Buchwert_je_Aktie!A$3:AJ$103,8,FALSE)&lt;&gt;"",IF(VLOOKUP(A14,Schlußkurse!A$5:AU$105,37,FALSE)&gt;0,VLOOKUP(A14,Schlußkurse!A$5:AU$105,37,FALSE)/VLOOKUP(A14,Buchwert_je_Aktie!A$3:AJ$103,8,FALSE),""),"")</f>
        <v>0.8959459459459459</v>
      </c>
      <c r="F14" s="79">
        <f>IF(VLOOKUP(A14,Buchwert_je_Aktie!A$3:AJ$103,9,FALSE)&lt;&gt;"",IF(VLOOKUP(A14,Schlußkurse!A$5:AU$105,38,FALSE)&gt;0,VLOOKUP(A14,Schlußkurse!A$5:AU$105,38,FALSE)/VLOOKUP(A14,Buchwert_je_Aktie!A$3:AJ$103,9,FALSE),""),"")</f>
        <v>0.9222043072670737</v>
      </c>
      <c r="G14" s="79">
        <f>IF(VLOOKUP(A14,Buchwert_je_Aktie!A$3:AJ$103,10,FALSE)&lt;&gt;"",IF(VLOOKUP(A14,Schlußkurse!A$5:AU$105,39,FALSE)&gt;0,VLOOKUP(A14,Schlußkurse!A$5:AU$105,39,FALSE)/VLOOKUP(A14,Buchwert_je_Aktie!A$3:AJ$103,10,FALSE),""),"")</f>
        <v>0.93870789618995032</v>
      </c>
      <c r="H14" s="79">
        <f>IF(VLOOKUP(A14,Buchwert_je_Aktie!A$3:AJ$103,11,FALSE)&lt;&gt;"",IF(VLOOKUP(A14,Schlußkurse!A$5:AU$105,40,FALSE)&gt;0,VLOOKUP(A14,Schlußkurse!A$5:AU$105,40,FALSE)/VLOOKUP(A14,Buchwert_je_Aktie!A$3:AJ$103,11,FALSE),""),"")</f>
        <v>0.62536289258379518</v>
      </c>
      <c r="I14" s="79">
        <f>IF(VLOOKUP(A14,Buchwert_je_Aktie!A$3:AJ$103,12,FALSE)&lt;&gt;"",IF(VLOOKUP(A14,Schlußkurse!A$5:AU$105,41,FALSE)&gt;0,VLOOKUP(A14,Schlußkurse!A$5:AU$105,41,FALSE)/VLOOKUP(A14,Buchwert_je_Aktie!A$3:AJ$103,12,FALSE),""),"")</f>
        <v>0.88205566785880885</v>
      </c>
      <c r="J14" s="79">
        <f>IF(VLOOKUP(A14,Buchwert_je_Aktie!A$3:AJ$103,13,FALSE)&lt;&gt;"",IF(VLOOKUP(A14,Schlußkurse!A$5:AU$105,42,FALSE)&gt;0,VLOOKUP(A14,Schlußkurse!A$5:AU$105,42,FALSE)/VLOOKUP(A14,Buchwert_je_Aktie!A$3:AJ$103,13,FALSE),""),"")</f>
        <v>0.89913950024822109</v>
      </c>
      <c r="K14" s="79">
        <f>IF(VLOOKUP(A14,Buchwert_je_Aktie!A$3:AJ$103,14,FALSE)&lt;&gt;"",IF(VLOOKUP(A14,Schlußkurse!A$5:AU$105,43,FALSE)&gt;0,VLOOKUP(A14,Schlußkurse!A$5:AU$105,43,FALSE)/VLOOKUP(A14,Buchwert_je_Aktie!A$3:AJ$103,14,FALSE),""),"")</f>
        <v>0.99373321396598024</v>
      </c>
      <c r="L14" s="79">
        <f>IF(VLOOKUP(A14,Buchwert_je_Aktie!A$3:AJ$103,15,FALSE)&lt;&gt;"",IF(VLOOKUP(A14,Schlußkurse!A$5:AU$105,44,FALSE)&gt;0,VLOOKUP(A14,Schlußkurse!A$5:AU$105,44,FALSE)/VLOOKUP(A14,Buchwert_je_Aktie!A$3:AJ$103,15,FALSE),""),"")</f>
        <v>1.3087221894073637</v>
      </c>
      <c r="M14" s="79">
        <f>IF(VLOOKUP(A14,Buchwert_je_Aktie!A$3:AJ$103,16,FALSE)&lt;&gt;"",IF(VLOOKUP(A14,Schlußkurse!A$5:AU$105,45,FALSE)&gt;0,VLOOKUP(A14,Schlußkurse!A$5:AU$105,45,FALSE)/VLOOKUP(A14,Buchwert_je_Aktie!A$3:AJ$103,16,FALSE),""),"")</f>
        <v>1.1387409412381035</v>
      </c>
      <c r="N14" s="79">
        <f>IF(VLOOKUP(A14,Buchwert_je_Aktie!A$3:AJ$103,17,FALSE)&lt;&gt;"",IF(VLOOKUP(A14,Schlußkurse!A$5:AU$105,46,FALSE)&gt;0,VLOOKUP(A14,Schlußkurse!A$5:AU$105,46,FALSE)/VLOOKUP(A14,Buchwert_je_Aktie!A$3:AJ$103,17,FALSE),""),"")</f>
        <v>1.012122820989293</v>
      </c>
      <c r="O14" s="80">
        <f>IF(VLOOKUP(A14,Buchwert_je_Aktie!A$3:AJ$103,18,FALSE)&lt;&gt;"",IF(VLOOKUP(A14,Schlußkurse!A$5:AU$105,47,FALSE)&gt;0,VLOOKUP(A14,Schlußkurse!A$5:AU$105,47,FALSE)/VLOOKUP(A14,Buchwert_je_Aktie!A$3:AJ$103,18,FALSE),""),"")</f>
        <v>0.85848519362186793</v>
      </c>
      <c r="P14" s="3">
        <f t="shared" si="0"/>
        <v>0.91884816753926701</v>
      </c>
      <c r="Q14" s="3">
        <f ca="1">VLOOKUP(A14,Schlußkurse!A$5:AU$105,35,FALSE)/VLOOKUP(A14,Buchwert_je_Aktie!A$3:AK$103,23,FALSE)</f>
        <v>0.93833541258242747</v>
      </c>
      <c r="R14" s="5">
        <f t="shared" ca="1" si="1"/>
        <v>2.1208340759223177E-2</v>
      </c>
    </row>
    <row r="15" spans="1:18" x14ac:dyDescent="0.25">
      <c r="A15" t="s">
        <v>22</v>
      </c>
      <c r="B15" t="s">
        <v>23</v>
      </c>
      <c r="C15" s="78">
        <f>IF(VLOOKUP(A15,Buchwert_je_Aktie!A$3:AJ$103,6,FALSE)&lt;&gt;"",IF(VLOOKUP(A15,Schlußkurse!A$5:AU$105,35,FALSE)&gt;0,VLOOKUP(A15,Schlußkurse!A$5:AU$105,35,FALSE) /VLOOKUP(A15,Buchwert_je_Aktie!A$3:AJ$103,6,FALSE),""),"")</f>
        <v>2.5090140845070419</v>
      </c>
      <c r="D15" s="79">
        <f>IF(VLOOKUP(A15,Buchwert_je_Aktie!A$3:AJ$103,7,FALSE)&lt;&gt;"",IF(VLOOKUP(A15,Schlußkurse!A$5:AU$105,36,FALSE)&gt;0,VLOOKUP(A15,Schlußkurse!A$5:AU$105,36,FALSE)/VLOOKUP(A15,Buchwert_je_Aktie!A$3:AJ$103,7,FALSE),""),"")</f>
        <v>2.6508928571428569</v>
      </c>
      <c r="E15" s="79">
        <f>IF(VLOOKUP(A15,Buchwert_je_Aktie!A$3:AJ$103,8,FALSE)&lt;&gt;"",IF(VLOOKUP(A15,Schlußkurse!A$5:AU$105,37,FALSE)&gt;0,VLOOKUP(A15,Schlußkurse!A$5:AU$105,37,FALSE)/VLOOKUP(A15,Buchwert_je_Aktie!A$3:AJ$103,8,FALSE),""),"")</f>
        <v>2.2397435897435898</v>
      </c>
      <c r="F15" s="79">
        <f>IF(VLOOKUP(A15,Buchwert_je_Aktie!A$3:AJ$103,9,FALSE)&lt;&gt;"",IF(VLOOKUP(A15,Schlußkurse!A$5:AU$105,38,FALSE)&gt;0,VLOOKUP(A15,Schlußkurse!A$5:AU$105,38,FALSE)/VLOOKUP(A15,Buchwert_je_Aktie!A$3:AJ$103,9,FALSE),""),"")</f>
        <v>2.5241042345276874</v>
      </c>
      <c r="G15" s="79">
        <f>IF(VLOOKUP(A15,Buchwert_je_Aktie!A$3:AJ$103,10,FALSE)&lt;&gt;"",IF(VLOOKUP(A15,Schlußkurse!A$5:AU$105,39,FALSE)&gt;0,VLOOKUP(A15,Schlußkurse!A$5:AU$105,39,FALSE)/VLOOKUP(A15,Buchwert_je_Aktie!A$3:AJ$103,10,FALSE),""),"")</f>
        <v>2.3520661157024794</v>
      </c>
      <c r="H15" s="79">
        <f>IF(VLOOKUP(A15,Buchwert_je_Aktie!A$3:AJ$103,11,FALSE)&lt;&gt;"",IF(VLOOKUP(A15,Schlußkurse!A$5:AU$105,40,FALSE)&gt;0,VLOOKUP(A15,Schlußkurse!A$5:AU$105,40,FALSE)/VLOOKUP(A15,Buchwert_je_Aktie!A$3:AJ$103,11,FALSE),""),"")</f>
        <v>1.9184763260946958</v>
      </c>
      <c r="I15" s="79">
        <f>IF(VLOOKUP(A15,Buchwert_je_Aktie!A$3:AJ$103,12,FALSE)&lt;&gt;"",IF(VLOOKUP(A15,Schlußkurse!A$5:AU$105,41,FALSE)&gt;0,VLOOKUP(A15,Schlußkurse!A$5:AU$105,41,FALSE)/VLOOKUP(A15,Buchwert_je_Aktie!A$3:AJ$103,12,FALSE),""),"")</f>
        <v>2.1599131693198266</v>
      </c>
      <c r="J15" s="79">
        <f>IF(VLOOKUP(A15,Buchwert_je_Aktie!A$3:AJ$103,13,FALSE)&lt;&gt;"",IF(VLOOKUP(A15,Schlußkurse!A$5:AU$105,42,FALSE)&gt;0,VLOOKUP(A15,Schlußkurse!A$5:AU$105,42,FALSE)/VLOOKUP(A15,Buchwert_je_Aktie!A$3:AJ$103,13,FALSE),""),"")</f>
        <v>1.7616538305634373</v>
      </c>
      <c r="K15" s="79">
        <f>IF(VLOOKUP(A15,Buchwert_je_Aktie!A$3:AJ$103,14,FALSE)&lt;&gt;"",IF(VLOOKUP(A15,Schlußkurse!A$5:AU$105,43,FALSE)&gt;0,VLOOKUP(A15,Schlußkurse!A$5:AU$105,43,FALSE)/VLOOKUP(A15,Buchwert_je_Aktie!A$3:AJ$103,14,FALSE),""),"")</f>
        <v>1.3687068114511352</v>
      </c>
      <c r="L15" s="79">
        <f>IF(VLOOKUP(A15,Buchwert_je_Aktie!A$3:AJ$103,15,FALSE)&lt;&gt;"",IF(VLOOKUP(A15,Schlußkurse!A$5:AU$105,44,FALSE)&gt;0,VLOOKUP(A15,Schlußkurse!A$5:AU$105,44,FALSE)/VLOOKUP(A15,Buchwert_je_Aktie!A$3:AJ$103,15,FALSE),""),"")</f>
        <v>2.4879784102060842</v>
      </c>
      <c r="M15" s="79">
        <f>IF(VLOOKUP(A15,Buchwert_je_Aktie!A$3:AJ$103,16,FALSE)&lt;&gt;"",IF(VLOOKUP(A15,Schlußkurse!A$5:AU$105,45,FALSE)&gt;0,VLOOKUP(A15,Schlußkurse!A$5:AU$105,45,FALSE)/VLOOKUP(A15,Buchwert_je_Aktie!A$3:AJ$103,16,FALSE),""),"")</f>
        <v>1.7574964302712992</v>
      </c>
      <c r="N15" s="79">
        <f>IF(VLOOKUP(A15,Buchwert_je_Aktie!A$3:AJ$103,17,FALSE)&lt;&gt;"",IF(VLOOKUP(A15,Schlußkurse!A$5:AU$105,46,FALSE)&gt;0,VLOOKUP(A15,Schlußkurse!A$5:AU$105,46,FALSE)/VLOOKUP(A15,Buchwert_je_Aktie!A$3:AJ$103,17,FALSE),""),"")</f>
        <v>1.740451855836471</v>
      </c>
      <c r="O15" s="80">
        <f>IF(VLOOKUP(A15,Buchwert_je_Aktie!A$3:AJ$103,18,FALSE)&lt;&gt;"",IF(VLOOKUP(A15,Schlußkurse!A$5:AU$105,47,FALSE)&gt;0,VLOOKUP(A15,Schlußkurse!A$5:AU$105,47,FALSE)/VLOOKUP(A15,Buchwert_je_Aktie!A$3:AJ$103,18,FALSE),""),"")</f>
        <v>1.5560775102759834</v>
      </c>
      <c r="P15" s="3">
        <f t="shared" si="0"/>
        <v>2.1599131693198266</v>
      </c>
      <c r="Q15" s="3">
        <f ca="1">VLOOKUP(A15,Schlußkurse!A$5:AU$105,35,FALSE)/VLOOKUP(A15,Buchwert_je_Aktie!A$3:AK$103,23,FALSE)</f>
        <v>2.7822782174094125</v>
      </c>
      <c r="R15" s="5">
        <f t="shared" ca="1" si="1"/>
        <v>0.28814354990278312</v>
      </c>
    </row>
    <row r="16" spans="1:18" x14ac:dyDescent="0.25">
      <c r="A16" t="s">
        <v>24</v>
      </c>
      <c r="B16" t="s">
        <v>25</v>
      </c>
      <c r="C16" s="78">
        <f>IF(VLOOKUP(A16,Buchwert_je_Aktie!A$3:AJ$103,6,FALSE)&lt;&gt;"",IF(VLOOKUP(A16,Schlußkurse!A$5:AU$105,35,FALSE)&gt;0,VLOOKUP(A16,Schlußkurse!A$5:AU$105,35,FALSE) /VLOOKUP(A16,Buchwert_je_Aktie!A$3:AJ$103,6,FALSE),""),"")</f>
        <v>3.7609329446064144</v>
      </c>
      <c r="D16" s="79">
        <f>IF(VLOOKUP(A16,Buchwert_je_Aktie!A$3:AJ$103,7,FALSE)&lt;&gt;"",IF(VLOOKUP(A16,Schlußkurse!A$5:AU$105,36,FALSE)&gt;0,VLOOKUP(A16,Schlußkurse!A$5:AU$105,36,FALSE)/VLOOKUP(A16,Buchwert_je_Aktie!A$3:AJ$103,7,FALSE),""),"")</f>
        <v>4.069400630914827</v>
      </c>
      <c r="E16" s="79">
        <f>IF(VLOOKUP(A16,Buchwert_je_Aktie!A$3:AJ$103,8,FALSE)&lt;&gt;"",IF(VLOOKUP(A16,Schlußkurse!A$5:AU$105,37,FALSE)&gt;0,VLOOKUP(A16,Schlußkurse!A$5:AU$105,37,FALSE)/VLOOKUP(A16,Buchwert_je_Aktie!A$3:AJ$103,8,FALSE),""),"")</f>
        <v>4.0501792114695343</v>
      </c>
      <c r="F16" s="79">
        <f>IF(VLOOKUP(A16,Buchwert_je_Aktie!A$3:AJ$103,9,FALSE)&lt;&gt;"",IF(VLOOKUP(A16,Schlußkurse!A$5:AU$105,38,FALSE)&gt;0,VLOOKUP(A16,Schlußkurse!A$5:AU$105,38,FALSE)/VLOOKUP(A16,Buchwert_je_Aktie!A$3:AJ$103,9,FALSE),""),"")</f>
        <v>4.1697341513292434</v>
      </c>
      <c r="G16" s="79">
        <f>IF(VLOOKUP(A16,Buchwert_je_Aktie!A$3:AJ$103,10,FALSE)&lt;&gt;"",IF(VLOOKUP(A16,Schlußkurse!A$5:AU$105,39,FALSE)&gt;0,VLOOKUP(A16,Schlußkurse!A$5:AU$105,39,FALSE)/VLOOKUP(A16,Buchwert_je_Aktie!A$3:AJ$103,10,FALSE),""),"")</f>
        <v>2.8573131955484898</v>
      </c>
      <c r="H16" s="79">
        <f>IF(VLOOKUP(A16,Buchwert_je_Aktie!A$3:AJ$103,11,FALSE)&lt;&gt;"",IF(VLOOKUP(A16,Schlußkurse!A$5:AU$105,40,FALSE)&gt;0,VLOOKUP(A16,Schlußkurse!A$5:AU$105,40,FALSE)/VLOOKUP(A16,Buchwert_je_Aktie!A$3:AJ$103,11,FALSE),""),"")</f>
        <v>2.200445434298441</v>
      </c>
      <c r="I16" s="79">
        <f>IF(VLOOKUP(A16,Buchwert_je_Aktie!A$3:AJ$103,12,FALSE)&lt;&gt;"",IF(VLOOKUP(A16,Schlußkurse!A$5:AU$105,41,FALSE)&gt;0,VLOOKUP(A16,Schlußkurse!A$5:AU$105,41,FALSE)/VLOOKUP(A16,Buchwert_je_Aktie!A$3:AJ$103,12,FALSE),""),"")</f>
        <v>2.3733905579399139</v>
      </c>
      <c r="J16" s="79">
        <f>IF(VLOOKUP(A16,Buchwert_je_Aktie!A$3:AJ$103,13,FALSE)&lt;&gt;"",IF(VLOOKUP(A16,Schlußkurse!A$5:AU$105,42,FALSE)&gt;0,VLOOKUP(A16,Schlußkurse!A$5:AU$105,42,FALSE)/VLOOKUP(A16,Buchwert_je_Aktie!A$3:AJ$103,13,FALSE),""),"")</f>
        <v>2.4490153172866518</v>
      </c>
      <c r="K16" s="79">
        <f>IF(VLOOKUP(A16,Buchwert_je_Aktie!A$3:AJ$103,14,FALSE)&lt;&gt;"",IF(VLOOKUP(A16,Schlußkurse!A$5:AU$105,43,FALSE)&gt;0,VLOOKUP(A16,Schlußkurse!A$5:AU$105,43,FALSE)/VLOOKUP(A16,Buchwert_je_Aktie!A$3:AJ$103,14,FALSE),""),"")</f>
        <v>1.8128272251308899</v>
      </c>
      <c r="L16" s="79">
        <f>IF(VLOOKUP(A16,Buchwert_je_Aktie!A$3:AJ$103,15,FALSE)&lt;&gt;"",IF(VLOOKUP(A16,Schlußkurse!A$5:AU$105,44,FALSE)&gt;0,VLOOKUP(A16,Schlußkurse!A$5:AU$105,44,FALSE)/VLOOKUP(A16,Buchwert_je_Aktie!A$3:AJ$103,15,FALSE),""),"")</f>
        <v>2.9246959775491117</v>
      </c>
      <c r="M16" s="79">
        <f>IF(VLOOKUP(A16,Buchwert_je_Aktie!A$3:AJ$103,16,FALSE)&lt;&gt;"",IF(VLOOKUP(A16,Schlußkurse!A$5:AU$105,45,FALSE)&gt;0,VLOOKUP(A16,Schlußkurse!A$5:AU$105,45,FALSE)/VLOOKUP(A16,Buchwert_je_Aktie!A$3:AJ$103,16,FALSE),""),"")</f>
        <v>1.8473421172194455</v>
      </c>
      <c r="N16" s="79" t="str">
        <f>IF(VLOOKUP(A16,Buchwert_je_Aktie!A$3:AJ$103,17,FALSE)&lt;&gt;"",IF(VLOOKUP(A16,Schlußkurse!A$5:AU$105,46,FALSE)&gt;0,VLOOKUP(A16,Schlußkurse!A$5:AU$105,46,FALSE)/VLOOKUP(A16,Buchwert_je_Aktie!A$3:AJ$103,17,FALSE),""),"")</f>
        <v/>
      </c>
      <c r="O16" s="80" t="str">
        <f>IF(VLOOKUP(A16,Buchwert_je_Aktie!A$3:AJ$103,18,FALSE)&lt;&gt;"",IF(VLOOKUP(A16,Schlußkurse!A$5:AU$105,47,FALSE)&gt;0,VLOOKUP(A16,Schlußkurse!A$5:AU$105,47,FALSE)/VLOOKUP(A16,Buchwert_je_Aktie!A$3:AJ$103,18,FALSE),""),"")</f>
        <v/>
      </c>
      <c r="P16" s="3">
        <f t="shared" si="0"/>
        <v>2.8573131955484898</v>
      </c>
      <c r="Q16" s="3">
        <f ca="1">VLOOKUP(A16,Schlußkurse!A$5:AU$105,35,FALSE)/VLOOKUP(A16,Buchwert_je_Aktie!A$3:AK$103,23,FALSE)</f>
        <v>4.4196581521946019</v>
      </c>
      <c r="R16" s="5">
        <f t="shared" ca="1" si="1"/>
        <v>0.54678813616937227</v>
      </c>
    </row>
    <row r="17" spans="1:18" x14ac:dyDescent="0.25">
      <c r="A17" t="s">
        <v>26</v>
      </c>
      <c r="B17" t="s">
        <v>27</v>
      </c>
      <c r="C17" s="78">
        <f>IF(VLOOKUP(A17,Buchwert_je_Aktie!A$3:AJ$103,6,FALSE)&lt;&gt;"",IF(VLOOKUP(A17,Schlußkurse!A$5:AU$105,35,FALSE)&gt;0,VLOOKUP(A17,Schlußkurse!A$5:AU$105,35,FALSE) /VLOOKUP(A17,Buchwert_je_Aktie!A$3:AJ$103,6,FALSE),""),"")</f>
        <v>2.3427350427350428</v>
      </c>
      <c r="D17" s="79">
        <f>IF(VLOOKUP(A17,Buchwert_je_Aktie!A$3:AJ$103,7,FALSE)&lt;&gt;"",IF(VLOOKUP(A17,Schlußkurse!A$5:AU$105,36,FALSE)&gt;0,VLOOKUP(A17,Schlußkurse!A$5:AU$105,36,FALSE)/VLOOKUP(A17,Buchwert_je_Aktie!A$3:AJ$103,7,FALSE),""),"")</f>
        <v>2.5146788990825688</v>
      </c>
      <c r="E17" s="79">
        <f>IF(VLOOKUP(A17,Buchwert_je_Aktie!A$3:AJ$103,8,FALSE)&lt;&gt;"",IF(VLOOKUP(A17,Schlußkurse!A$5:AU$105,37,FALSE)&gt;0,VLOOKUP(A17,Schlußkurse!A$5:AU$105,37,FALSE)/VLOOKUP(A17,Buchwert_je_Aktie!A$3:AJ$103,8,FALSE),""),"")</f>
        <v>2.2704761904761903</v>
      </c>
      <c r="F17" s="79">
        <f>IF(VLOOKUP(A17,Buchwert_je_Aktie!A$3:AJ$103,9,FALSE)&lt;&gt;"",IF(VLOOKUP(A17,Schlußkurse!A$5:AU$105,38,FALSE)&gt;0,VLOOKUP(A17,Schlußkurse!A$5:AU$105,38,FALSE)/VLOOKUP(A17,Buchwert_je_Aktie!A$3:AJ$103,9,FALSE),""),"")</f>
        <v>2.6125827814569536</v>
      </c>
      <c r="G17" s="79">
        <f>IF(VLOOKUP(A17,Buchwert_je_Aktie!A$3:AJ$103,10,FALSE)&lt;&gt;"",IF(VLOOKUP(A17,Schlußkurse!A$5:AU$105,39,FALSE)&gt;0,VLOOKUP(A17,Schlußkurse!A$5:AU$105,39,FALSE)/VLOOKUP(A17,Buchwert_je_Aktie!A$3:AJ$103,10,FALSE),""),"")</f>
        <v>2.1913978494623652</v>
      </c>
      <c r="H17" s="79">
        <f>IF(VLOOKUP(A17,Buchwert_je_Aktie!A$3:AJ$103,11,FALSE)&lt;&gt;"",IF(VLOOKUP(A17,Schlußkurse!A$5:AU$105,40,FALSE)&gt;0,VLOOKUP(A17,Schlußkurse!A$5:AU$105,40,FALSE)/VLOOKUP(A17,Buchwert_je_Aktie!A$3:AJ$103,11,FALSE),""),"")</f>
        <v>2.9744444444444444</v>
      </c>
      <c r="I17" s="79">
        <f>IF(VLOOKUP(A17,Buchwert_je_Aktie!A$3:AJ$103,12,FALSE)&lt;&gt;"",IF(VLOOKUP(A17,Schlußkurse!A$5:AU$105,41,FALSE)&gt;0,VLOOKUP(A17,Schlußkurse!A$5:AU$105,41,FALSE)/VLOOKUP(A17,Buchwert_je_Aktie!A$3:AJ$103,12,FALSE),""),"")</f>
        <v>3.5343750000000003</v>
      </c>
      <c r="J17" s="79">
        <f>IF(VLOOKUP(A17,Buchwert_je_Aktie!A$3:AJ$103,13,FALSE)&lt;&gt;"",IF(VLOOKUP(A17,Schlußkurse!A$5:AU$105,42,FALSE)&gt;0,VLOOKUP(A17,Schlußkurse!A$5:AU$105,42,FALSE)/VLOOKUP(A17,Buchwert_je_Aktie!A$3:AJ$103,13,FALSE),""),"")</f>
        <v>3.6081330868761552</v>
      </c>
      <c r="K17" s="79">
        <f>IF(VLOOKUP(A17,Buchwert_je_Aktie!A$3:AJ$103,14,FALSE)&lt;&gt;"",IF(VLOOKUP(A17,Schlußkurse!A$5:AU$105,43,FALSE)&gt;0,VLOOKUP(A17,Schlußkurse!A$5:AU$105,43,FALSE)/VLOOKUP(A17,Buchwert_je_Aktie!A$3:AJ$103,14,FALSE),""),"")</f>
        <v>3.3228511530398324</v>
      </c>
      <c r="L17" s="79">
        <f>IF(VLOOKUP(A17,Buchwert_je_Aktie!A$3:AJ$103,15,FALSE)&lt;&gt;"",IF(VLOOKUP(A17,Schlußkurse!A$5:AU$105,44,FALSE)&gt;0,VLOOKUP(A17,Schlußkurse!A$5:AU$105,44,FALSE)/VLOOKUP(A17,Buchwert_je_Aktie!A$3:AJ$103,15,FALSE),""),"")</f>
        <v>6.0710382513661196</v>
      </c>
      <c r="M17" s="79">
        <f>IF(VLOOKUP(A17,Buchwert_je_Aktie!A$3:AJ$103,16,FALSE)&lt;&gt;"",IF(VLOOKUP(A17,Schlußkurse!A$5:AU$105,45,FALSE)&gt;0,VLOOKUP(A17,Schlußkurse!A$5:AU$105,45,FALSE)/VLOOKUP(A17,Buchwert_je_Aktie!A$3:AJ$103,16,FALSE),""),"")</f>
        <v>3.8199052132701428</v>
      </c>
      <c r="N17" s="79">
        <f>IF(VLOOKUP(A17,Buchwert_je_Aktie!A$3:AJ$103,17,FALSE)&lt;&gt;"",IF(VLOOKUP(A17,Schlußkurse!A$5:AU$105,46,FALSE)&gt;0,VLOOKUP(A17,Schlußkurse!A$5:AU$105,46,FALSE)/VLOOKUP(A17,Buchwert_je_Aktie!A$3:AJ$103,17,FALSE),""),"")</f>
        <v>3.6418338108882522</v>
      </c>
      <c r="O17" s="80">
        <f>IF(VLOOKUP(A17,Buchwert_je_Aktie!A$3:AJ$103,18,FALSE)&lt;&gt;"",IF(VLOOKUP(A17,Schlußkurse!A$5:AU$105,47,FALSE)&gt;0,VLOOKUP(A17,Schlußkurse!A$5:AU$105,47,FALSE)/VLOOKUP(A17,Buchwert_je_Aktie!A$3:AJ$103,18,FALSE),""),"")</f>
        <v>5.3513513513513518</v>
      </c>
      <c r="P17" s="3">
        <f t="shared" si="0"/>
        <v>3.3228511530398324</v>
      </c>
      <c r="Q17" s="3">
        <f ca="1">VLOOKUP(A17,Schlußkurse!A$5:AU$105,35,FALSE)/VLOOKUP(A17,Buchwert_je_Aktie!A$3:AK$103,23,FALSE)</f>
        <v>2.5772043460091933</v>
      </c>
      <c r="R17" s="5">
        <f t="shared" ca="1" si="1"/>
        <v>-0.22439970154802191</v>
      </c>
    </row>
    <row r="18" spans="1:18" x14ac:dyDescent="0.25">
      <c r="A18" t="s">
        <v>28</v>
      </c>
      <c r="B18" t="s">
        <v>29</v>
      </c>
      <c r="C18" s="78">
        <f>IF(VLOOKUP(A18,Buchwert_je_Aktie!A$3:AJ$103,6,FALSE)&lt;&gt;"",IF(VLOOKUP(A18,Schlußkurse!A$5:AU$105,35,FALSE)&gt;0,VLOOKUP(A18,Schlußkurse!A$5:AU$105,35,FALSE) /VLOOKUP(A18,Buchwert_je_Aktie!A$3:AJ$103,6,FALSE),""),"")</f>
        <v>2.7164556962025315</v>
      </c>
      <c r="D18" s="79">
        <f>IF(VLOOKUP(A18,Buchwert_je_Aktie!A$3:AJ$103,7,FALSE)&lt;&gt;"",IF(VLOOKUP(A18,Schlußkurse!A$5:AU$105,36,FALSE)&gt;0,VLOOKUP(A18,Schlußkurse!A$5:AU$105,36,FALSE)/VLOOKUP(A18,Buchwert_je_Aktie!A$3:AJ$103,7,FALSE),""),"")</f>
        <v>2.7991304347826085</v>
      </c>
      <c r="E18" s="79">
        <f>IF(VLOOKUP(A18,Buchwert_je_Aktie!A$3:AJ$103,8,FALSE)&lt;&gt;"",IF(VLOOKUP(A18,Schlußkurse!A$5:AU$105,37,FALSE)&gt;0,VLOOKUP(A18,Schlußkurse!A$5:AU$105,37,FALSE)/VLOOKUP(A18,Buchwert_je_Aktie!A$3:AJ$103,8,FALSE),""),"")</f>
        <v>2.6052631578947372</v>
      </c>
      <c r="F18" s="79">
        <f>IF(VLOOKUP(A18,Buchwert_je_Aktie!A$3:AJ$103,9,FALSE)&lt;&gt;"",IF(VLOOKUP(A18,Schlußkurse!A$5:AU$105,38,FALSE)&gt;0,VLOOKUP(A18,Schlußkurse!A$5:AU$105,38,FALSE)/VLOOKUP(A18,Buchwert_je_Aktie!A$3:AJ$103,9,FALSE),""),"")</f>
        <v>2.6844535659312472</v>
      </c>
      <c r="G18" s="79">
        <f>IF(VLOOKUP(A18,Buchwert_je_Aktie!A$3:AJ$103,10,FALSE)&lt;&gt;"",IF(VLOOKUP(A18,Schlußkurse!A$5:AU$105,39,FALSE)&gt;0,VLOOKUP(A18,Schlußkurse!A$5:AU$105,39,FALSE)/VLOOKUP(A18,Buchwert_je_Aktie!A$3:AJ$103,10,FALSE),""),"")</f>
        <v>2.7360197368421058</v>
      </c>
      <c r="H18" s="79">
        <f>IF(VLOOKUP(A18,Buchwert_je_Aktie!A$3:AJ$103,11,FALSE)&lt;&gt;"",IF(VLOOKUP(A18,Schlußkurse!A$5:AU$105,40,FALSE)&gt;0,VLOOKUP(A18,Schlußkurse!A$5:AU$105,40,FALSE)/VLOOKUP(A18,Buchwert_je_Aktie!A$3:AJ$103,11,FALSE),""),"")</f>
        <v>2.3635036496350366</v>
      </c>
      <c r="I18" s="79">
        <f>IF(VLOOKUP(A18,Buchwert_je_Aktie!A$3:AJ$103,12,FALSE)&lt;&gt;"",IF(VLOOKUP(A18,Schlußkurse!A$5:AU$105,41,FALSE)&gt;0,VLOOKUP(A18,Schlußkurse!A$5:AU$105,41,FALSE)/VLOOKUP(A18,Buchwert_je_Aktie!A$3:AJ$103,12,FALSE),""),"")</f>
        <v>2.3334987593052112</v>
      </c>
      <c r="J18" s="79">
        <f>IF(VLOOKUP(A18,Buchwert_je_Aktie!A$3:AJ$103,13,FALSE)&lt;&gt;"",IF(VLOOKUP(A18,Schlußkurse!A$5:AU$105,42,FALSE)&gt;0,VLOOKUP(A18,Schlußkurse!A$5:AU$105,42,FALSE)/VLOOKUP(A18,Buchwert_je_Aktie!A$3:AJ$103,13,FALSE),""),"")</f>
        <v>2.2100103199174406</v>
      </c>
      <c r="K18" s="79">
        <f>IF(VLOOKUP(A18,Buchwert_je_Aktie!A$3:AJ$103,14,FALSE)&lt;&gt;"",IF(VLOOKUP(A18,Schlußkurse!A$5:AU$105,43,FALSE)&gt;0,VLOOKUP(A18,Schlußkurse!A$5:AU$105,43,FALSE)/VLOOKUP(A18,Buchwert_je_Aktie!A$3:AJ$103,14,FALSE),""),"")</f>
        <v>1.998149005090236</v>
      </c>
      <c r="L18" s="79">
        <f>IF(VLOOKUP(A18,Buchwert_je_Aktie!A$3:AJ$103,15,FALSE)&lt;&gt;"",IF(VLOOKUP(A18,Schlußkurse!A$5:AU$105,44,FALSE)&gt;0,VLOOKUP(A18,Schlußkurse!A$5:AU$105,44,FALSE)/VLOOKUP(A18,Buchwert_je_Aktie!A$3:AJ$103,15,FALSE),""),"")</f>
        <v>3.6504161712247325</v>
      </c>
      <c r="M18" s="79">
        <f>IF(VLOOKUP(A18,Buchwert_je_Aktie!A$3:AJ$103,16,FALSE)&lt;&gt;"",IF(VLOOKUP(A18,Schlußkurse!A$5:AU$105,45,FALSE)&gt;0,VLOOKUP(A18,Schlußkurse!A$5:AU$105,45,FALSE)/VLOOKUP(A18,Buchwert_je_Aktie!A$3:AJ$103,16,FALSE),""),"")</f>
        <v>3.2632177373507676</v>
      </c>
      <c r="N18" s="79" t="str">
        <f>IF(VLOOKUP(A18,Buchwert_je_Aktie!A$3:AJ$103,17,FALSE)&lt;&gt;"",IF(VLOOKUP(A18,Schlußkurse!A$5:AU$105,46,FALSE)&gt;0,VLOOKUP(A18,Schlußkurse!A$5:AU$105,46,FALSE)/VLOOKUP(A18,Buchwert_je_Aktie!A$3:AJ$103,17,FALSE),""),"")</f>
        <v/>
      </c>
      <c r="O18" s="80" t="str">
        <f>IF(VLOOKUP(A18,Buchwert_je_Aktie!A$3:AJ$103,18,FALSE)&lt;&gt;"",IF(VLOOKUP(A18,Schlußkurse!A$5:AU$105,47,FALSE)&gt;0,VLOOKUP(A18,Schlußkurse!A$5:AU$105,47,FALSE)/VLOOKUP(A18,Buchwert_je_Aktie!A$3:AJ$103,18,FALSE),""),"")</f>
        <v/>
      </c>
      <c r="P18" s="3">
        <f t="shared" si="0"/>
        <v>2.6844535659312472</v>
      </c>
      <c r="Q18" s="3">
        <f ca="1">VLOOKUP(A18,Schlußkurse!A$5:AU$105,35,FALSE)/VLOOKUP(A18,Buchwert_je_Aktie!A$3:AK$103,23,FALSE)</f>
        <v>2.978946556643788</v>
      </c>
      <c r="R18" s="5">
        <f t="shared" ca="1" si="1"/>
        <v>0.1097031419913499</v>
      </c>
    </row>
    <row r="19" spans="1:18" x14ac:dyDescent="0.25">
      <c r="A19" t="s">
        <v>30</v>
      </c>
      <c r="B19" t="s">
        <v>31</v>
      </c>
      <c r="C19" s="78">
        <f>IF(VLOOKUP(A19,Buchwert_je_Aktie!A$3:AJ$103,6,FALSE)&lt;&gt;"",IF(VLOOKUP(A19,Schlußkurse!A$5:AU$105,35,FALSE)&gt;0,VLOOKUP(A19,Schlußkurse!A$5:AU$105,35,FALSE) /VLOOKUP(A19,Buchwert_je_Aktie!A$3:AJ$103,6,FALSE),""),"")</f>
        <v>8.3067129629629619</v>
      </c>
      <c r="D19" s="79">
        <f>IF(VLOOKUP(A19,Buchwert_je_Aktie!A$3:AJ$103,7,FALSE)&lt;&gt;"",IF(VLOOKUP(A19,Schlußkurse!A$5:AU$105,36,FALSE)&gt;0,VLOOKUP(A19,Schlußkurse!A$5:AU$105,36,FALSE)/VLOOKUP(A19,Buchwert_je_Aktie!A$3:AJ$103,7,FALSE),""),"")</f>
        <v>8.6262019230769216</v>
      </c>
      <c r="E19" s="79">
        <f>IF(VLOOKUP(A19,Buchwert_je_Aktie!A$3:AJ$103,8,FALSE)&lt;&gt;"",IF(VLOOKUP(A19,Schlußkurse!A$5:AU$105,37,FALSE)&gt;0,VLOOKUP(A19,Schlußkurse!A$5:AU$105,37,FALSE)/VLOOKUP(A19,Buchwert_je_Aktie!A$3:AJ$103,8,FALSE),""),"")</f>
        <v>9.2348284960422156</v>
      </c>
      <c r="F19" s="79">
        <f>IF(VLOOKUP(A19,Buchwert_je_Aktie!A$3:AJ$103,9,FALSE)&lt;&gt;"",IF(VLOOKUP(A19,Schlußkurse!A$5:AU$105,38,FALSE)&gt;0,VLOOKUP(A19,Schlußkurse!A$5:AU$105,38,FALSE)/VLOOKUP(A19,Buchwert_je_Aktie!A$3:AJ$103,9,FALSE),""),"")</f>
        <v>11.904411764705882</v>
      </c>
      <c r="G19" s="79">
        <f>IF(VLOOKUP(A19,Buchwert_je_Aktie!A$3:AJ$103,10,FALSE)&lt;&gt;"",IF(VLOOKUP(A19,Schlußkurse!A$5:AU$105,39,FALSE)&gt;0,VLOOKUP(A19,Schlußkurse!A$5:AU$105,39,FALSE)/VLOOKUP(A19,Buchwert_je_Aktie!A$3:AJ$103,10,FALSE),""),"")</f>
        <v>9.5443425076452595</v>
      </c>
      <c r="H19" s="79">
        <f>IF(VLOOKUP(A19,Buchwert_je_Aktie!A$3:AJ$103,11,FALSE)&lt;&gt;"",IF(VLOOKUP(A19,Schlußkurse!A$5:AU$105,40,FALSE)&gt;0,VLOOKUP(A19,Schlußkurse!A$5:AU$105,40,FALSE)/VLOOKUP(A19,Buchwert_je_Aktie!A$3:AJ$103,11,FALSE),""),"")</f>
        <v>8.2804878048780495</v>
      </c>
      <c r="I19" s="79">
        <f>IF(VLOOKUP(A19,Buchwert_je_Aktie!A$3:AJ$103,12,FALSE)&lt;&gt;"",IF(VLOOKUP(A19,Schlußkurse!A$5:AU$105,41,FALSE)&gt;0,VLOOKUP(A19,Schlußkurse!A$5:AU$105,41,FALSE)/VLOOKUP(A19,Buchwert_je_Aktie!A$3:AJ$103,12,FALSE),""),"")</f>
        <v>6.112903225806452</v>
      </c>
      <c r="J19" s="79">
        <f>IF(VLOOKUP(A19,Buchwert_je_Aktie!A$3:AJ$103,13,FALSE)&lt;&gt;"",IF(VLOOKUP(A19,Schlußkurse!A$5:AU$105,42,FALSE)&gt;0,VLOOKUP(A19,Schlußkurse!A$5:AU$105,42,FALSE)/VLOOKUP(A19,Buchwert_je_Aktie!A$3:AJ$103,13,FALSE),""),"")</f>
        <v>4.4416299559471364</v>
      </c>
      <c r="K19" s="79">
        <f>IF(VLOOKUP(A19,Buchwert_je_Aktie!A$3:AJ$103,14,FALSE)&lt;&gt;"",IF(VLOOKUP(A19,Schlußkurse!A$5:AU$105,43,FALSE)&gt;0,VLOOKUP(A19,Schlußkurse!A$5:AU$105,43,FALSE)/VLOOKUP(A19,Buchwert_je_Aktie!A$3:AJ$103,14,FALSE),""),"")</f>
        <v>4.7872340425531918</v>
      </c>
      <c r="L19" s="79">
        <f>IF(VLOOKUP(A19,Buchwert_je_Aktie!A$3:AJ$103,15,FALSE)&lt;&gt;"",IF(VLOOKUP(A19,Schlußkurse!A$5:AU$105,44,FALSE)&gt;0,VLOOKUP(A19,Schlußkurse!A$5:AU$105,44,FALSE)/VLOOKUP(A19,Buchwert_je_Aktie!A$3:AJ$103,15,FALSE),""),"")</f>
        <v>5.7288629737609327</v>
      </c>
      <c r="M19" s="79">
        <f>IF(VLOOKUP(A19,Buchwert_je_Aktie!A$3:AJ$103,16,FALSE)&lt;&gt;"",IF(VLOOKUP(A19,Schlußkurse!A$5:AU$105,45,FALSE)&gt;0,VLOOKUP(A19,Schlußkurse!A$5:AU$105,45,FALSE)/VLOOKUP(A19,Buchwert_je_Aktie!A$3:AJ$103,16,FALSE),""),"")</f>
        <v>4.2153392330383479</v>
      </c>
      <c r="N19" s="79" t="str">
        <f>IF(VLOOKUP(A19,Buchwert_je_Aktie!A$3:AJ$103,17,FALSE)&lt;&gt;"",IF(VLOOKUP(A19,Schlußkurse!A$5:AU$105,46,FALSE)&gt;0,VLOOKUP(A19,Schlußkurse!A$5:AU$105,46,FALSE)/VLOOKUP(A19,Buchwert_je_Aktie!A$3:AJ$103,17,FALSE),""),"")</f>
        <v/>
      </c>
      <c r="O19" s="80" t="str">
        <f>IF(VLOOKUP(A19,Buchwert_je_Aktie!A$3:AJ$103,18,FALSE)&lt;&gt;"",IF(VLOOKUP(A19,Schlußkurse!A$5:AU$105,47,FALSE)&gt;0,VLOOKUP(A19,Schlußkurse!A$5:AU$105,47,FALSE)/VLOOKUP(A19,Buchwert_je_Aktie!A$3:AJ$103,18,FALSE),""),"")</f>
        <v/>
      </c>
      <c r="P19" s="3">
        <f t="shared" si="0"/>
        <v>8.2804878048780495</v>
      </c>
      <c r="Q19" s="3">
        <f ca="1">VLOOKUP(A19,Schlußkurse!A$5:AU$105,35,FALSE)/VLOOKUP(A19,Buchwert_je_Aktie!A$3:AK$103,23,FALSE)</f>
        <v>9.1651176979723878</v>
      </c>
      <c r="R19" s="5">
        <f t="shared" ca="1" si="1"/>
        <v>0.10683306514541346</v>
      </c>
    </row>
    <row r="20" spans="1:18" x14ac:dyDescent="0.25">
      <c r="A20" t="s">
        <v>32</v>
      </c>
      <c r="B20" t="s">
        <v>33</v>
      </c>
      <c r="C20" s="78">
        <f>IF(VLOOKUP(A20,Buchwert_je_Aktie!A$3:AJ$103,6,FALSE)&lt;&gt;"",IF(VLOOKUP(A20,Schlußkurse!A$5:AU$105,35,FALSE)&gt;0,VLOOKUP(A20,Schlußkurse!A$5:AU$105,35,FALSE) /VLOOKUP(A20,Buchwert_je_Aktie!A$3:AJ$103,6,FALSE),""),"")</f>
        <v>5.4037478705281083</v>
      </c>
      <c r="D20" s="79">
        <f>IF(VLOOKUP(A20,Buchwert_je_Aktie!A$3:AJ$103,7,FALSE)&lt;&gt;"",IF(VLOOKUP(A20,Schlußkurse!A$5:AU$105,36,FALSE)&gt;0,VLOOKUP(A20,Schlußkurse!A$5:AU$105,36,FALSE)/VLOOKUP(A20,Buchwert_je_Aktie!A$3:AJ$103,7,FALSE),""),"")</f>
        <v>5.6141592920353975</v>
      </c>
      <c r="E20" s="79">
        <f>IF(VLOOKUP(A20,Buchwert_je_Aktie!A$3:AJ$103,8,FALSE)&lt;&gt;"",IF(VLOOKUP(A20,Schlußkurse!A$5:AU$105,37,FALSE)&gt;0,VLOOKUP(A20,Schlußkurse!A$5:AU$105,37,FALSE)/VLOOKUP(A20,Buchwert_je_Aktie!A$3:AJ$103,8,FALSE),""),"")</f>
        <v>4.9333333333333327</v>
      </c>
      <c r="F20" s="79">
        <f>IF(VLOOKUP(A20,Buchwert_je_Aktie!A$3:AJ$103,9,FALSE)&lt;&gt;"",IF(VLOOKUP(A20,Schlußkurse!A$5:AU$105,38,FALSE)&gt;0,VLOOKUP(A20,Schlußkurse!A$5:AU$105,38,FALSE)/VLOOKUP(A20,Buchwert_je_Aktie!A$3:AJ$103,9,FALSE),""),"")</f>
        <v>4.6768916155419227</v>
      </c>
      <c r="G20" s="79">
        <f>IF(VLOOKUP(A20,Buchwert_je_Aktie!A$3:AJ$103,10,FALSE)&lt;&gt;"",IF(VLOOKUP(A20,Schlußkurse!A$5:AU$105,39,FALSE)&gt;0,VLOOKUP(A20,Schlußkurse!A$5:AU$105,39,FALSE)/VLOOKUP(A20,Buchwert_je_Aktie!A$3:AJ$103,10,FALSE),""),"")</f>
        <v>4.3740458015267176</v>
      </c>
      <c r="H20" s="79">
        <f>IF(VLOOKUP(A20,Buchwert_je_Aktie!A$3:AJ$103,11,FALSE)&lt;&gt;"",IF(VLOOKUP(A20,Schlußkurse!A$5:AU$105,40,FALSE)&gt;0,VLOOKUP(A20,Schlußkurse!A$5:AU$105,40,FALSE)/VLOOKUP(A20,Buchwert_je_Aktie!A$3:AJ$103,11,FALSE),""),"")</f>
        <v>3.8477876106194686</v>
      </c>
      <c r="I20" s="79">
        <f>IF(VLOOKUP(A20,Buchwert_je_Aktie!A$3:AJ$103,12,FALSE)&lt;&gt;"",IF(VLOOKUP(A20,Schlußkurse!A$5:AU$105,41,FALSE)&gt;0,VLOOKUP(A20,Schlußkurse!A$5:AU$105,41,FALSE)/VLOOKUP(A20,Buchwert_je_Aktie!A$3:AJ$103,12,FALSE),""),"")</f>
        <v>2.6457461645746165</v>
      </c>
      <c r="J20" s="79">
        <f>IF(VLOOKUP(A20,Buchwert_je_Aktie!A$3:AJ$103,13,FALSE)&lt;&gt;"",IF(VLOOKUP(A20,Schlußkurse!A$5:AU$105,42,FALSE)&gt;0,VLOOKUP(A20,Schlußkurse!A$5:AU$105,42,FALSE)/VLOOKUP(A20,Buchwert_je_Aktie!A$3:AJ$103,13,FALSE),""),"")</f>
        <v>2.7477203647416411</v>
      </c>
      <c r="K20" s="79">
        <f>IF(VLOOKUP(A20,Buchwert_je_Aktie!A$3:AJ$103,14,FALSE)&lt;&gt;"",IF(VLOOKUP(A20,Schlußkurse!A$5:AU$105,43,FALSE)&gt;0,VLOOKUP(A20,Schlußkurse!A$5:AU$105,43,FALSE)/VLOOKUP(A20,Buchwert_je_Aktie!A$3:AJ$103,14,FALSE),""),"")</f>
        <v>2.9362745098039214</v>
      </c>
      <c r="L20" s="79">
        <f>IF(VLOOKUP(A20,Buchwert_je_Aktie!A$3:AJ$103,15,FALSE)&lt;&gt;"",IF(VLOOKUP(A20,Schlußkurse!A$5:AU$105,44,FALSE)&gt;0,VLOOKUP(A20,Schlußkurse!A$5:AU$105,44,FALSE)/VLOOKUP(A20,Buchwert_je_Aktie!A$3:AJ$103,15,FALSE),""),"")</f>
        <v>3.7918781725888326</v>
      </c>
      <c r="M20" s="79" t="str">
        <f>IF(VLOOKUP(A20,Buchwert_je_Aktie!A$3:AJ$103,16,FALSE)&lt;&gt;"",IF(VLOOKUP(A20,Schlußkurse!A$5:AU$105,45,FALSE)&gt;0,VLOOKUP(A20,Schlußkurse!A$5:AU$105,45,FALSE)/VLOOKUP(A20,Buchwert_je_Aktie!A$3:AJ$103,16,FALSE),""),"")</f>
        <v/>
      </c>
      <c r="N20" s="79" t="str">
        <f>IF(VLOOKUP(A20,Buchwert_je_Aktie!A$3:AJ$103,17,FALSE)&lt;&gt;"",IF(VLOOKUP(A20,Schlußkurse!A$5:AU$105,46,FALSE)&gt;0,VLOOKUP(A20,Schlußkurse!A$5:AU$105,46,FALSE)/VLOOKUP(A20,Buchwert_je_Aktie!A$3:AJ$103,17,FALSE),""),"")</f>
        <v/>
      </c>
      <c r="O20" s="80" t="str">
        <f>IF(VLOOKUP(A20,Buchwert_je_Aktie!A$3:AJ$103,18,FALSE)&lt;&gt;"",IF(VLOOKUP(A20,Schlußkurse!A$5:AU$105,47,FALSE)&gt;0,VLOOKUP(A20,Schlußkurse!A$5:AU$105,47,FALSE)/VLOOKUP(A20,Buchwert_je_Aktie!A$3:AJ$103,18,FALSE),""),"")</f>
        <v/>
      </c>
      <c r="P20" s="3">
        <f t="shared" si="0"/>
        <v>4.1109167060730929</v>
      </c>
      <c r="Q20" s="3">
        <f ca="1">VLOOKUP(A20,Schlußkurse!A$5:AU$105,35,FALSE)/VLOOKUP(A20,Buchwert_je_Aktie!A$3:AK$103,23,FALSE)</f>
        <v>5.7174615095756653</v>
      </c>
      <c r="R20" s="5">
        <f t="shared" ca="1" si="1"/>
        <v>0.39079964844075032</v>
      </c>
    </row>
    <row r="21" spans="1:18" x14ac:dyDescent="0.25">
      <c r="A21" t="s">
        <v>34</v>
      </c>
      <c r="B21" t="s">
        <v>35</v>
      </c>
      <c r="C21" s="78">
        <f>IF(VLOOKUP(A21,Buchwert_je_Aktie!A$3:AJ$103,6,FALSE)&lt;&gt;"",IF(VLOOKUP(A21,Schlußkurse!A$5:AU$105,35,FALSE)&gt;0,VLOOKUP(A21,Schlußkurse!A$5:AU$105,35,FALSE) /VLOOKUP(A21,Buchwert_je_Aktie!A$3:AJ$103,6,FALSE),""),"")</f>
        <v>0.86943396226415104</v>
      </c>
      <c r="D21" s="79">
        <f>IF(VLOOKUP(A21,Buchwert_je_Aktie!A$3:AJ$103,7,FALSE)&lt;&gt;"",IF(VLOOKUP(A21,Schlußkurse!A$5:AU$105,36,FALSE)&gt;0,VLOOKUP(A21,Schlußkurse!A$5:AU$105,36,FALSE)/VLOOKUP(A21,Buchwert_je_Aktie!A$3:AJ$103,7,FALSE),""),"")</f>
        <v>0.87828685258964134</v>
      </c>
      <c r="E21" s="79">
        <f>IF(VLOOKUP(A21,Buchwert_je_Aktie!A$3:AJ$103,8,FALSE)&lt;&gt;"",IF(VLOOKUP(A21,Schlußkurse!A$5:AU$105,37,FALSE)&gt;0,VLOOKUP(A21,Schlußkurse!A$5:AU$105,37,FALSE)/VLOOKUP(A21,Buchwert_je_Aktie!A$3:AJ$103,8,FALSE),""),"")</f>
        <v>0.891902834008097</v>
      </c>
      <c r="F21" s="79">
        <f>IF(VLOOKUP(A21,Buchwert_je_Aktie!A$3:AJ$103,9,FALSE)&lt;&gt;"",IF(VLOOKUP(A21,Schlußkurse!A$5:AU$105,38,FALSE)&gt;0,VLOOKUP(A21,Schlußkurse!A$5:AU$105,38,FALSE)/VLOOKUP(A21,Buchwert_je_Aktie!A$3:AJ$103,9,FALSE),""),"")</f>
        <v>0.75853658536585367</v>
      </c>
      <c r="G21" s="79" t="str">
        <f>IF(VLOOKUP(A21,Buchwert_je_Aktie!A$3:AJ$103,10,FALSE)&lt;&gt;"",IF(VLOOKUP(A21,Schlußkurse!A$5:AU$105,39,FALSE)&gt;0,VLOOKUP(A21,Schlußkurse!A$5:AU$105,39,FALSE)/VLOOKUP(A21,Buchwert_je_Aktie!A$3:AJ$103,10,FALSE),""),"")</f>
        <v/>
      </c>
      <c r="H21" s="79" t="str">
        <f>IF(VLOOKUP(A21,Buchwert_je_Aktie!A$3:AJ$103,11,FALSE)&lt;&gt;"",IF(VLOOKUP(A21,Schlußkurse!A$5:AU$105,40,FALSE)&gt;0,VLOOKUP(A21,Schlußkurse!A$5:AU$105,40,FALSE)/VLOOKUP(A21,Buchwert_je_Aktie!A$3:AJ$103,11,FALSE),""),"")</f>
        <v/>
      </c>
      <c r="I21" s="79" t="str">
        <f>IF(VLOOKUP(A21,Buchwert_je_Aktie!A$3:AJ$103,12,FALSE)&lt;&gt;"",IF(VLOOKUP(A21,Schlußkurse!A$5:AU$105,41,FALSE)&gt;0,VLOOKUP(A21,Schlußkurse!A$5:AU$105,41,FALSE)/VLOOKUP(A21,Buchwert_je_Aktie!A$3:AJ$103,12,FALSE),""),"")</f>
        <v/>
      </c>
      <c r="J21" s="79" t="str">
        <f>IF(VLOOKUP(A21,Buchwert_je_Aktie!A$3:AJ$103,13,FALSE)&lt;&gt;"",IF(VLOOKUP(A21,Schlußkurse!A$5:AU$105,42,FALSE)&gt;0,VLOOKUP(A21,Schlußkurse!A$5:AU$105,42,FALSE)/VLOOKUP(A21,Buchwert_je_Aktie!A$3:AJ$103,13,FALSE),""),"")</f>
        <v/>
      </c>
      <c r="K21" s="79" t="str">
        <f>IF(VLOOKUP(A21,Buchwert_je_Aktie!A$3:AJ$103,14,FALSE)&lt;&gt;"",IF(VLOOKUP(A21,Schlußkurse!A$5:AU$105,43,FALSE)&gt;0,VLOOKUP(A21,Schlußkurse!A$5:AU$105,43,FALSE)/VLOOKUP(A21,Buchwert_je_Aktie!A$3:AJ$103,14,FALSE),""),"")</f>
        <v/>
      </c>
      <c r="L21" s="79" t="str">
        <f>IF(VLOOKUP(A21,Buchwert_je_Aktie!A$3:AJ$103,15,FALSE)&lt;&gt;"",IF(VLOOKUP(A21,Schlußkurse!A$5:AU$105,44,FALSE)&gt;0,VLOOKUP(A21,Schlußkurse!A$5:AU$105,44,FALSE)/VLOOKUP(A21,Buchwert_je_Aktie!A$3:AJ$103,15,FALSE),""),"")</f>
        <v/>
      </c>
      <c r="M21" s="79" t="str">
        <f>IF(VLOOKUP(A21,Buchwert_je_Aktie!A$3:AJ$103,16,FALSE)&lt;&gt;"",IF(VLOOKUP(A21,Schlußkurse!A$5:AU$105,45,FALSE)&gt;0,VLOOKUP(A21,Schlußkurse!A$5:AU$105,45,FALSE)/VLOOKUP(A21,Buchwert_je_Aktie!A$3:AJ$103,16,FALSE),""),"")</f>
        <v/>
      </c>
      <c r="N21" s="79" t="str">
        <f>IF(VLOOKUP(A21,Buchwert_je_Aktie!A$3:AJ$103,17,FALSE)&lt;&gt;"",IF(VLOOKUP(A21,Schlußkurse!A$5:AU$105,46,FALSE)&gt;0,VLOOKUP(A21,Schlußkurse!A$5:AU$105,46,FALSE)/VLOOKUP(A21,Buchwert_je_Aktie!A$3:AJ$103,17,FALSE),""),"")</f>
        <v/>
      </c>
      <c r="O21" s="80" t="str">
        <f>IF(VLOOKUP(A21,Buchwert_je_Aktie!A$3:AJ$103,18,FALSE)&lt;&gt;"",IF(VLOOKUP(A21,Schlußkurse!A$5:AU$105,47,FALSE)&gt;0,VLOOKUP(A21,Schlußkurse!A$5:AU$105,47,FALSE)/VLOOKUP(A21,Buchwert_je_Aktie!A$3:AJ$103,18,FALSE),""),"")</f>
        <v/>
      </c>
      <c r="P21" s="3">
        <f t="shared" si="0"/>
        <v>0.87386040742689619</v>
      </c>
      <c r="Q21" s="3">
        <f ca="1">VLOOKUP(A21,Schlußkurse!A$5:AU$105,35,FALSE)/VLOOKUP(A21,Buchwert_je_Aktie!A$3:AK$103,23,FALSE)</f>
        <v>0.91339970046691932</v>
      </c>
      <c r="R21" s="5">
        <f t="shared" ca="1" si="1"/>
        <v>4.5246692382422404E-2</v>
      </c>
    </row>
    <row r="22" spans="1:18" x14ac:dyDescent="0.25">
      <c r="A22" t="s">
        <v>36</v>
      </c>
      <c r="B22" t="s">
        <v>37</v>
      </c>
      <c r="C22" s="78">
        <f>IF(VLOOKUP(A22,Buchwert_je_Aktie!A$3:AJ$103,6,FALSE)&lt;&gt;"",IF(VLOOKUP(A22,Schlußkurse!A$5:AU$105,35,FALSE)&gt;0,VLOOKUP(A22,Schlußkurse!A$5:AU$105,35,FALSE) /VLOOKUP(A22,Buchwert_je_Aktie!A$3:AJ$103,6,FALSE),""),"")</f>
        <v>5.8308494783904621</v>
      </c>
      <c r="D22" s="79">
        <f>IF(VLOOKUP(A22,Buchwert_je_Aktie!A$3:AJ$103,7,FALSE)&lt;&gt;"",IF(VLOOKUP(A22,Schlußkurse!A$5:AU$105,36,FALSE)&gt;0,VLOOKUP(A22,Schlußkurse!A$5:AU$105,36,FALSE)/VLOOKUP(A22,Buchwert_je_Aktie!A$3:AJ$103,7,FALSE),""),"")</f>
        <v>6.4456342668863256</v>
      </c>
      <c r="E22" s="79">
        <f>IF(VLOOKUP(A22,Buchwert_je_Aktie!A$3:AJ$103,8,FALSE)&lt;&gt;"",IF(VLOOKUP(A22,Schlußkurse!A$5:AU$105,37,FALSE)&gt;0,VLOOKUP(A22,Schlußkurse!A$5:AU$105,37,FALSE)/VLOOKUP(A22,Buchwert_je_Aktie!A$3:AJ$103,8,FALSE),""),"")</f>
        <v>6</v>
      </c>
      <c r="F22" s="79">
        <f>IF(VLOOKUP(A22,Buchwert_je_Aktie!A$3:AJ$103,9,FALSE)&lt;&gt;"",IF(VLOOKUP(A22,Schlußkurse!A$5:AU$105,38,FALSE)&gt;0,VLOOKUP(A22,Schlußkurse!A$5:AU$105,38,FALSE)/VLOOKUP(A22,Buchwert_je_Aktie!A$3:AJ$103,9,FALSE),""),"")</f>
        <v>6.4340659340659343</v>
      </c>
      <c r="G22" s="79">
        <f>IF(VLOOKUP(A22,Buchwert_je_Aktie!A$3:AJ$103,10,FALSE)&lt;&gt;"",IF(VLOOKUP(A22,Schlußkurse!A$5:AU$105,39,FALSE)&gt;0,VLOOKUP(A22,Schlußkurse!A$5:AU$105,39,FALSE)/VLOOKUP(A22,Buchwert_je_Aktie!A$3:AJ$103,10,FALSE),""),"")</f>
        <v>6.0324267782426775</v>
      </c>
      <c r="H22" s="79">
        <f>IF(VLOOKUP(A22,Buchwert_je_Aktie!A$3:AJ$103,11,FALSE)&lt;&gt;"",IF(VLOOKUP(A22,Schlußkurse!A$5:AU$105,40,FALSE)&gt;0,VLOOKUP(A22,Schlußkurse!A$5:AU$105,40,FALSE)/VLOOKUP(A22,Buchwert_je_Aktie!A$3:AJ$103,11,FALSE),""),"")</f>
        <v>5.2613861386138616</v>
      </c>
      <c r="I22" s="79">
        <f>IF(VLOOKUP(A22,Buchwert_je_Aktie!A$3:AJ$103,12,FALSE)&lt;&gt;"",IF(VLOOKUP(A22,Schlußkurse!A$5:AU$105,41,FALSE)&gt;0,VLOOKUP(A22,Schlußkurse!A$5:AU$105,41,FALSE)/VLOOKUP(A22,Buchwert_je_Aktie!A$3:AJ$103,12,FALSE),""),"")</f>
        <v>4.8949579831932777</v>
      </c>
      <c r="J22" s="79">
        <f>IF(VLOOKUP(A22,Buchwert_je_Aktie!A$3:AJ$103,13,FALSE)&lt;&gt;"",IF(VLOOKUP(A22,Schlußkurse!A$5:AU$105,42,FALSE)&gt;0,VLOOKUP(A22,Schlußkurse!A$5:AU$105,42,FALSE)/VLOOKUP(A22,Buchwert_je_Aktie!A$3:AJ$103,13,FALSE),""),"")</f>
        <v>4.7101449275362315</v>
      </c>
      <c r="K22" s="79">
        <f>IF(VLOOKUP(A22,Buchwert_je_Aktie!A$3:AJ$103,14,FALSE)&lt;&gt;"",IF(VLOOKUP(A22,Schlußkurse!A$5:AU$105,43,FALSE)&gt;0,VLOOKUP(A22,Schlußkurse!A$5:AU$105,43,FALSE)/VLOOKUP(A22,Buchwert_je_Aktie!A$3:AJ$103,14,FALSE),""),"")</f>
        <v>4.3134328358208958</v>
      </c>
      <c r="L22" s="79">
        <f>IF(VLOOKUP(A22,Buchwert_je_Aktie!A$3:AJ$103,15,FALSE)&lt;&gt;"",IF(VLOOKUP(A22,Schlußkurse!A$5:AU$105,44,FALSE)&gt;0,VLOOKUP(A22,Schlußkurse!A$5:AU$105,44,FALSE)/VLOOKUP(A22,Buchwert_je_Aktie!A$3:AJ$103,15,FALSE),""),"")</f>
        <v>7.5753012048192767</v>
      </c>
      <c r="M22" s="79">
        <f>IF(VLOOKUP(A22,Buchwert_je_Aktie!A$3:AJ$103,16,FALSE)&lt;&gt;"",IF(VLOOKUP(A22,Schlußkurse!A$5:AU$105,45,FALSE)&gt;0,VLOOKUP(A22,Schlußkurse!A$5:AU$105,45,FALSE)/VLOOKUP(A22,Buchwert_je_Aktie!A$3:AJ$103,16,FALSE),""),"")</f>
        <v>5.0121065375302667</v>
      </c>
      <c r="N22" s="79">
        <f>IF(VLOOKUP(A22,Buchwert_je_Aktie!A$3:AJ$103,17,FALSE)&lt;&gt;"",IF(VLOOKUP(A22,Schlußkurse!A$5:AU$105,46,FALSE)&gt;0,VLOOKUP(A22,Schlußkurse!A$5:AU$105,46,FALSE)/VLOOKUP(A22,Buchwert_je_Aktie!A$3:AJ$103,17,FALSE),""),"")</f>
        <v>5.1558823529411768</v>
      </c>
      <c r="O22" s="80">
        <f>IF(VLOOKUP(A22,Buchwert_je_Aktie!A$3:AJ$103,18,FALSE)&lt;&gt;"",IF(VLOOKUP(A22,Schlußkurse!A$5:AU$105,47,FALSE)&gt;0,VLOOKUP(A22,Schlußkurse!A$5:AU$105,47,FALSE)/VLOOKUP(A22,Buchwert_je_Aktie!A$3:AJ$103,18,FALSE),""),"")</f>
        <v>5.8935483870967742</v>
      </c>
      <c r="P22" s="3">
        <f t="shared" si="0"/>
        <v>5.8308494783904621</v>
      </c>
      <c r="Q22" s="3">
        <f ca="1">VLOOKUP(A22,Schlußkurse!A$5:AU$105,35,FALSE)/VLOOKUP(A22,Buchwert_je_Aktie!A$3:AK$103,23,FALSE)</f>
        <v>6.9204917307862388</v>
      </c>
      <c r="R22" s="5">
        <f t="shared" ca="1" si="1"/>
        <v>0.1868753869284514</v>
      </c>
    </row>
    <row r="23" spans="1:18" x14ac:dyDescent="0.25">
      <c r="A23" t="s">
        <v>38</v>
      </c>
      <c r="B23" t="s">
        <v>39</v>
      </c>
      <c r="C23" s="78">
        <f>IF(VLOOKUP(A23,Buchwert_je_Aktie!A$3:AJ$103,6,FALSE)&lt;&gt;"",IF(VLOOKUP(A23,Schlußkurse!A$5:AU$105,35,FALSE)&gt;0,VLOOKUP(A23,Schlußkurse!A$5:AU$105,35,FALSE) /VLOOKUP(A23,Buchwert_je_Aktie!A$3:AJ$103,6,FALSE),""),"")</f>
        <v>1.9098901098901098</v>
      </c>
      <c r="D23" s="79">
        <f>IF(VLOOKUP(A23,Buchwert_je_Aktie!A$3:AJ$103,7,FALSE)&lt;&gt;"",IF(VLOOKUP(A23,Schlußkurse!A$5:AU$105,36,FALSE)&gt;0,VLOOKUP(A23,Schlußkurse!A$5:AU$105,36,FALSE)/VLOOKUP(A23,Buchwert_je_Aktie!A$3:AJ$103,7,FALSE),""),"")</f>
        <v>1.9749999999999996</v>
      </c>
      <c r="E23" s="79">
        <f>IF(VLOOKUP(A23,Buchwert_je_Aktie!A$3:AJ$103,8,FALSE)&lt;&gt;"",IF(VLOOKUP(A23,Schlußkurse!A$5:AU$105,37,FALSE)&gt;0,VLOOKUP(A23,Schlußkurse!A$5:AU$105,37,FALSE)/VLOOKUP(A23,Buchwert_je_Aktie!A$3:AJ$103,8,FALSE),""),"")</f>
        <v>1.9875739644970418</v>
      </c>
      <c r="F23" s="79">
        <f>IF(VLOOKUP(A23,Buchwert_je_Aktie!A$3:AJ$103,9,FALSE)&lt;&gt;"",IF(VLOOKUP(A23,Schlußkurse!A$5:AU$105,38,FALSE)&gt;0,VLOOKUP(A23,Schlußkurse!A$5:AU$105,38,FALSE)/VLOOKUP(A23,Buchwert_je_Aktie!A$3:AJ$103,9,FALSE),""),"")</f>
        <v>2.0978520286396178</v>
      </c>
      <c r="G23" s="79">
        <f>IF(VLOOKUP(A23,Buchwert_je_Aktie!A$3:AJ$103,10,FALSE)&lt;&gt;"",IF(VLOOKUP(A23,Schlußkurse!A$5:AU$105,39,FALSE)&gt;0,VLOOKUP(A23,Schlußkurse!A$5:AU$105,39,FALSE)/VLOOKUP(A23,Buchwert_je_Aktie!A$3:AJ$103,10,FALSE),""),"")</f>
        <v>1.9262857142857144</v>
      </c>
      <c r="H23" s="79">
        <f>IF(VLOOKUP(A23,Buchwert_je_Aktie!A$3:AJ$103,11,FALSE)&lt;&gt;"",IF(VLOOKUP(A23,Schlußkurse!A$5:AU$105,40,FALSE)&gt;0,VLOOKUP(A23,Schlußkurse!A$5:AU$105,40,FALSE)/VLOOKUP(A23,Buchwert_je_Aktie!A$3:AJ$103,11,FALSE),""),"")</f>
        <v>1.8205900060204696</v>
      </c>
      <c r="I23" s="79">
        <f>IF(VLOOKUP(A23,Buchwert_je_Aktie!A$3:AJ$103,12,FALSE)&lt;&gt;"",IF(VLOOKUP(A23,Schlußkurse!A$5:AU$105,41,FALSE)&gt;0,VLOOKUP(A23,Schlußkurse!A$5:AU$105,41,FALSE)/VLOOKUP(A23,Buchwert_je_Aktie!A$3:AJ$103,12,FALSE),""),"")</f>
        <v>1.6459383753501398</v>
      </c>
      <c r="J23" s="79">
        <f>IF(VLOOKUP(A23,Buchwert_je_Aktie!A$3:AJ$103,13,FALSE)&lt;&gt;"",IF(VLOOKUP(A23,Schlußkurse!A$5:AU$105,42,FALSE)&gt;0,VLOOKUP(A23,Schlußkurse!A$5:AU$105,42,FALSE)/VLOOKUP(A23,Buchwert_je_Aktie!A$3:AJ$103,13,FALSE),""),"")</f>
        <v>1.4799366420274551</v>
      </c>
      <c r="K23" s="79">
        <f>IF(VLOOKUP(A23,Buchwert_je_Aktie!A$3:AJ$103,14,FALSE)&lt;&gt;"",IF(VLOOKUP(A23,Schlußkurse!A$5:AU$105,43,FALSE)&gt;0,VLOOKUP(A23,Schlußkurse!A$5:AU$105,43,FALSE)/VLOOKUP(A23,Buchwert_je_Aktie!A$3:AJ$103,14,FALSE),""),"")</f>
        <v>1.6435986159169551</v>
      </c>
      <c r="L23" s="79">
        <f>IF(VLOOKUP(A23,Buchwert_je_Aktie!A$3:AJ$103,15,FALSE)&lt;&gt;"",IF(VLOOKUP(A23,Schlußkurse!A$5:AU$105,44,FALSE)&gt;0,VLOOKUP(A23,Schlußkurse!A$5:AU$105,44,FALSE)/VLOOKUP(A23,Buchwert_je_Aktie!A$3:AJ$103,15,FALSE),""),"")</f>
        <v>2.5418960244648319</v>
      </c>
      <c r="M23" s="79">
        <f>IF(VLOOKUP(A23,Buchwert_je_Aktie!A$3:AJ$103,16,FALSE)&lt;&gt;"",IF(VLOOKUP(A23,Schlußkurse!A$5:AU$105,45,FALSE)&gt;0,VLOOKUP(A23,Schlußkurse!A$5:AU$105,45,FALSE)/VLOOKUP(A23,Buchwert_je_Aktie!A$3:AJ$103,16,FALSE),""),"")</f>
        <v>1.8727082242011523</v>
      </c>
      <c r="N23" s="79">
        <f>IF(VLOOKUP(A23,Buchwert_je_Aktie!A$3:AJ$103,17,FALSE)&lt;&gt;"",IF(VLOOKUP(A23,Schlußkurse!A$5:AU$105,46,FALSE)&gt;0,VLOOKUP(A23,Schlußkurse!A$5:AU$105,46,FALSE)/VLOOKUP(A23,Buchwert_je_Aktie!A$3:AJ$103,17,FALSE),""),"")</f>
        <v>1.3223542116630669</v>
      </c>
      <c r="O23" s="80" t="str">
        <f>IF(VLOOKUP(A23,Buchwert_je_Aktie!A$3:AJ$103,18,FALSE)&lt;&gt;"",IF(VLOOKUP(A23,Schlußkurse!A$5:AU$105,47,FALSE)&gt;0,VLOOKUP(A23,Schlußkurse!A$5:AU$105,47,FALSE)/VLOOKUP(A23,Buchwert_je_Aktie!A$3:AJ$103,18,FALSE),""),"")</f>
        <v/>
      </c>
      <c r="P23" s="3">
        <f t="shared" si="0"/>
        <v>1.8912991670456312</v>
      </c>
      <c r="Q23" s="3">
        <f ca="1">VLOOKUP(A23,Schlußkurse!A$5:AU$105,35,FALSE)/VLOOKUP(A23,Buchwert_je_Aktie!A$3:AK$103,23,FALSE)</f>
        <v>2.028333387363439</v>
      </c>
      <c r="R23" s="5">
        <f t="shared" ca="1" si="1"/>
        <v>7.2455073584083873E-2</v>
      </c>
    </row>
    <row r="24" spans="1:18" x14ac:dyDescent="0.25">
      <c r="A24" t="s">
        <v>95</v>
      </c>
      <c r="B24" t="s">
        <v>199</v>
      </c>
      <c r="C24" s="78">
        <f>IF(VLOOKUP(A24,Buchwert_je_Aktie!A$3:AJ$103,6,FALSE)&lt;&gt;"",IF(VLOOKUP(A24,Schlußkurse!A$5:AU$105,35,FALSE)&gt;0,VLOOKUP(A24,Schlußkurse!A$5:AU$105,35,FALSE) /VLOOKUP(A24,Buchwert_je_Aktie!A$3:AJ$103,6,FALSE),""),"")</f>
        <v>1.929842105263158</v>
      </c>
      <c r="D24" s="79">
        <f>IF(VLOOKUP(A24,Buchwert_je_Aktie!A$3:AJ$103,7,FALSE)&lt;&gt;"",IF(VLOOKUP(A24,Schlußkurse!A$5:AU$105,36,FALSE)&gt;0,VLOOKUP(A24,Schlußkurse!A$5:AU$105,36,FALSE)/VLOOKUP(A24,Buchwert_je_Aktie!A$3:AJ$103,7,FALSE),""),"")</f>
        <v>2.0370555555555558</v>
      </c>
      <c r="E24" s="79">
        <f>IF(VLOOKUP(A24,Buchwert_je_Aktie!A$3:AJ$103,8,FALSE)&lt;&gt;"",IF(VLOOKUP(A24,Schlußkurse!A$5:AU$105,37,FALSE)&gt;0,VLOOKUP(A24,Schlußkurse!A$5:AU$105,37,FALSE)/VLOOKUP(A24,Buchwert_je_Aktie!A$3:AJ$103,8,FALSE),""),"")</f>
        <v>2.1032941176470588</v>
      </c>
      <c r="F24" s="79">
        <f>IF(VLOOKUP(A24,Buchwert_je_Aktie!A$3:AJ$103,9,FALSE)&lt;&gt;"",IF(VLOOKUP(A24,Schlußkurse!A$5:AU$105,38,FALSE)&gt;0,VLOOKUP(A24,Schlußkurse!A$5:AU$105,38,FALSE)/VLOOKUP(A24,Buchwert_je_Aktie!A$3:AJ$103,9,FALSE),""),"")</f>
        <v>1.8974159122249539</v>
      </c>
      <c r="G24" s="79">
        <f>IF(VLOOKUP(A24,Buchwert_je_Aktie!A$3:AJ$103,10,FALSE)&lt;&gt;"",IF(VLOOKUP(A24,Schlußkurse!A$5:AU$105,39,FALSE)&gt;0,VLOOKUP(A24,Schlußkurse!A$5:AU$105,39,FALSE)/VLOOKUP(A24,Buchwert_je_Aktie!A$3:AJ$103,10,FALSE),""),"")</f>
        <v>1.3014543851917144</v>
      </c>
      <c r="H24" s="79">
        <f>IF(VLOOKUP(A24,Buchwert_je_Aktie!A$3:AJ$103,11,FALSE)&lt;&gt;"",IF(VLOOKUP(A24,Schlußkurse!A$5:AU$105,40,FALSE)&gt;0,VLOOKUP(A24,Schlußkurse!A$5:AU$105,40,FALSE)/VLOOKUP(A24,Buchwert_je_Aktie!A$3:AJ$103,11,FALSE),""),"")</f>
        <v>1.2089805331343688</v>
      </c>
      <c r="I24" s="79">
        <f>IF(VLOOKUP(A24,Buchwert_je_Aktie!A$3:AJ$103,12,FALSE)&lt;&gt;"",IF(VLOOKUP(A24,Schlußkurse!A$5:AU$105,41,FALSE)&gt;0,VLOOKUP(A24,Schlußkurse!A$5:AU$105,41,FALSE)/VLOOKUP(A24,Buchwert_je_Aktie!A$3:AJ$103,12,FALSE),""),"")</f>
        <v>1.3566343963553533</v>
      </c>
      <c r="J24" s="79">
        <f>IF(VLOOKUP(A24,Buchwert_je_Aktie!A$3:AJ$103,13,FALSE)&lt;&gt;"",IF(VLOOKUP(A24,Schlußkurse!A$5:AU$105,42,FALSE)&gt;0,VLOOKUP(A24,Schlußkurse!A$5:AU$105,42,FALSE)/VLOOKUP(A24,Buchwert_je_Aktie!A$3:AJ$103,13,FALSE),""),"")</f>
        <v>1.7013481828839392</v>
      </c>
      <c r="K24" s="79">
        <f>IF(VLOOKUP(A24,Buchwert_je_Aktie!A$3:AJ$103,14,FALSE)&lt;&gt;"",IF(VLOOKUP(A24,Schlußkurse!A$5:AU$105,43,FALSE)&gt;0,VLOOKUP(A24,Schlußkurse!A$5:AU$105,43,FALSE)/VLOOKUP(A24,Buchwert_je_Aktie!A$3:AJ$103,14,FALSE),""),"")</f>
        <v>1.0411331005044626</v>
      </c>
      <c r="L24" s="79">
        <f>IF(VLOOKUP(A24,Buchwert_je_Aktie!A$3:AJ$103,15,FALSE)&lt;&gt;"",IF(VLOOKUP(A24,Schlußkurse!A$5:AU$105,44,FALSE)&gt;0,VLOOKUP(A24,Schlußkurse!A$5:AU$105,44,FALSE)/VLOOKUP(A24,Buchwert_je_Aktie!A$3:AJ$103,15,FALSE),""),"")</f>
        <v>2.122784686184275</v>
      </c>
      <c r="M24" s="79">
        <f>IF(VLOOKUP(A24,Buchwert_je_Aktie!A$3:AJ$103,16,FALSE)&lt;&gt;"",IF(VLOOKUP(A24,Schlußkurse!A$5:AU$105,45,FALSE)&gt;0,VLOOKUP(A24,Schlußkurse!A$5:AU$105,45,FALSE)/VLOOKUP(A24,Buchwert_je_Aktie!A$3:AJ$103,16,FALSE),""),"")</f>
        <v>1.5409123090927479</v>
      </c>
      <c r="N24" s="79">
        <f>IF(VLOOKUP(A24,Buchwert_je_Aktie!A$3:AJ$103,17,FALSE)&lt;&gt;"",IF(VLOOKUP(A24,Schlußkurse!A$5:AU$105,46,FALSE)&gt;0,VLOOKUP(A24,Schlußkurse!A$5:AU$105,46,FALSE)/VLOOKUP(A24,Buchwert_je_Aktie!A$3:AJ$103,17,FALSE),""),"")</f>
        <v>1.1661987041036717</v>
      </c>
      <c r="O24" s="80">
        <f>IF(VLOOKUP(A24,Buchwert_je_Aktie!A$3:AJ$103,18,FALSE)&lt;&gt;"",IF(VLOOKUP(A24,Schlußkurse!A$5:AU$105,47,FALSE)&gt;0,VLOOKUP(A24,Schlußkurse!A$5:AU$105,47,FALSE)/VLOOKUP(A24,Buchwert_je_Aktie!A$3:AJ$103,18,FALSE),""),"")</f>
        <v>5.3615544760582932</v>
      </c>
      <c r="P24" s="3">
        <f t="shared" si="0"/>
        <v>1.7013481828839392</v>
      </c>
      <c r="Q24" s="3">
        <f ca="1">VLOOKUP(A24,Schlußkurse!A$5:AU$105,35,FALSE)/VLOOKUP(A24,Buchwert_je_Aktie!A$3:AK$103,23,FALSE)</f>
        <v>2.1147260493431594</v>
      </c>
      <c r="R24" s="5">
        <f t="shared" ca="1" si="1"/>
        <v>0.24297076319704725</v>
      </c>
    </row>
    <row r="25" spans="1:18" x14ac:dyDescent="0.25">
      <c r="A25" t="s">
        <v>40</v>
      </c>
      <c r="B25" t="s">
        <v>41</v>
      </c>
      <c r="C25" s="78">
        <f>IF(VLOOKUP(A25,Buchwert_je_Aktie!A$3:AJ$103,6,FALSE)&lt;&gt;"",IF(VLOOKUP(A25,Schlußkurse!A$5:AU$105,35,FALSE)&gt;0,VLOOKUP(A25,Schlußkurse!A$5:AU$105,35,FALSE) /VLOOKUP(A25,Buchwert_je_Aktie!A$3:AJ$103,6,FALSE),""),"")</f>
        <v>6.0887218045112785</v>
      </c>
      <c r="D25" s="79">
        <f>IF(VLOOKUP(A25,Buchwert_je_Aktie!A$3:AJ$103,7,FALSE)&lt;&gt;"",IF(VLOOKUP(A25,Schlußkurse!A$5:AU$105,36,FALSE)&gt;0,VLOOKUP(A25,Schlußkurse!A$5:AU$105,36,FALSE)/VLOOKUP(A25,Buchwert_je_Aktie!A$3:AJ$103,7,FALSE),""),"")</f>
        <v>6.0252976190476195</v>
      </c>
      <c r="E25" s="79">
        <f>IF(VLOOKUP(A25,Buchwert_je_Aktie!A$3:AJ$103,8,FALSE)&lt;&gt;"",IF(VLOOKUP(A25,Schlußkurse!A$5:AU$105,37,FALSE)&gt;0,VLOOKUP(A25,Schlußkurse!A$5:AU$105,37,FALSE)/VLOOKUP(A25,Buchwert_je_Aktie!A$3:AJ$103,8,FALSE),""),"")</f>
        <v>6.3584337349397595</v>
      </c>
      <c r="F25" s="79">
        <f>IF(VLOOKUP(A25,Buchwert_je_Aktie!A$3:AJ$103,9,FALSE)&lt;&gt;"",IF(VLOOKUP(A25,Schlußkurse!A$5:AU$105,38,FALSE)&gt;0,VLOOKUP(A25,Schlußkurse!A$5:AU$105,38,FALSE)/VLOOKUP(A25,Buchwert_je_Aktie!A$3:AJ$103,9,FALSE),""),"")</f>
        <v>5.9524495677233427</v>
      </c>
      <c r="G25" s="79">
        <f>IF(VLOOKUP(A25,Buchwert_je_Aktie!A$3:AJ$103,10,FALSE)&lt;&gt;"",IF(VLOOKUP(A25,Schlußkurse!A$5:AU$105,39,FALSE)&gt;0,VLOOKUP(A25,Schlußkurse!A$5:AU$105,39,FALSE)/VLOOKUP(A25,Buchwert_je_Aktie!A$3:AJ$103,10,FALSE),""),"")</f>
        <v>4.8076923076923075</v>
      </c>
      <c r="H25" s="79">
        <f>IF(VLOOKUP(A25,Buchwert_je_Aktie!A$3:AJ$103,11,FALSE)&lt;&gt;"",IF(VLOOKUP(A25,Schlußkurse!A$5:AU$105,40,FALSE)&gt;0,VLOOKUP(A25,Schlußkurse!A$5:AU$105,40,FALSE)/VLOOKUP(A25,Buchwert_je_Aktie!A$3:AJ$103,11,FALSE),""),"")</f>
        <v>4.7663487738419619</v>
      </c>
      <c r="I25" s="79">
        <f>IF(VLOOKUP(A25,Buchwert_je_Aktie!A$3:AJ$103,12,FALSE)&lt;&gt;"",IF(VLOOKUP(A25,Schlußkurse!A$5:AU$105,41,FALSE)&gt;0,VLOOKUP(A25,Schlußkurse!A$5:AU$105,41,FALSE)/VLOOKUP(A25,Buchwert_je_Aktie!A$3:AJ$103,12,FALSE),""),"")</f>
        <v>4.7045779685264657</v>
      </c>
      <c r="J25" s="79">
        <f>IF(VLOOKUP(A25,Buchwert_je_Aktie!A$3:AJ$103,13,FALSE)&lt;&gt;"",IF(VLOOKUP(A25,Schlußkurse!A$5:AU$105,42,FALSE)&gt;0,VLOOKUP(A25,Schlußkurse!A$5:AU$105,42,FALSE)/VLOOKUP(A25,Buchwert_je_Aktie!A$3:AJ$103,13,FALSE),""),"")</f>
        <v>4.2159763313609471</v>
      </c>
      <c r="K25" s="79">
        <f>IF(VLOOKUP(A25,Buchwert_je_Aktie!A$3:AJ$103,14,FALSE)&lt;&gt;"",IF(VLOOKUP(A25,Schlußkurse!A$5:AU$105,43,FALSE)&gt;0,VLOOKUP(A25,Schlußkurse!A$5:AU$105,43,FALSE)/VLOOKUP(A25,Buchwert_je_Aktie!A$3:AJ$103,14,FALSE),""),"")</f>
        <v>4.2072490706319705</v>
      </c>
      <c r="L25" s="79">
        <f>IF(VLOOKUP(A25,Buchwert_je_Aktie!A$3:AJ$103,15,FALSE)&lt;&gt;"",IF(VLOOKUP(A25,Schlußkurse!A$5:AU$105,44,FALSE)&gt;0,VLOOKUP(A25,Schlußkurse!A$5:AU$105,44,FALSE)/VLOOKUP(A25,Buchwert_je_Aktie!A$3:AJ$103,15,FALSE),""),"")</f>
        <v>6.9266365688487586</v>
      </c>
      <c r="M25" s="79">
        <f>IF(VLOOKUP(A25,Buchwert_je_Aktie!A$3:AJ$103,16,FALSE)&lt;&gt;"",IF(VLOOKUP(A25,Schlußkurse!A$5:AU$105,45,FALSE)&gt;0,VLOOKUP(A25,Schlußkurse!A$5:AU$105,45,FALSE)/VLOOKUP(A25,Buchwert_je_Aktie!A$3:AJ$103,16,FALSE),""),"")</f>
        <v>5.1599147121535172</v>
      </c>
      <c r="N25" s="79">
        <f>IF(VLOOKUP(A25,Buchwert_je_Aktie!A$3:AJ$103,17,FALSE)&lt;&gt;"",IF(VLOOKUP(A25,Schlußkurse!A$5:AU$105,46,FALSE)&gt;0,VLOOKUP(A25,Schlußkurse!A$5:AU$105,46,FALSE)/VLOOKUP(A25,Buchwert_je_Aktie!A$3:AJ$103,17,FALSE),""),"")</f>
        <v>5.5219178082191789</v>
      </c>
      <c r="O25" s="80">
        <f>IF(VLOOKUP(A25,Buchwert_je_Aktie!A$3:AJ$103,18,FALSE)&lt;&gt;"",IF(VLOOKUP(A25,Schlußkurse!A$5:AU$105,47,FALSE)&gt;0,VLOOKUP(A25,Schlußkurse!A$5:AU$105,47,FALSE)/VLOOKUP(A25,Buchwert_je_Aktie!A$3:AJ$103,18,FALSE),""),"")</f>
        <v>6.034782608695652</v>
      </c>
      <c r="P25" s="3">
        <f t="shared" si="0"/>
        <v>5.5219178082191789</v>
      </c>
      <c r="Q25" s="3">
        <f ca="1">VLOOKUP(A25,Schlußkurse!A$5:AU$105,35,FALSE)/VLOOKUP(A25,Buchwert_je_Aktie!A$3:AK$103,23,FALSE)</f>
        <v>6.0730951269915341</v>
      </c>
      <c r="R25" s="5">
        <f t="shared" ca="1" si="1"/>
        <v>9.9816284471302197E-2</v>
      </c>
    </row>
    <row r="26" spans="1:18" x14ac:dyDescent="0.25">
      <c r="A26" t="s">
        <v>42</v>
      </c>
      <c r="B26" t="s">
        <v>43</v>
      </c>
      <c r="C26" s="78">
        <f>IF(VLOOKUP(A26,Buchwert_je_Aktie!A$3:AJ$103,6,FALSE)&lt;&gt;"",IF(VLOOKUP(A26,Schlußkurse!A$5:AU$105,35,FALSE)&gt;0,VLOOKUP(A26,Schlußkurse!A$5:AU$105,35,FALSE) /VLOOKUP(A26,Buchwert_je_Aktie!A$3:AJ$103,6,FALSE),""),"")</f>
        <v>31.571428571428577</v>
      </c>
      <c r="D26" s="79">
        <f>IF(VLOOKUP(A26,Buchwert_je_Aktie!A$3:AJ$103,7,FALSE)&lt;&gt;"",IF(VLOOKUP(A26,Schlußkurse!A$5:AU$105,36,FALSE)&gt;0,VLOOKUP(A26,Schlußkurse!A$5:AU$105,36,FALSE)/VLOOKUP(A26,Buchwert_je_Aktie!A$3:AJ$103,7,FALSE),""),"")</f>
        <v>37.032432432432437</v>
      </c>
      <c r="E26" s="79">
        <f>IF(VLOOKUP(A26,Buchwert_je_Aktie!A$3:AJ$103,8,FALSE)&lt;&gt;"",IF(VLOOKUP(A26,Schlußkurse!A$5:AU$105,37,FALSE)&gt;0,VLOOKUP(A26,Schlußkurse!A$5:AU$105,37,FALSE)/VLOOKUP(A26,Buchwert_je_Aktie!A$3:AJ$103,8,FALSE),""),"")</f>
        <v>41.18452380952381</v>
      </c>
      <c r="F26" s="79">
        <f>IF(VLOOKUP(A26,Buchwert_je_Aktie!A$3:AJ$103,9,FALSE)&lt;&gt;"",IF(VLOOKUP(A26,Schlußkurse!A$5:AU$105,38,FALSE)&gt;0,VLOOKUP(A26,Schlußkurse!A$5:AU$105,38,FALSE)/VLOOKUP(A26,Buchwert_je_Aktie!A$3:AJ$103,9,FALSE),""),"")</f>
        <v>42.620915032679733</v>
      </c>
      <c r="G26" s="79">
        <f>IF(VLOOKUP(A26,Buchwert_je_Aktie!A$3:AJ$103,10,FALSE)&lt;&gt;"",IF(VLOOKUP(A26,Schlußkurse!A$5:AU$105,39,FALSE)&gt;0,VLOOKUP(A26,Schlußkurse!A$5:AU$105,39,FALSE)/VLOOKUP(A26,Buchwert_je_Aktie!A$3:AJ$103,10,FALSE),""),"")</f>
        <v>18.938405797101453</v>
      </c>
      <c r="H26" s="79">
        <f>IF(VLOOKUP(A26,Buchwert_je_Aktie!A$3:AJ$103,11,FALSE)&lt;&gt;"",IF(VLOOKUP(A26,Schlußkurse!A$5:AU$105,40,FALSE)&gt;0,VLOOKUP(A26,Schlußkurse!A$5:AU$105,40,FALSE)/VLOOKUP(A26,Buchwert_je_Aktie!A$3:AJ$103,11,FALSE),""),"")</f>
        <v>18.044921875</v>
      </c>
      <c r="I26" s="79">
        <f>IF(VLOOKUP(A26,Buchwert_je_Aktie!A$3:AJ$103,12,FALSE)&lt;&gt;"",IF(VLOOKUP(A26,Schlußkurse!A$5:AU$105,41,FALSE)&gt;0,VLOOKUP(A26,Schlußkurse!A$5:AU$105,41,FALSE)/VLOOKUP(A26,Buchwert_je_Aktie!A$3:AJ$103,12,FALSE),""),"")</f>
        <v>15.164150943396228</v>
      </c>
      <c r="J26" s="79">
        <f>IF(VLOOKUP(A26,Buchwert_je_Aktie!A$3:AJ$103,13,FALSE)&lt;&gt;"",IF(VLOOKUP(A26,Schlußkurse!A$5:AU$105,42,FALSE)&gt;0,VLOOKUP(A26,Schlußkurse!A$5:AU$105,42,FALSE)/VLOOKUP(A26,Buchwert_je_Aktie!A$3:AJ$103,13,FALSE),""),"")</f>
        <v>14.412280701754387</v>
      </c>
      <c r="K26" s="79">
        <f>IF(VLOOKUP(A26,Buchwert_je_Aktie!A$3:AJ$103,14,FALSE)&lt;&gt;"",IF(VLOOKUP(A26,Schlußkurse!A$5:AU$105,43,FALSE)&gt;0,VLOOKUP(A26,Schlußkurse!A$5:AU$105,43,FALSE)/VLOOKUP(A26,Buchwert_je_Aktie!A$3:AJ$103,14,FALSE),""),"")</f>
        <v>10.384848484848487</v>
      </c>
      <c r="L26" s="79">
        <f>IF(VLOOKUP(A26,Buchwert_je_Aktie!A$3:AJ$103,15,FALSE)&lt;&gt;"",IF(VLOOKUP(A26,Schlußkurse!A$5:AU$105,44,FALSE)&gt;0,VLOOKUP(A26,Schlußkurse!A$5:AU$105,44,FALSE)/VLOOKUP(A26,Buchwert_je_Aktie!A$3:AJ$103,15,FALSE),""),"")</f>
        <v>20.302083333333332</v>
      </c>
      <c r="M26" s="79">
        <f>IF(VLOOKUP(A26,Buchwert_je_Aktie!A$3:AJ$103,16,FALSE)&lt;&gt;"",IF(VLOOKUP(A26,Schlußkurse!A$5:AU$105,45,FALSE)&gt;0,VLOOKUP(A26,Schlußkurse!A$5:AU$105,45,FALSE)/VLOOKUP(A26,Buchwert_je_Aktie!A$3:AJ$103,16,FALSE),""),"")</f>
        <v>14.515555555555554</v>
      </c>
      <c r="N26" s="79">
        <f>IF(VLOOKUP(A26,Buchwert_je_Aktie!A$3:AJ$103,17,FALSE)&lt;&gt;"",IF(VLOOKUP(A26,Schlußkurse!A$5:AU$105,46,FALSE)&gt;0,VLOOKUP(A26,Schlußkurse!A$5:AU$105,46,FALSE)/VLOOKUP(A26,Buchwert_je_Aktie!A$3:AJ$103,17,FALSE),""),"")</f>
        <v>20.028985507246379</v>
      </c>
      <c r="O26" s="80">
        <f>IF(VLOOKUP(A26,Buchwert_je_Aktie!A$3:AJ$103,18,FALSE)&lt;&gt;"",IF(VLOOKUP(A26,Schlußkurse!A$5:AU$105,47,FALSE)&gt;0,VLOOKUP(A26,Schlußkurse!A$5:AU$105,47,FALSE)/VLOOKUP(A26,Buchwert_je_Aktie!A$3:AJ$103,18,FALSE),""),"")</f>
        <v>14.122137404580153</v>
      </c>
      <c r="P26" s="3">
        <f t="shared" si="0"/>
        <v>18.938405797101453</v>
      </c>
      <c r="Q26" s="3">
        <f ca="1">VLOOKUP(A26,Schlußkurse!A$5:AU$105,35,FALSE)/VLOOKUP(A26,Buchwert_je_Aktie!A$3:AK$103,23,FALSE)</f>
        <v>39.427694471976224</v>
      </c>
      <c r="R26" s="5">
        <f t="shared" ca="1" si="1"/>
        <v>1.0818908885145277</v>
      </c>
    </row>
    <row r="27" spans="1:18" x14ac:dyDescent="0.25">
      <c r="A27" t="s">
        <v>44</v>
      </c>
      <c r="B27" t="s">
        <v>45</v>
      </c>
      <c r="C27" s="78">
        <f>IF(VLOOKUP(A27,Buchwert_je_Aktie!A$3:AJ$103,6,FALSE)&lt;&gt;"",IF(VLOOKUP(A27,Schlußkurse!A$5:AU$105,35,FALSE)&gt;0,VLOOKUP(A27,Schlußkurse!A$5:AU$105,35,FALSE) /VLOOKUP(A27,Buchwert_je_Aktie!A$3:AJ$103,6,FALSE),""),"")</f>
        <v>2.8101659751037342</v>
      </c>
      <c r="D27" s="79">
        <f>IF(VLOOKUP(A27,Buchwert_je_Aktie!A$3:AJ$103,7,FALSE)&lt;&gt;"",IF(VLOOKUP(A27,Schlußkurse!A$5:AU$105,36,FALSE)&gt;0,VLOOKUP(A27,Schlußkurse!A$5:AU$105,36,FALSE)/VLOOKUP(A27,Buchwert_je_Aktie!A$3:AJ$103,7,FALSE),""),"")</f>
        <v>2.5317757009345794</v>
      </c>
      <c r="E27" s="79">
        <f>IF(VLOOKUP(A27,Buchwert_je_Aktie!A$3:AJ$103,8,FALSE)&lt;&gt;"",IF(VLOOKUP(A27,Schlußkurse!A$5:AU$105,37,FALSE)&gt;0,VLOOKUP(A27,Schlußkurse!A$5:AU$105,37,FALSE)/VLOOKUP(A27,Buchwert_je_Aktie!A$3:AJ$103,8,FALSE),""),"")</f>
        <v>2.3183486238532107</v>
      </c>
      <c r="F27" s="79">
        <f>IF(VLOOKUP(A27,Buchwert_je_Aktie!A$3:AJ$103,9,FALSE)&lt;&gt;"",IF(VLOOKUP(A27,Schlußkurse!A$5:AU$105,38,FALSE)&gt;0,VLOOKUP(A27,Schlußkurse!A$5:AU$105,38,FALSE)/VLOOKUP(A27,Buchwert_je_Aktie!A$3:AJ$103,9,FALSE),""),"")</f>
        <v>2.2001569858712715</v>
      </c>
      <c r="G27" s="79">
        <f>IF(VLOOKUP(A27,Buchwert_je_Aktie!A$3:AJ$103,10,FALSE)&lt;&gt;"",IF(VLOOKUP(A27,Schlußkurse!A$5:AU$105,39,FALSE)&gt;0,VLOOKUP(A27,Schlußkurse!A$5:AU$105,39,FALSE)/VLOOKUP(A27,Buchwert_je_Aktie!A$3:AJ$103,10,FALSE),""),"")</f>
        <v>1.6171032357473034</v>
      </c>
      <c r="H27" s="79">
        <f>IF(VLOOKUP(A27,Buchwert_je_Aktie!A$3:AJ$103,11,FALSE)&lt;&gt;"",IF(VLOOKUP(A27,Schlußkurse!A$5:AU$105,40,FALSE)&gt;0,VLOOKUP(A27,Schlußkurse!A$5:AU$105,40,FALSE)/VLOOKUP(A27,Buchwert_je_Aktie!A$3:AJ$103,11,FALSE),""),"")</f>
        <v>1.515228426395939</v>
      </c>
      <c r="I27" s="79">
        <f>IF(VLOOKUP(A27,Buchwert_je_Aktie!A$3:AJ$103,12,FALSE)&lt;&gt;"",IF(VLOOKUP(A27,Schlußkurse!A$5:AU$105,41,FALSE)&gt;0,VLOOKUP(A27,Schlußkurse!A$5:AU$105,41,FALSE)/VLOOKUP(A27,Buchwert_je_Aktie!A$3:AJ$103,12,FALSE),""),"")</f>
        <v>1.6612170753860127</v>
      </c>
      <c r="J27" s="79">
        <f>IF(VLOOKUP(A27,Buchwert_je_Aktie!A$3:AJ$103,13,FALSE)&lt;&gt;"",IF(VLOOKUP(A27,Schlußkurse!A$5:AU$105,42,FALSE)&gt;0,VLOOKUP(A27,Schlußkurse!A$5:AU$105,42,FALSE)/VLOOKUP(A27,Buchwert_je_Aktie!A$3:AJ$103,13,FALSE),""),"")</f>
        <v>1.3508928571428573</v>
      </c>
      <c r="K27" s="79">
        <f>IF(VLOOKUP(A27,Buchwert_je_Aktie!A$3:AJ$103,14,FALSE)&lt;&gt;"",IF(VLOOKUP(A27,Schlußkurse!A$5:AU$105,43,FALSE)&gt;0,VLOOKUP(A27,Schlußkurse!A$5:AU$105,43,FALSE)/VLOOKUP(A27,Buchwert_je_Aktie!A$3:AJ$103,14,FALSE),""),"")</f>
        <v>1.4727272727272727</v>
      </c>
      <c r="L27" s="79">
        <f>IF(VLOOKUP(A27,Buchwert_je_Aktie!A$3:AJ$103,15,FALSE)&lt;&gt;"",IF(VLOOKUP(A27,Schlußkurse!A$5:AU$105,44,FALSE)&gt;0,VLOOKUP(A27,Schlußkurse!A$5:AU$105,44,FALSE)/VLOOKUP(A27,Buchwert_je_Aktie!A$3:AJ$103,15,FALSE),""),"")</f>
        <v>3.7331319234642497</v>
      </c>
      <c r="M27" s="79">
        <f>IF(VLOOKUP(A27,Buchwert_je_Aktie!A$3:AJ$103,16,FALSE)&lt;&gt;"",IF(VLOOKUP(A27,Schlußkurse!A$5:AU$105,45,FALSE)&gt;0,VLOOKUP(A27,Schlußkurse!A$5:AU$105,45,FALSE)/VLOOKUP(A27,Buchwert_je_Aktie!A$3:AJ$103,16,FALSE),""),"")</f>
        <v>3.2274848746758855</v>
      </c>
      <c r="N27" s="79">
        <f>IF(VLOOKUP(A27,Buchwert_je_Aktie!A$3:AJ$103,17,FALSE)&lt;&gt;"",IF(VLOOKUP(A27,Schlußkurse!A$5:AU$105,46,FALSE)&gt;0,VLOOKUP(A27,Schlußkurse!A$5:AU$105,46,FALSE)/VLOOKUP(A27,Buchwert_je_Aktie!A$3:AJ$103,17,FALSE),""),"")</f>
        <v>3.2067703568161021</v>
      </c>
      <c r="O27" s="80">
        <f>IF(VLOOKUP(A27,Buchwert_je_Aktie!A$3:AJ$103,18,FALSE)&lt;&gt;"",IF(VLOOKUP(A27,Schlußkurse!A$5:AU$105,47,FALSE)&gt;0,VLOOKUP(A27,Schlußkurse!A$5:AU$105,47,FALSE)/VLOOKUP(A27,Buchwert_je_Aktie!A$3:AJ$103,18,FALSE),""),"")</f>
        <v>3.4995206136145733</v>
      </c>
      <c r="P27" s="3">
        <f t="shared" si="0"/>
        <v>2.3183486238532107</v>
      </c>
      <c r="Q27" s="3">
        <f ca="1">VLOOKUP(A27,Schlußkurse!A$5:AU$105,35,FALSE)/VLOOKUP(A27,Buchwert_je_Aktie!A$3:AK$103,23,FALSE)</f>
        <v>2.5008718842958251</v>
      </c>
      <c r="R27" s="5">
        <f t="shared" ca="1" si="1"/>
        <v>7.8729859074970099E-2</v>
      </c>
    </row>
    <row r="28" spans="1:18" x14ac:dyDescent="0.25">
      <c r="A28" t="s">
        <v>46</v>
      </c>
      <c r="B28" t="s">
        <v>47</v>
      </c>
      <c r="C28" s="78">
        <f>IF(VLOOKUP(A28,Buchwert_je_Aktie!A$3:AJ$103,6,FALSE)&lt;&gt;"",IF(VLOOKUP(A28,Schlußkurse!A$5:AU$105,35,FALSE)&gt;0,VLOOKUP(A28,Schlußkurse!A$5:AU$105,35,FALSE) /VLOOKUP(A28,Buchwert_je_Aktie!A$3:AJ$103,6,FALSE),""),"")</f>
        <v>5.3993808049535614</v>
      </c>
      <c r="D28" s="79">
        <f>IF(VLOOKUP(A28,Buchwert_je_Aktie!A$3:AJ$103,7,FALSE)&lt;&gt;"",IF(VLOOKUP(A28,Schlußkurse!A$5:AU$105,36,FALSE)&gt;0,VLOOKUP(A28,Schlußkurse!A$5:AU$105,36,FALSE)/VLOOKUP(A28,Buchwert_je_Aktie!A$3:AJ$103,7,FALSE),""),"")</f>
        <v>6.8392156862745104</v>
      </c>
      <c r="E28" s="79">
        <f>IF(VLOOKUP(A28,Buchwert_je_Aktie!A$3:AJ$103,8,FALSE)&lt;&gt;"",IF(VLOOKUP(A28,Schlußkurse!A$5:AU$105,37,FALSE)&gt;0,VLOOKUP(A28,Schlußkurse!A$5:AU$105,37,FALSE)/VLOOKUP(A28,Buchwert_je_Aktie!A$3:AJ$103,8,FALSE),""),"")</f>
        <v>8.3562500000000011</v>
      </c>
      <c r="F28" s="79">
        <f>IF(VLOOKUP(A28,Buchwert_je_Aktie!A$3:AJ$103,9,FALSE)&lt;&gt;"",IF(VLOOKUP(A28,Schlußkurse!A$5:AU$105,38,FALSE)&gt;0,VLOOKUP(A28,Schlußkurse!A$5:AU$105,38,FALSE)/VLOOKUP(A28,Buchwert_je_Aktie!A$3:AJ$103,9,FALSE),""),"")</f>
        <v>15.46331409727947</v>
      </c>
      <c r="G28" s="79">
        <f>IF(VLOOKUP(A28,Buchwert_je_Aktie!A$3:AJ$103,10,FALSE)&lt;&gt;"",IF(VLOOKUP(A28,Schlußkurse!A$5:AU$105,39,FALSE)&gt;0,VLOOKUP(A28,Schlußkurse!A$5:AU$105,39,FALSE)/VLOOKUP(A28,Buchwert_je_Aktie!A$3:AJ$103,10,FALSE),""),"")</f>
        <v>8.8068965517241384</v>
      </c>
      <c r="H28" s="79">
        <f>IF(VLOOKUP(A28,Buchwert_je_Aktie!A$3:AJ$103,11,FALSE)&lt;&gt;"",IF(VLOOKUP(A28,Schlußkurse!A$5:AU$105,40,FALSE)&gt;0,VLOOKUP(A28,Schlußkurse!A$5:AU$105,40,FALSE)/VLOOKUP(A28,Buchwert_je_Aktie!A$3:AJ$103,11,FALSE),""),"")</f>
        <v>10.822836962919364</v>
      </c>
      <c r="I28" s="79">
        <f>IF(VLOOKUP(A28,Buchwert_je_Aktie!A$3:AJ$103,12,FALSE)&lt;&gt;"",IF(VLOOKUP(A28,Schlußkurse!A$5:AU$105,41,FALSE)&gt;0,VLOOKUP(A28,Schlußkurse!A$5:AU$105,41,FALSE)/VLOOKUP(A28,Buchwert_je_Aktie!A$3:AJ$103,12,FALSE),""),"")</f>
        <v>8.434482758620689</v>
      </c>
      <c r="J28" s="79">
        <f>IF(VLOOKUP(A28,Buchwert_je_Aktie!A$3:AJ$103,13,FALSE)&lt;&gt;"",IF(VLOOKUP(A28,Schlußkurse!A$5:AU$105,42,FALSE)&gt;0,VLOOKUP(A28,Schlußkurse!A$5:AU$105,42,FALSE)/VLOOKUP(A28,Buchwert_je_Aktie!A$3:AJ$103,13,FALSE),""),"")</f>
        <v>6.8894736842105262</v>
      </c>
      <c r="K28" s="79">
        <f>IF(VLOOKUP(A28,Buchwert_je_Aktie!A$3:AJ$103,14,FALSE)&lt;&gt;"",IF(VLOOKUP(A28,Schlußkurse!A$5:AU$105,43,FALSE)&gt;0,VLOOKUP(A28,Schlußkurse!A$5:AU$105,43,FALSE)/VLOOKUP(A28,Buchwert_je_Aktie!A$3:AJ$103,14,FALSE),""),"")</f>
        <v>4.8284566838783709</v>
      </c>
      <c r="L28" s="79">
        <f>IF(VLOOKUP(A28,Buchwert_je_Aktie!A$3:AJ$103,15,FALSE)&lt;&gt;"",IF(VLOOKUP(A28,Schlußkurse!A$5:AU$105,44,FALSE)&gt;0,VLOOKUP(A28,Schlußkurse!A$5:AU$105,44,FALSE)/VLOOKUP(A28,Buchwert_je_Aktie!A$3:AJ$103,15,FALSE),""),"")</f>
        <v>10.745526838966201</v>
      </c>
      <c r="M28" s="79">
        <f>IF(VLOOKUP(A28,Buchwert_je_Aktie!A$3:AJ$103,16,FALSE)&lt;&gt;"",IF(VLOOKUP(A28,Schlußkurse!A$5:AU$105,45,FALSE)&gt;0,VLOOKUP(A28,Schlußkurse!A$5:AU$105,45,FALSE)/VLOOKUP(A28,Buchwert_je_Aktie!A$3:AJ$103,16,FALSE),""),"")</f>
        <v>4.7362530413625299</v>
      </c>
      <c r="N28" s="79">
        <f>IF(VLOOKUP(A28,Buchwert_je_Aktie!A$3:AJ$103,17,FALSE)&lt;&gt;"",IF(VLOOKUP(A28,Schlußkurse!A$5:AU$105,46,FALSE)&gt;0,VLOOKUP(A28,Schlußkurse!A$5:AU$105,46,FALSE)/VLOOKUP(A28,Buchwert_je_Aktie!A$3:AJ$103,17,FALSE),""),"")</f>
        <v>4.3446088794926006</v>
      </c>
      <c r="O28" s="80">
        <f>IF(VLOOKUP(A28,Buchwert_je_Aktie!A$3:AJ$103,18,FALSE)&lt;&gt;"",IF(VLOOKUP(A28,Schlußkurse!A$5:AU$105,47,FALSE)&gt;0,VLOOKUP(A28,Schlußkurse!A$5:AU$105,47,FALSE)/VLOOKUP(A28,Buchwert_je_Aktie!A$3:AJ$103,18,FALSE),""),"")</f>
        <v>4.6875891583452205</v>
      </c>
      <c r="P28" s="3">
        <f t="shared" si="0"/>
        <v>6.8894736842105262</v>
      </c>
      <c r="Q28" s="3">
        <f ca="1">VLOOKUP(A28,Schlußkurse!A$5:AU$105,35,FALSE)/VLOOKUP(A28,Buchwert_je_Aktie!A$3:AK$103,23,FALSE)</f>
        <v>8.174361378017343</v>
      </c>
      <c r="R28" s="5">
        <f t="shared" ca="1" si="1"/>
        <v>0.18650012362360213</v>
      </c>
    </row>
    <row r="29" spans="1:18" x14ac:dyDescent="0.25">
      <c r="A29" t="s">
        <v>48</v>
      </c>
      <c r="B29" t="s">
        <v>49</v>
      </c>
      <c r="C29" s="78">
        <f>IF(VLOOKUP(A29,Buchwert_je_Aktie!A$3:AJ$103,6,FALSE)&lt;&gt;"",IF(VLOOKUP(A29,Schlußkurse!A$5:AU$105,35,FALSE)&gt;0,VLOOKUP(A29,Schlußkurse!A$5:AU$105,35,FALSE) /VLOOKUP(A29,Buchwert_je_Aktie!A$3:AJ$103,6,FALSE),""),"")</f>
        <v>2.8765042979942694</v>
      </c>
      <c r="D29" s="79">
        <f>IF(VLOOKUP(A29,Buchwert_je_Aktie!A$3:AJ$103,7,FALSE)&lt;&gt;"",IF(VLOOKUP(A29,Schlußkurse!A$5:AU$105,36,FALSE)&gt;0,VLOOKUP(A29,Schlußkurse!A$5:AU$105,36,FALSE)/VLOOKUP(A29,Buchwert_je_Aktie!A$3:AJ$103,7,FALSE),""),"")</f>
        <v>3.3687919463087246</v>
      </c>
      <c r="E29" s="79">
        <f>IF(VLOOKUP(A29,Buchwert_je_Aktie!A$3:AJ$103,8,FALSE)&lt;&gt;"",IF(VLOOKUP(A29,Schlußkurse!A$5:AU$105,37,FALSE)&gt;0,VLOOKUP(A29,Schlußkurse!A$5:AU$105,37,FALSE)/VLOOKUP(A29,Buchwert_je_Aktie!A$3:AJ$103,8,FALSE),""),"")</f>
        <v>3.9164794007490635</v>
      </c>
      <c r="F29" s="79">
        <f>IF(VLOOKUP(A29,Buchwert_je_Aktie!A$3:AJ$103,9,FALSE)&lt;&gt;"",IF(VLOOKUP(A29,Schlußkurse!A$5:AU$105,38,FALSE)&gt;0,VLOOKUP(A29,Schlußkurse!A$5:AU$105,38,FALSE)/VLOOKUP(A29,Buchwert_je_Aktie!A$3:AJ$103,9,FALSE),""),"")</f>
        <v>3.6532322426177175</v>
      </c>
      <c r="G29" s="79">
        <f>IF(VLOOKUP(A29,Buchwert_je_Aktie!A$3:AJ$103,10,FALSE)&lt;&gt;"",IF(VLOOKUP(A29,Schlußkurse!A$5:AU$105,39,FALSE)&gt;0,VLOOKUP(A29,Schlußkurse!A$5:AU$105,39,FALSE)/VLOOKUP(A29,Buchwert_je_Aktie!A$3:AJ$103,10,FALSE),""),"")</f>
        <v>2.6704761904761902</v>
      </c>
      <c r="H29" s="79">
        <f>IF(VLOOKUP(A29,Buchwert_je_Aktie!A$3:AJ$103,11,FALSE)&lt;&gt;"",IF(VLOOKUP(A29,Schlußkurse!A$5:AU$105,40,FALSE)&gt;0,VLOOKUP(A29,Schlußkurse!A$5:AU$105,40,FALSE)/VLOOKUP(A29,Buchwert_je_Aktie!A$3:AJ$103,11,FALSE),""),"")</f>
        <v>2.810972996142306</v>
      </c>
      <c r="I29" s="79">
        <f>IF(VLOOKUP(A29,Buchwert_je_Aktie!A$3:AJ$103,12,FALSE)&lt;&gt;"",IF(VLOOKUP(A29,Schlußkurse!A$5:AU$105,41,FALSE)&gt;0,VLOOKUP(A29,Schlußkurse!A$5:AU$105,41,FALSE)/VLOOKUP(A29,Buchwert_je_Aktie!A$3:AJ$103,12,FALSE),""),"")</f>
        <v>2.9522673031026256</v>
      </c>
      <c r="J29" s="79">
        <f>IF(VLOOKUP(A29,Buchwert_je_Aktie!A$3:AJ$103,13,FALSE)&lt;&gt;"",IF(VLOOKUP(A29,Schlußkurse!A$5:AU$105,42,FALSE)&gt;0,VLOOKUP(A29,Schlußkurse!A$5:AU$105,42,FALSE)/VLOOKUP(A29,Buchwert_je_Aktie!A$3:AJ$103,13,FALSE),""),"")</f>
        <v>3.1176185866408517</v>
      </c>
      <c r="K29" s="79">
        <f>IF(VLOOKUP(A29,Buchwert_je_Aktie!A$3:AJ$103,14,FALSE)&lt;&gt;"",IF(VLOOKUP(A29,Schlußkurse!A$5:AU$105,43,FALSE)&gt;0,VLOOKUP(A29,Schlußkurse!A$5:AU$105,43,FALSE)/VLOOKUP(A29,Buchwert_je_Aktie!A$3:AJ$103,14,FALSE),""),"")</f>
        <v>3.2569406641262928</v>
      </c>
      <c r="L29" s="79">
        <f>IF(VLOOKUP(A29,Buchwert_je_Aktie!A$3:AJ$103,15,FALSE)&lt;&gt;"",IF(VLOOKUP(A29,Schlußkurse!A$5:AU$105,44,FALSE)&gt;0,VLOOKUP(A29,Schlußkurse!A$5:AU$105,44,FALSE)/VLOOKUP(A29,Buchwert_je_Aktie!A$3:AJ$103,15,FALSE),""),"")</f>
        <v>4.3452768729641695</v>
      </c>
      <c r="M29" s="79">
        <f>IF(VLOOKUP(A29,Buchwert_je_Aktie!A$3:AJ$103,16,FALSE)&lt;&gt;"",IF(VLOOKUP(A29,Schlußkurse!A$5:AU$105,45,FALSE)&gt;0,VLOOKUP(A29,Schlußkurse!A$5:AU$105,45,FALSE)/VLOOKUP(A29,Buchwert_je_Aktie!A$3:AJ$103,16,FALSE),""),"")</f>
        <v>4.3331147540983608</v>
      </c>
      <c r="N29" s="79">
        <f>IF(VLOOKUP(A29,Buchwert_je_Aktie!A$3:AJ$103,17,FALSE)&lt;&gt;"",IF(VLOOKUP(A29,Schlußkurse!A$5:AU$105,46,FALSE)&gt;0,VLOOKUP(A29,Schlußkurse!A$5:AU$105,46,FALSE)/VLOOKUP(A29,Buchwert_je_Aktie!A$3:AJ$103,17,FALSE),""),"")</f>
        <v>4.422369389256807</v>
      </c>
      <c r="O29" s="80">
        <f>IF(VLOOKUP(A29,Buchwert_je_Aktie!A$3:AJ$103,18,FALSE)&lt;&gt;"",IF(VLOOKUP(A29,Schlußkurse!A$5:AU$105,47,FALSE)&gt;0,VLOOKUP(A29,Schlußkurse!A$5:AU$105,47,FALSE)/VLOOKUP(A29,Buchwert_je_Aktie!A$3:AJ$103,18,FALSE),""),"")</f>
        <v>4.9819324430479179</v>
      </c>
      <c r="P29" s="3">
        <f t="shared" si="0"/>
        <v>3.3687919463087246</v>
      </c>
      <c r="Q29" s="3">
        <f ca="1">VLOOKUP(A29,Schlußkurse!A$5:AU$105,35,FALSE)/VLOOKUP(A29,Buchwert_je_Aktie!A$3:AK$103,23,FALSE)</f>
        <v>3.6175852335288585</v>
      </c>
      <c r="R29" s="5">
        <f t="shared" ca="1" si="1"/>
        <v>7.3852375327821518E-2</v>
      </c>
    </row>
    <row r="30" spans="1:18" x14ac:dyDescent="0.25">
      <c r="A30" t="s">
        <v>50</v>
      </c>
      <c r="B30" t="s">
        <v>51</v>
      </c>
      <c r="C30" s="78">
        <f>IF(VLOOKUP(A30,Buchwert_je_Aktie!A$3:AJ$103,6,FALSE)&lt;&gt;"",IF(VLOOKUP(A30,Schlußkurse!A$5:AU$105,35,FALSE)&gt;0,VLOOKUP(A30,Schlußkurse!A$5:AU$105,35,FALSE) /VLOOKUP(A30,Buchwert_je_Aktie!A$3:AJ$103,6,FALSE),""),"")</f>
        <v>9.9276546091015163</v>
      </c>
      <c r="D30" s="79">
        <f>IF(VLOOKUP(A30,Buchwert_je_Aktie!A$3:AJ$103,7,FALSE)&lt;&gt;"",IF(VLOOKUP(A30,Schlußkurse!A$5:AU$105,36,FALSE)&gt;0,VLOOKUP(A30,Schlußkurse!A$5:AU$105,36,FALSE)/VLOOKUP(A30,Buchwert_je_Aktie!A$3:AJ$103,7,FALSE),""),"")</f>
        <v>10.044864226682408</v>
      </c>
      <c r="E30" s="79">
        <f>IF(VLOOKUP(A30,Buchwert_je_Aktie!A$3:AJ$103,8,FALSE)&lt;&gt;"",IF(VLOOKUP(A30,Schlußkurse!A$5:AU$105,37,FALSE)&gt;0,VLOOKUP(A30,Schlußkurse!A$5:AU$105,37,FALSE)/VLOOKUP(A30,Buchwert_je_Aktie!A$3:AJ$103,8,FALSE),""),"")</f>
        <v>8.1376623376623378</v>
      </c>
      <c r="F30" s="79">
        <f>IF(VLOOKUP(A30,Buchwert_je_Aktie!A$3:AJ$103,9,FALSE)&lt;&gt;"",IF(VLOOKUP(A30,Schlußkurse!A$5:AU$105,38,FALSE)&gt;0,VLOOKUP(A30,Schlußkurse!A$5:AU$105,38,FALSE)/VLOOKUP(A30,Buchwert_je_Aktie!A$3:AJ$103,9,FALSE),""),"")</f>
        <v>7.2557200538358009</v>
      </c>
      <c r="G30" s="79">
        <f>IF(VLOOKUP(A30,Buchwert_je_Aktie!A$3:AJ$103,10,FALSE)&lt;&gt;"",IF(VLOOKUP(A30,Schlußkurse!A$5:AU$105,39,FALSE)&gt;0,VLOOKUP(A30,Schlußkurse!A$5:AU$105,39,FALSE)/VLOOKUP(A30,Buchwert_je_Aktie!A$3:AJ$103,10,FALSE),""),"")</f>
        <v>5.2264367816091957</v>
      </c>
      <c r="H30" s="79" t="str">
        <f>IF(VLOOKUP(A30,Buchwert_je_Aktie!A$3:AJ$103,11,FALSE)&lt;&gt;"",IF(VLOOKUP(A30,Schlußkurse!A$5:AU$105,40,FALSE)&gt;0,VLOOKUP(A30,Schlußkurse!A$5:AU$105,40,FALSE)/VLOOKUP(A30,Buchwert_je_Aktie!A$3:AJ$103,11,FALSE),""),"")</f>
        <v/>
      </c>
      <c r="I30" s="79" t="str">
        <f>IF(VLOOKUP(A30,Buchwert_je_Aktie!A$3:AJ$103,12,FALSE)&lt;&gt;"",IF(VLOOKUP(A30,Schlußkurse!A$5:AU$105,41,FALSE)&gt;0,VLOOKUP(A30,Schlußkurse!A$5:AU$105,41,FALSE)/VLOOKUP(A30,Buchwert_je_Aktie!A$3:AJ$103,12,FALSE),""),"")</f>
        <v/>
      </c>
      <c r="J30" s="79" t="str">
        <f>IF(VLOOKUP(A30,Buchwert_je_Aktie!A$3:AJ$103,13,FALSE)&lt;&gt;"",IF(VLOOKUP(A30,Schlußkurse!A$5:AU$105,42,FALSE)&gt;0,VLOOKUP(A30,Schlußkurse!A$5:AU$105,42,FALSE)/VLOOKUP(A30,Buchwert_je_Aktie!A$3:AJ$103,13,FALSE),""),"")</f>
        <v/>
      </c>
      <c r="K30" s="79" t="str">
        <f>IF(VLOOKUP(A30,Buchwert_je_Aktie!A$3:AJ$103,14,FALSE)&lt;&gt;"",IF(VLOOKUP(A30,Schlußkurse!A$5:AU$105,43,FALSE)&gt;0,VLOOKUP(A30,Schlußkurse!A$5:AU$105,43,FALSE)/VLOOKUP(A30,Buchwert_je_Aktie!A$3:AJ$103,14,FALSE),""),"")</f>
        <v/>
      </c>
      <c r="L30" s="79" t="str">
        <f>IF(VLOOKUP(A30,Buchwert_je_Aktie!A$3:AJ$103,15,FALSE)&lt;&gt;"",IF(VLOOKUP(A30,Schlußkurse!A$5:AU$105,44,FALSE)&gt;0,VLOOKUP(A30,Schlußkurse!A$5:AU$105,44,FALSE)/VLOOKUP(A30,Buchwert_je_Aktie!A$3:AJ$103,15,FALSE),""),"")</f>
        <v/>
      </c>
      <c r="M30" s="79" t="str">
        <f>IF(VLOOKUP(A30,Buchwert_je_Aktie!A$3:AJ$103,16,FALSE)&lt;&gt;"",IF(VLOOKUP(A30,Schlußkurse!A$5:AU$105,45,FALSE)&gt;0,VLOOKUP(A30,Schlußkurse!A$5:AU$105,45,FALSE)/VLOOKUP(A30,Buchwert_je_Aktie!A$3:AJ$103,16,FALSE),""),"")</f>
        <v/>
      </c>
      <c r="N30" s="79" t="str">
        <f>IF(VLOOKUP(A30,Buchwert_je_Aktie!A$3:AJ$103,17,FALSE)&lt;&gt;"",IF(VLOOKUP(A30,Schlußkurse!A$5:AU$105,46,FALSE)&gt;0,VLOOKUP(A30,Schlußkurse!A$5:AU$105,46,FALSE)/VLOOKUP(A30,Buchwert_je_Aktie!A$3:AJ$103,17,FALSE),""),"")</f>
        <v/>
      </c>
      <c r="O30" s="80" t="str">
        <f>IF(VLOOKUP(A30,Buchwert_je_Aktie!A$3:AJ$103,18,FALSE)&lt;&gt;"",IF(VLOOKUP(A30,Schlußkurse!A$5:AU$105,47,FALSE)&gt;0,VLOOKUP(A30,Schlußkurse!A$5:AU$105,47,FALSE)/VLOOKUP(A30,Buchwert_je_Aktie!A$3:AJ$103,18,FALSE),""),"")</f>
        <v/>
      </c>
      <c r="P30" s="3">
        <f t="shared" si="0"/>
        <v>8.1376623376623378</v>
      </c>
      <c r="Q30" s="3">
        <f ca="1">VLOOKUP(A30,Schlußkurse!A$5:AU$105,35,FALSE)/VLOOKUP(A30,Buchwert_je_Aktie!A$3:AK$103,23,FALSE)</f>
        <v>10.687174190666937</v>
      </c>
      <c r="R30" s="5">
        <f t="shared" ca="1" si="1"/>
        <v>0.31329781787640298</v>
      </c>
    </row>
    <row r="31" spans="1:18" x14ac:dyDescent="0.25">
      <c r="A31" t="s">
        <v>52</v>
      </c>
      <c r="B31" t="s">
        <v>53</v>
      </c>
      <c r="C31" s="78">
        <f>IF(VLOOKUP(A31,Buchwert_je_Aktie!A$3:AJ$103,6,FALSE)&lt;&gt;"",IF(VLOOKUP(A31,Schlußkurse!A$5:AU$105,35,FALSE)&gt;0,VLOOKUP(A31,Schlußkurse!A$5:AU$105,35,FALSE) /VLOOKUP(A31,Buchwert_je_Aktie!A$3:AJ$103,6,FALSE),""),"")</f>
        <v>9.1528301886792445</v>
      </c>
      <c r="D31" s="79">
        <f>IF(VLOOKUP(A31,Buchwert_je_Aktie!A$3:AJ$103,7,FALSE)&lt;&gt;"",IF(VLOOKUP(A31,Schlußkurse!A$5:AU$105,36,FALSE)&gt;0,VLOOKUP(A31,Schlußkurse!A$5:AU$105,36,FALSE)/VLOOKUP(A31,Buchwert_je_Aktie!A$3:AJ$103,7,FALSE),""),"")</f>
        <v>8.5858407079646017</v>
      </c>
      <c r="E31" s="79">
        <f>IF(VLOOKUP(A31,Buchwert_je_Aktie!A$3:AJ$103,8,FALSE)&lt;&gt;"",IF(VLOOKUP(A31,Schlußkurse!A$5:AU$105,37,FALSE)&gt;0,VLOOKUP(A31,Schlußkurse!A$5:AU$105,37,FALSE)/VLOOKUP(A31,Buchwert_je_Aktie!A$3:AJ$103,8,FALSE),""),"")</f>
        <v>7.8083333333333336</v>
      </c>
      <c r="F31" s="79">
        <f>IF(VLOOKUP(A31,Buchwert_je_Aktie!A$3:AJ$103,9,FALSE)&lt;&gt;"",IF(VLOOKUP(A31,Schlußkurse!A$5:AU$105,38,FALSE)&gt;0,VLOOKUP(A31,Schlußkurse!A$5:AU$105,38,FALSE)/VLOOKUP(A31,Buchwert_je_Aktie!A$3:AJ$103,9,FALSE),""),"")</f>
        <v>7.2681647940074905</v>
      </c>
      <c r="G31" s="79">
        <f>IF(VLOOKUP(A31,Buchwert_je_Aktie!A$3:AJ$103,10,FALSE)&lt;&gt;"",IF(VLOOKUP(A31,Schlußkurse!A$5:AU$105,39,FALSE)&gt;0,VLOOKUP(A31,Schlußkurse!A$5:AU$105,39,FALSE)/VLOOKUP(A31,Buchwert_je_Aktie!A$3:AJ$103,10,FALSE),""),"")</f>
        <v>5.4585396039603955</v>
      </c>
      <c r="H31" s="79">
        <f>IF(VLOOKUP(A31,Buchwert_je_Aktie!A$3:AJ$103,11,FALSE)&lt;&gt;"",IF(VLOOKUP(A31,Schlußkurse!A$5:AU$105,40,FALSE)&gt;0,VLOOKUP(A31,Schlußkurse!A$5:AU$105,40,FALSE)/VLOOKUP(A31,Buchwert_je_Aktie!A$3:AJ$103,11,FALSE),""),"")</f>
        <v>6.5790163934426227</v>
      </c>
      <c r="I31" s="79">
        <f>IF(VLOOKUP(A31,Buchwert_je_Aktie!A$3:AJ$103,12,FALSE)&lt;&gt;"",IF(VLOOKUP(A31,Schlußkurse!A$5:AU$105,41,FALSE)&gt;0,VLOOKUP(A31,Schlußkurse!A$5:AU$105,41,FALSE)/VLOOKUP(A31,Buchwert_je_Aktie!A$3:AJ$103,12,FALSE),""),"")</f>
        <v>5.4478353442157559</v>
      </c>
      <c r="J31" s="79">
        <f>IF(VLOOKUP(A31,Buchwert_je_Aktie!A$3:AJ$103,13,FALSE)&lt;&gt;"",IF(VLOOKUP(A31,Schlußkurse!A$5:AU$105,42,FALSE)&gt;0,VLOOKUP(A31,Schlußkurse!A$5:AU$105,42,FALSE)/VLOOKUP(A31,Buchwert_je_Aktie!A$3:AJ$103,13,FALSE),""),"")</f>
        <v>4.4953203743700501</v>
      </c>
      <c r="K31" s="79">
        <f>IF(VLOOKUP(A31,Buchwert_je_Aktie!A$3:AJ$103,14,FALSE)&lt;&gt;"",IF(VLOOKUP(A31,Schlußkurse!A$5:AU$105,43,FALSE)&gt;0,VLOOKUP(A31,Schlußkurse!A$5:AU$105,43,FALSE)/VLOOKUP(A31,Buchwert_je_Aktie!A$3:AJ$103,14,FALSE),""),"")</f>
        <v>4.9084451460142065</v>
      </c>
      <c r="L31" s="79">
        <f>IF(VLOOKUP(A31,Buchwert_je_Aktie!A$3:AJ$103,15,FALSE)&lt;&gt;"",IF(VLOOKUP(A31,Schlußkurse!A$5:AU$105,44,FALSE)&gt;0,VLOOKUP(A31,Schlußkurse!A$5:AU$105,44,FALSE)/VLOOKUP(A31,Buchwert_je_Aktie!A$3:AJ$103,15,FALSE),""),"")</f>
        <v>4.9091666666666667</v>
      </c>
      <c r="M31" s="79">
        <f>IF(VLOOKUP(A31,Buchwert_je_Aktie!A$3:AJ$103,16,FALSE)&lt;&gt;"",IF(VLOOKUP(A31,Schlußkurse!A$5:AU$105,45,FALSE)&gt;0,VLOOKUP(A31,Schlußkurse!A$5:AU$105,45,FALSE)/VLOOKUP(A31,Buchwert_je_Aktie!A$3:AJ$103,16,FALSE),""),"")</f>
        <v>3.3867276887871856</v>
      </c>
      <c r="N31" s="79">
        <f>IF(VLOOKUP(A31,Buchwert_je_Aktie!A$3:AJ$103,17,FALSE)&lt;&gt;"",IF(VLOOKUP(A31,Schlußkurse!A$5:AU$105,46,FALSE)&gt;0,VLOOKUP(A31,Schlußkurse!A$5:AU$105,46,FALSE)/VLOOKUP(A31,Buchwert_je_Aktie!A$3:AJ$103,17,FALSE),""),"")</f>
        <v>2.6261682242990654</v>
      </c>
      <c r="O31" s="80">
        <f>IF(VLOOKUP(A31,Buchwert_je_Aktie!A$3:AJ$103,18,FALSE)&lt;&gt;"",IF(VLOOKUP(A31,Schlußkurse!A$5:AU$105,47,FALSE)&gt;0,VLOOKUP(A31,Schlußkurse!A$5:AU$105,47,FALSE)/VLOOKUP(A31,Buchwert_je_Aktie!A$3:AJ$103,18,FALSE),""),"")</f>
        <v>2.6738949124270226</v>
      </c>
      <c r="P31" s="3">
        <f t="shared" si="0"/>
        <v>5.4478353442157559</v>
      </c>
      <c r="Q31" s="3">
        <f ca="1">VLOOKUP(A31,Schlußkurse!A$5:AU$105,35,FALSE)/VLOOKUP(A31,Buchwert_je_Aktie!A$3:AK$103,23,FALSE)</f>
        <v>8.248051764039106</v>
      </c>
      <c r="R31" s="5">
        <f t="shared" ca="1" si="1"/>
        <v>0.51400533292484374</v>
      </c>
    </row>
    <row r="32" spans="1:18" x14ac:dyDescent="0.25">
      <c r="A32" t="s">
        <v>54</v>
      </c>
      <c r="B32" t="s">
        <v>55</v>
      </c>
      <c r="C32" s="78">
        <f>IF(VLOOKUP(A32,Buchwert_je_Aktie!A$3:AJ$103,6,FALSE)&lt;&gt;"",IF(VLOOKUP(A32,Schlußkurse!A$5:AU$105,35,FALSE)&gt;0,VLOOKUP(A32,Schlußkurse!A$5:AU$105,35,FALSE) /VLOOKUP(A32,Buchwert_je_Aktie!A$3:AJ$103,6,FALSE),""),"")</f>
        <v>3.5951807228915658</v>
      </c>
      <c r="D32" s="79">
        <f>IF(VLOOKUP(A32,Buchwert_je_Aktie!A$3:AJ$103,7,FALSE)&lt;&gt;"",IF(VLOOKUP(A32,Schlußkurse!A$5:AU$105,36,FALSE)&gt;0,VLOOKUP(A32,Schlußkurse!A$5:AU$105,36,FALSE)/VLOOKUP(A32,Buchwert_je_Aktie!A$3:AJ$103,7,FALSE),""),"")</f>
        <v>3.5523809523809522</v>
      </c>
      <c r="E32" s="79">
        <f>IF(VLOOKUP(A32,Buchwert_je_Aktie!A$3:AJ$103,8,FALSE)&lt;&gt;"",IF(VLOOKUP(A32,Schlußkurse!A$5:AU$105,37,FALSE)&gt;0,VLOOKUP(A32,Schlußkurse!A$5:AU$105,37,FALSE)/VLOOKUP(A32,Buchwert_je_Aktie!A$3:AJ$103,8,FALSE),""),"")</f>
        <v>3.3803571428571426</v>
      </c>
      <c r="F32" s="79">
        <f>IF(VLOOKUP(A32,Buchwert_je_Aktie!A$3:AJ$103,9,FALSE)&lt;&gt;"",IF(VLOOKUP(A32,Schlußkurse!A$5:AU$105,38,FALSE)&gt;0,VLOOKUP(A32,Schlußkurse!A$5:AU$105,38,FALSE)/VLOOKUP(A32,Buchwert_je_Aktie!A$3:AJ$103,9,FALSE),""),"")</f>
        <v>2.9200700116686114</v>
      </c>
      <c r="G32" s="79">
        <f>IF(VLOOKUP(A32,Buchwert_je_Aktie!A$3:AJ$103,10,FALSE)&lt;&gt;"",IF(VLOOKUP(A32,Schlußkurse!A$5:AU$105,39,FALSE)&gt;0,VLOOKUP(A32,Schlußkurse!A$5:AU$105,39,FALSE)/VLOOKUP(A32,Buchwert_je_Aktie!A$3:AJ$103,10,FALSE),""),"")</f>
        <v>2.408235294117647</v>
      </c>
      <c r="H32" s="79">
        <f>IF(VLOOKUP(A32,Buchwert_je_Aktie!A$3:AJ$103,11,FALSE)&lt;&gt;"",IF(VLOOKUP(A32,Schlußkurse!A$5:AU$105,40,FALSE)&gt;0,VLOOKUP(A32,Schlußkurse!A$5:AU$105,40,FALSE)/VLOOKUP(A32,Buchwert_je_Aktie!A$3:AJ$103,11,FALSE),""),"")</f>
        <v>2.1518264840182653</v>
      </c>
      <c r="I32" s="79">
        <f>IF(VLOOKUP(A32,Buchwert_je_Aktie!A$3:AJ$103,12,FALSE)&lt;&gt;"",IF(VLOOKUP(A32,Schlußkurse!A$5:AU$105,41,FALSE)&gt;0,VLOOKUP(A32,Schlußkurse!A$5:AU$105,41,FALSE)/VLOOKUP(A32,Buchwert_je_Aktie!A$3:AJ$103,12,FALSE),""),"")</f>
        <v>2.0100390407138873</v>
      </c>
      <c r="J32" s="79">
        <f>IF(VLOOKUP(A32,Buchwert_je_Aktie!A$3:AJ$103,13,FALSE)&lt;&gt;"",IF(VLOOKUP(A32,Schlußkurse!A$5:AU$105,42,FALSE)&gt;0,VLOOKUP(A32,Schlußkurse!A$5:AU$105,42,FALSE)/VLOOKUP(A32,Buchwert_je_Aktie!A$3:AJ$103,13,FALSE),""),"")</f>
        <v>2.0714285714285712</v>
      </c>
      <c r="K32" s="79">
        <f>IF(VLOOKUP(A32,Buchwert_je_Aktie!A$3:AJ$103,14,FALSE)&lt;&gt;"",IF(VLOOKUP(A32,Schlußkurse!A$5:AU$105,43,FALSE)&gt;0,VLOOKUP(A32,Schlußkurse!A$5:AU$105,43,FALSE)/VLOOKUP(A32,Buchwert_je_Aktie!A$3:AJ$103,14,FALSE),""),"")</f>
        <v>1.5999999999999999</v>
      </c>
      <c r="L32" s="79" t="str">
        <f>IF(VLOOKUP(A32,Buchwert_je_Aktie!A$3:AJ$103,15,FALSE)&lt;&gt;"",IF(VLOOKUP(A32,Schlußkurse!A$5:AU$105,44,FALSE)&gt;0,VLOOKUP(A32,Schlußkurse!A$5:AU$105,44,FALSE)/VLOOKUP(A32,Buchwert_je_Aktie!A$3:AJ$103,15,FALSE),""),"")</f>
        <v/>
      </c>
      <c r="M32" s="79" t="str">
        <f>IF(VLOOKUP(A32,Buchwert_je_Aktie!A$3:AJ$103,16,FALSE)&lt;&gt;"",IF(VLOOKUP(A32,Schlußkurse!A$5:AU$105,45,FALSE)&gt;0,VLOOKUP(A32,Schlußkurse!A$5:AU$105,45,FALSE)/VLOOKUP(A32,Buchwert_je_Aktie!A$3:AJ$103,16,FALSE),""),"")</f>
        <v/>
      </c>
      <c r="N32" s="79" t="str">
        <f>IF(VLOOKUP(A32,Buchwert_je_Aktie!A$3:AJ$103,17,FALSE)&lt;&gt;"",IF(VLOOKUP(A32,Schlußkurse!A$5:AU$105,46,FALSE)&gt;0,VLOOKUP(A32,Schlußkurse!A$5:AU$105,46,FALSE)/VLOOKUP(A32,Buchwert_je_Aktie!A$3:AJ$103,17,FALSE),""),"")</f>
        <v/>
      </c>
      <c r="O32" s="80" t="str">
        <f>IF(VLOOKUP(A32,Buchwert_je_Aktie!A$3:AJ$103,18,FALSE)&lt;&gt;"",IF(VLOOKUP(A32,Schlußkurse!A$5:AU$105,47,FALSE)&gt;0,VLOOKUP(A32,Schlußkurse!A$5:AU$105,47,FALSE)/VLOOKUP(A32,Buchwert_je_Aktie!A$3:AJ$103,18,FALSE),""),"")</f>
        <v/>
      </c>
      <c r="P32" s="3">
        <f t="shared" si="0"/>
        <v>2.408235294117647</v>
      </c>
      <c r="Q32" s="3">
        <f ca="1">VLOOKUP(A32,Schlußkurse!A$5:AU$105,35,FALSE)/VLOOKUP(A32,Buchwert_je_Aktie!A$3:AK$103,23,FALSE)</f>
        <v>3.5523809523809522</v>
      </c>
      <c r="R32" s="5">
        <f t="shared" ca="1" si="1"/>
        <v>0.47509712238583757</v>
      </c>
    </row>
    <row r="33" spans="1:18" x14ac:dyDescent="0.25">
      <c r="A33" t="s">
        <v>56</v>
      </c>
      <c r="B33" t="s">
        <v>57</v>
      </c>
      <c r="C33" s="78">
        <f>IF(VLOOKUP(A33,Buchwert_je_Aktie!A$3:AJ$103,6,FALSE)&lt;&gt;"",IF(VLOOKUP(A33,Schlußkurse!A$5:AU$105,35,FALSE)&gt;0,VLOOKUP(A33,Schlußkurse!A$5:AU$105,35,FALSE) /VLOOKUP(A33,Buchwert_je_Aktie!A$3:AJ$103,6,FALSE),""),"")</f>
        <v>3.6611940298507464</v>
      </c>
      <c r="D33" s="79">
        <f>IF(VLOOKUP(A33,Buchwert_je_Aktie!A$3:AJ$103,7,FALSE)&lt;&gt;"",IF(VLOOKUP(A33,Schlußkurse!A$5:AU$105,36,FALSE)&gt;0,VLOOKUP(A33,Schlußkurse!A$5:AU$105,36,FALSE)/VLOOKUP(A33,Buchwert_je_Aktie!A$3:AJ$103,7,FALSE),""),"")</f>
        <v>3.8328125000000002</v>
      </c>
      <c r="E33" s="79">
        <f>IF(VLOOKUP(A33,Buchwert_je_Aktie!A$3:AJ$103,8,FALSE)&lt;&gt;"",IF(VLOOKUP(A33,Schlußkurse!A$5:AU$105,37,FALSE)&gt;0,VLOOKUP(A33,Schlußkurse!A$5:AU$105,37,FALSE)/VLOOKUP(A33,Buchwert_je_Aktie!A$3:AJ$103,8,FALSE),""),"")</f>
        <v>3.5641025641025648</v>
      </c>
      <c r="F33" s="79">
        <f>IF(VLOOKUP(A33,Buchwert_je_Aktie!A$3:AJ$103,9,FALSE)&lt;&gt;"",IF(VLOOKUP(A33,Schlußkurse!A$5:AU$105,38,FALSE)&gt;0,VLOOKUP(A33,Schlußkurse!A$5:AU$105,38,FALSE)/VLOOKUP(A33,Buchwert_je_Aktie!A$3:AJ$103,9,FALSE),""),"")</f>
        <v>3.1692660550458718</v>
      </c>
      <c r="G33" s="79">
        <f>IF(VLOOKUP(A33,Buchwert_je_Aktie!A$3:AJ$103,10,FALSE)&lt;&gt;"",IF(VLOOKUP(A33,Schlußkurse!A$5:AU$105,39,FALSE)&gt;0,VLOOKUP(A33,Schlußkurse!A$5:AU$105,39,FALSE)/VLOOKUP(A33,Buchwert_je_Aktie!A$3:AJ$103,10,FALSE),""),"")</f>
        <v>3.2267932489451474</v>
      </c>
      <c r="H33" s="79">
        <f>IF(VLOOKUP(A33,Buchwert_je_Aktie!A$3:AJ$103,11,FALSE)&lt;&gt;"",IF(VLOOKUP(A33,Schlußkurse!A$5:AU$105,40,FALSE)&gt;0,VLOOKUP(A33,Schlußkurse!A$5:AU$105,40,FALSE)/VLOOKUP(A33,Buchwert_je_Aktie!A$3:AJ$103,11,FALSE),""),"")</f>
        <v>3.2828282828282829</v>
      </c>
      <c r="I33" s="79">
        <f>IF(VLOOKUP(A33,Buchwert_je_Aktie!A$3:AJ$103,12,FALSE)&lt;&gt;"",IF(VLOOKUP(A33,Schlußkurse!A$5:AU$105,41,FALSE)&gt;0,VLOOKUP(A33,Schlußkurse!A$5:AU$105,41,FALSE)/VLOOKUP(A33,Buchwert_je_Aktie!A$3:AJ$103,12,FALSE),""),"")</f>
        <v>3.3739002932551321</v>
      </c>
      <c r="J33" s="79">
        <f>IF(VLOOKUP(A33,Buchwert_je_Aktie!A$3:AJ$103,13,FALSE)&lt;&gt;"",IF(VLOOKUP(A33,Schlußkurse!A$5:AU$105,42,FALSE)&gt;0,VLOOKUP(A33,Schlußkurse!A$5:AU$105,42,FALSE)/VLOOKUP(A33,Buchwert_je_Aktie!A$3:AJ$103,13,FALSE),""),"")</f>
        <v>4.4596622889305815</v>
      </c>
      <c r="K33" s="79">
        <f>IF(VLOOKUP(A33,Buchwert_je_Aktie!A$3:AJ$103,14,FALSE)&lt;&gt;"",IF(VLOOKUP(A33,Schlußkurse!A$5:AU$105,43,FALSE)&gt;0,VLOOKUP(A33,Schlußkurse!A$5:AU$105,43,FALSE)/VLOOKUP(A33,Buchwert_je_Aktie!A$3:AJ$103,14,FALSE),""),"")</f>
        <v>6.1959459459459456</v>
      </c>
      <c r="L33" s="79">
        <f>IF(VLOOKUP(A33,Buchwert_je_Aktie!A$3:AJ$103,15,FALSE)&lt;&gt;"",IF(VLOOKUP(A33,Schlußkurse!A$5:AU$105,44,FALSE)&gt;0,VLOOKUP(A33,Schlußkurse!A$5:AU$105,44,FALSE)/VLOOKUP(A33,Buchwert_je_Aktie!A$3:AJ$103,15,FALSE),""),"")</f>
        <v>7.4231738035264474</v>
      </c>
      <c r="M33" s="79">
        <f>IF(VLOOKUP(A33,Buchwert_je_Aktie!A$3:AJ$103,16,FALSE)&lt;&gt;"",IF(VLOOKUP(A33,Schlußkurse!A$5:AU$105,45,FALSE)&gt;0,VLOOKUP(A33,Schlußkurse!A$5:AU$105,45,FALSE)/VLOOKUP(A33,Buchwert_je_Aktie!A$3:AJ$103,16,FALSE),""),"")</f>
        <v>7.0180722891566267</v>
      </c>
      <c r="N33" s="79">
        <f>IF(VLOOKUP(A33,Buchwert_je_Aktie!A$3:AJ$103,17,FALSE)&lt;&gt;"",IF(VLOOKUP(A33,Schlußkurse!A$5:AU$105,46,FALSE)&gt;0,VLOOKUP(A33,Schlußkurse!A$5:AU$105,46,FALSE)/VLOOKUP(A33,Buchwert_je_Aktie!A$3:AJ$103,17,FALSE),""),"")</f>
        <v>6.2255639097744355</v>
      </c>
      <c r="O33" s="80">
        <f>IF(VLOOKUP(A33,Buchwert_je_Aktie!A$3:AJ$103,18,FALSE)&lt;&gt;"",IF(VLOOKUP(A33,Schlußkurse!A$5:AU$105,47,FALSE)&gt;0,VLOOKUP(A33,Schlußkurse!A$5:AU$105,47,FALSE)/VLOOKUP(A33,Buchwert_je_Aktie!A$3:AJ$103,18,FALSE),""),"")</f>
        <v>6.3608017817371936</v>
      </c>
      <c r="P33" s="3">
        <f t="shared" si="0"/>
        <v>3.8328125000000002</v>
      </c>
      <c r="Q33" s="3">
        <f ca="1">VLOOKUP(A33,Schlußkurse!A$5:AU$105,35,FALSE)/VLOOKUP(A33,Buchwert_je_Aktie!A$3:AK$103,23,FALSE)</f>
        <v>3.8856841132598512</v>
      </c>
      <c r="R33" s="5">
        <f t="shared" ca="1" si="1"/>
        <v>1.3794469011946475E-2</v>
      </c>
    </row>
    <row r="34" spans="1:18" x14ac:dyDescent="0.25">
      <c r="A34" t="s">
        <v>58</v>
      </c>
      <c r="B34" t="s">
        <v>59</v>
      </c>
      <c r="C34" s="78">
        <f>IF(VLOOKUP(A34,Buchwert_je_Aktie!A$3:AJ$103,6,FALSE)&lt;&gt;"",IF(VLOOKUP(A34,Schlußkurse!A$5:AU$105,35,FALSE)&gt;0,VLOOKUP(A34,Schlußkurse!A$5:AU$105,35,FALSE) /VLOOKUP(A34,Buchwert_je_Aktie!A$3:AJ$103,6,FALSE),""),"")</f>
        <v>2.1741573033707864</v>
      </c>
      <c r="D34" s="79">
        <f>IF(VLOOKUP(A34,Buchwert_je_Aktie!A$3:AJ$103,7,FALSE)&lt;&gt;"",IF(VLOOKUP(A34,Schlußkurse!A$5:AU$105,36,FALSE)&gt;0,VLOOKUP(A34,Schlußkurse!A$5:AU$105,36,FALSE)/VLOOKUP(A34,Buchwert_je_Aktie!A$3:AJ$103,7,FALSE),""),"")</f>
        <v>2.2500000000000004</v>
      </c>
      <c r="E34" s="79">
        <f>IF(VLOOKUP(A34,Buchwert_je_Aktie!A$3:AJ$103,8,FALSE)&lt;&gt;"",IF(VLOOKUP(A34,Schlußkurse!A$5:AU$105,37,FALSE)&gt;0,VLOOKUP(A34,Schlußkurse!A$5:AU$105,37,FALSE)/VLOOKUP(A34,Buchwert_je_Aktie!A$3:AJ$103,8,FALSE),""),"")</f>
        <v>2.242283950617284</v>
      </c>
      <c r="F34" s="79">
        <f>IF(VLOOKUP(A34,Buchwert_je_Aktie!A$3:AJ$103,9,FALSE)&lt;&gt;"",IF(VLOOKUP(A34,Schlußkurse!A$5:AU$105,38,FALSE)&gt;0,VLOOKUP(A34,Schlußkurse!A$5:AU$105,38,FALSE)/VLOOKUP(A34,Buchwert_je_Aktie!A$3:AJ$103,9,FALSE),""),"")</f>
        <v>2.1163069544364506</v>
      </c>
      <c r="G34" s="79">
        <f>IF(VLOOKUP(A34,Buchwert_je_Aktie!A$3:AJ$103,10,FALSE)&lt;&gt;"",IF(VLOOKUP(A34,Schlußkurse!A$5:AU$105,39,FALSE)&gt;0,VLOOKUP(A34,Schlußkurse!A$5:AU$105,39,FALSE)/VLOOKUP(A34,Buchwert_je_Aktie!A$3:AJ$103,10,FALSE),""),"")</f>
        <v>0.67966280295047421</v>
      </c>
      <c r="H34" s="79">
        <f>IF(VLOOKUP(A34,Buchwert_je_Aktie!A$3:AJ$103,11,FALSE)&lt;&gt;"",IF(VLOOKUP(A34,Schlußkurse!A$5:AU$105,40,FALSE)&gt;0,VLOOKUP(A34,Schlußkurse!A$5:AU$105,40,FALSE)/VLOOKUP(A34,Buchwert_je_Aktie!A$3:AJ$103,11,FALSE),""),"")</f>
        <v>1.0010485651214127</v>
      </c>
      <c r="I34" s="79">
        <f>IF(VLOOKUP(A34,Buchwert_je_Aktie!A$3:AJ$103,12,FALSE)&lt;&gt;"",IF(VLOOKUP(A34,Schlußkurse!A$5:AU$105,41,FALSE)&gt;0,VLOOKUP(A34,Schlußkurse!A$5:AU$105,41,FALSE)/VLOOKUP(A34,Buchwert_je_Aktie!A$3:AJ$103,12,FALSE),""),"")</f>
        <v>0.33319946452476568</v>
      </c>
      <c r="J34" s="79">
        <f>IF(VLOOKUP(A34,Buchwert_je_Aktie!A$3:AJ$103,13,FALSE)&lt;&gt;"",IF(VLOOKUP(A34,Schlußkurse!A$5:AU$105,42,FALSE)&gt;0,VLOOKUP(A34,Schlußkurse!A$5:AU$105,42,FALSE)/VLOOKUP(A34,Buchwert_je_Aktie!A$3:AJ$103,13,FALSE),""),"")</f>
        <v>0.49307317073170731</v>
      </c>
      <c r="K34" s="79">
        <f>IF(VLOOKUP(A34,Buchwert_je_Aktie!A$3:AJ$103,14,FALSE)&lt;&gt;"",IF(VLOOKUP(A34,Schlußkurse!A$5:AU$105,43,FALSE)&gt;0,VLOOKUP(A34,Schlußkurse!A$5:AU$105,43,FALSE)/VLOOKUP(A34,Buchwert_je_Aktie!A$3:AJ$103,14,FALSE),""),"")</f>
        <v>9.4574528840662475E-2</v>
      </c>
      <c r="L34" s="79" t="str">
        <f>IF(VLOOKUP(A34,Buchwert_je_Aktie!A$3:AJ$103,15,FALSE)&lt;&gt;"",IF(VLOOKUP(A34,Schlußkurse!A$5:AU$105,44,FALSE)&gt;0,VLOOKUP(A34,Schlußkurse!A$5:AU$105,44,FALSE)/VLOOKUP(A34,Buchwert_je_Aktie!A$3:AJ$103,15,FALSE),""),"")</f>
        <v/>
      </c>
      <c r="M34" s="79" t="str">
        <f>IF(VLOOKUP(A34,Buchwert_je_Aktie!A$3:AJ$103,16,FALSE)&lt;&gt;"",IF(VLOOKUP(A34,Schlußkurse!A$5:AU$105,45,FALSE)&gt;0,VLOOKUP(A34,Schlußkurse!A$5:AU$105,45,FALSE)/VLOOKUP(A34,Buchwert_je_Aktie!A$3:AJ$103,16,FALSE),""),"")</f>
        <v/>
      </c>
      <c r="N34" s="79" t="str">
        <f>IF(VLOOKUP(A34,Buchwert_je_Aktie!A$3:AJ$103,17,FALSE)&lt;&gt;"",IF(VLOOKUP(A34,Schlußkurse!A$5:AU$105,46,FALSE)&gt;0,VLOOKUP(A34,Schlußkurse!A$5:AU$105,46,FALSE)/VLOOKUP(A34,Buchwert_je_Aktie!A$3:AJ$103,17,FALSE),""),"")</f>
        <v/>
      </c>
      <c r="O34" s="80" t="str">
        <f>IF(VLOOKUP(A34,Buchwert_je_Aktie!A$3:AJ$103,18,FALSE)&lt;&gt;"",IF(VLOOKUP(A34,Schlußkurse!A$5:AU$105,47,FALSE)&gt;0,VLOOKUP(A34,Schlußkurse!A$5:AU$105,47,FALSE)/VLOOKUP(A34,Buchwert_je_Aktie!A$3:AJ$103,18,FALSE),""),"")</f>
        <v/>
      </c>
      <c r="P34" s="3">
        <f t="shared" si="0"/>
        <v>1.0010485651214127</v>
      </c>
      <c r="Q34" s="3">
        <f ca="1">VLOOKUP(A34,Schlußkurse!A$5:AU$105,35,FALSE)/VLOOKUP(A34,Buchwert_je_Aktie!A$3:AK$103,23,FALSE)</f>
        <v>2.3399395364460869</v>
      </c>
      <c r="R34" s="5">
        <f t="shared" ca="1" si="1"/>
        <v>1.3374885275044432</v>
      </c>
    </row>
    <row r="35" spans="1:18" x14ac:dyDescent="0.25">
      <c r="A35" t="s">
        <v>60</v>
      </c>
      <c r="B35" t="s">
        <v>61</v>
      </c>
      <c r="C35" s="78">
        <f>IF(VLOOKUP(A35,Buchwert_je_Aktie!A$3:AJ$103,6,FALSE)&lt;&gt;"",IF(VLOOKUP(A35,Schlußkurse!A$5:AU$105,35,FALSE)&gt;0,VLOOKUP(A35,Schlußkurse!A$5:AU$105,35,FALSE) /VLOOKUP(A35,Buchwert_je_Aktie!A$3:AJ$103,6,FALSE),""),"")</f>
        <v>5.5555555555555554</v>
      </c>
      <c r="D35" s="79">
        <f>IF(VLOOKUP(A35,Buchwert_je_Aktie!A$3:AJ$103,7,FALSE)&lt;&gt;"",IF(VLOOKUP(A35,Schlußkurse!A$5:AU$105,36,FALSE)&gt;0,VLOOKUP(A35,Schlußkurse!A$5:AU$105,36,FALSE)/VLOOKUP(A35,Buchwert_je_Aktie!A$3:AJ$103,7,FALSE),""),"")</f>
        <v>6.5714285714285712</v>
      </c>
      <c r="E35" s="79">
        <f>IF(VLOOKUP(A35,Buchwert_je_Aktie!A$3:AJ$103,8,FALSE)&lt;&gt;"",IF(VLOOKUP(A35,Schlußkurse!A$5:AU$105,37,FALSE)&gt;0,VLOOKUP(A35,Schlußkurse!A$5:AU$105,37,FALSE)/VLOOKUP(A35,Buchwert_je_Aktie!A$3:AJ$103,8,FALSE),""),"")</f>
        <v>7.183229813664596</v>
      </c>
      <c r="F35" s="79">
        <f>IF(VLOOKUP(A35,Buchwert_je_Aktie!A$3:AJ$103,9,FALSE)&lt;&gt;"",IF(VLOOKUP(A35,Schlußkurse!A$5:AU$105,38,FALSE)&gt;0,VLOOKUP(A35,Schlußkurse!A$5:AU$105,38,FALSE)/VLOOKUP(A35,Buchwert_je_Aktie!A$3:AJ$103,9,FALSE),""),"")</f>
        <v>6.0314232902033273</v>
      </c>
      <c r="G35" s="79">
        <f>IF(VLOOKUP(A35,Buchwert_je_Aktie!A$3:AJ$103,10,FALSE)&lt;&gt;"",IF(VLOOKUP(A35,Schlußkurse!A$5:AU$105,39,FALSE)&gt;0,VLOOKUP(A35,Schlußkurse!A$5:AU$105,39,FALSE)/VLOOKUP(A35,Buchwert_je_Aktie!A$3:AJ$103,10,FALSE),""),"")</f>
        <v>3.6693344566133113</v>
      </c>
      <c r="H35" s="79">
        <f>IF(VLOOKUP(A35,Buchwert_je_Aktie!A$3:AJ$103,11,FALSE)&lt;&gt;"",IF(VLOOKUP(A35,Schlußkurse!A$5:AU$105,40,FALSE)&gt;0,VLOOKUP(A35,Schlußkurse!A$5:AU$105,40,FALSE)/VLOOKUP(A35,Buchwert_je_Aktie!A$3:AJ$103,11,FALSE),""),"")</f>
        <v>3.1133694670280039</v>
      </c>
      <c r="I35" s="79">
        <f>IF(VLOOKUP(A35,Buchwert_je_Aktie!A$3:AJ$103,12,FALSE)&lt;&gt;"",IF(VLOOKUP(A35,Schlußkurse!A$5:AU$105,41,FALSE)&gt;0,VLOOKUP(A35,Schlußkurse!A$5:AU$105,41,FALSE)/VLOOKUP(A35,Buchwert_je_Aktie!A$3:AJ$103,12,FALSE),""),"")</f>
        <v>2.4408901251738526</v>
      </c>
      <c r="J35" s="79">
        <f>IF(VLOOKUP(A35,Buchwert_je_Aktie!A$3:AJ$103,13,FALSE)&lt;&gt;"",IF(VLOOKUP(A35,Schlußkurse!A$5:AU$105,42,FALSE)&gt;0,VLOOKUP(A35,Schlußkurse!A$5:AU$105,42,FALSE)/VLOOKUP(A35,Buchwert_je_Aktie!A$3:AJ$103,13,FALSE),""),"")</f>
        <v>4.4879614767255207</v>
      </c>
      <c r="K35" s="79">
        <f>IF(VLOOKUP(A35,Buchwert_je_Aktie!A$3:AJ$103,14,FALSE)&lt;&gt;"",IF(VLOOKUP(A35,Schlußkurse!A$5:AU$105,43,FALSE)&gt;0,VLOOKUP(A35,Schlußkurse!A$5:AU$105,43,FALSE)/VLOOKUP(A35,Buchwert_je_Aktie!A$3:AJ$103,14,FALSE),""),"")</f>
        <v>6.2024972855591747</v>
      </c>
      <c r="L35" s="79">
        <f>IF(VLOOKUP(A35,Buchwert_je_Aktie!A$3:AJ$103,15,FALSE)&lt;&gt;"",IF(VLOOKUP(A35,Schlußkurse!A$5:AU$105,44,FALSE)&gt;0,VLOOKUP(A35,Schlußkurse!A$5:AU$105,44,FALSE)/VLOOKUP(A35,Buchwert_je_Aktie!A$3:AJ$103,15,FALSE),""),"")</f>
        <v>4.080748976009362</v>
      </c>
      <c r="M35" s="79">
        <f>IF(VLOOKUP(A35,Buchwert_je_Aktie!A$3:AJ$103,16,FALSE)&lt;&gt;"",IF(VLOOKUP(A35,Schlußkurse!A$5:AU$105,45,FALSE)&gt;0,VLOOKUP(A35,Schlußkurse!A$5:AU$105,45,FALSE)/VLOOKUP(A35,Buchwert_je_Aktie!A$3:AJ$103,16,FALSE),""),"")</f>
        <v>3.4487272727272726</v>
      </c>
      <c r="N35" s="79">
        <f>IF(VLOOKUP(A35,Buchwert_je_Aktie!A$3:AJ$103,17,FALSE)&lt;&gt;"",IF(VLOOKUP(A35,Schlußkurse!A$5:AU$105,46,FALSE)&gt;0,VLOOKUP(A35,Schlußkurse!A$5:AU$105,46,FALSE)/VLOOKUP(A35,Buchwert_je_Aktie!A$3:AJ$103,17,FALSE),""),"")</f>
        <v>2.6519567027477104</v>
      </c>
      <c r="O35" s="80">
        <f>IF(VLOOKUP(A35,Buchwert_je_Aktie!A$3:AJ$103,18,FALSE)&lt;&gt;"",IF(VLOOKUP(A35,Schlußkurse!A$5:AU$105,47,FALSE)&gt;0,VLOOKUP(A35,Schlußkurse!A$5:AU$105,47,FALSE)/VLOOKUP(A35,Buchwert_je_Aktie!A$3:AJ$103,18,FALSE),""),"")</f>
        <v>1.7495219885277247</v>
      </c>
      <c r="P35" s="3">
        <f t="shared" si="0"/>
        <v>4.080748976009362</v>
      </c>
      <c r="Q35" s="3">
        <f ca="1">VLOOKUP(A35,Schlußkurse!A$5:AU$105,35,FALSE)/VLOOKUP(A35,Buchwert_je_Aktie!A$3:AK$103,23,FALSE)</f>
        <v>6.74838625546065</v>
      </c>
      <c r="R35" s="5">
        <f t="shared" ca="1" si="1"/>
        <v>0.65371266283083607</v>
      </c>
    </row>
    <row r="36" spans="1:18" x14ac:dyDescent="0.25">
      <c r="A36" t="s">
        <v>62</v>
      </c>
      <c r="B36" t="s">
        <v>63</v>
      </c>
      <c r="C36" s="78">
        <f>IF(VLOOKUP(A36,Buchwert_je_Aktie!A$3:AJ$103,6,FALSE)&lt;&gt;"",IF(VLOOKUP(A36,Schlußkurse!A$5:AU$105,35,FALSE)&gt;0,VLOOKUP(A36,Schlußkurse!A$5:AU$105,35,FALSE) /VLOOKUP(A36,Buchwert_je_Aktie!A$3:AJ$103,6,FALSE),""),"")</f>
        <v>3.2413043478260866</v>
      </c>
      <c r="D36" s="79">
        <f>IF(VLOOKUP(A36,Buchwert_je_Aktie!A$3:AJ$103,7,FALSE)&lt;&gt;"",IF(VLOOKUP(A36,Schlußkurse!A$5:AU$105,36,FALSE)&gt;0,VLOOKUP(A36,Schlußkurse!A$5:AU$105,36,FALSE)/VLOOKUP(A36,Buchwert_je_Aktie!A$3:AJ$103,7,FALSE),""),"")</f>
        <v>3.6365853658536582</v>
      </c>
      <c r="E36" s="79">
        <f>IF(VLOOKUP(A36,Buchwert_je_Aktie!A$3:AJ$103,8,FALSE)&lt;&gt;"",IF(VLOOKUP(A36,Schlußkurse!A$5:AU$105,37,FALSE)&gt;0,VLOOKUP(A36,Schlußkurse!A$5:AU$105,37,FALSE)/VLOOKUP(A36,Buchwert_je_Aktie!A$3:AJ$103,8,FALSE),""),"")</f>
        <v>3.8200000000000003</v>
      </c>
      <c r="F36" s="79">
        <f>IF(VLOOKUP(A36,Buchwert_je_Aktie!A$3:AJ$103,9,FALSE)&lt;&gt;"",IF(VLOOKUP(A36,Schlußkurse!A$5:AU$105,38,FALSE)&gt;0,VLOOKUP(A36,Schlußkurse!A$5:AU$105,38,FALSE)/VLOOKUP(A36,Buchwert_je_Aktie!A$3:AJ$103,9,FALSE),""),"")</f>
        <v>3.2171428571428571</v>
      </c>
      <c r="G36" s="79">
        <f>IF(VLOOKUP(A36,Buchwert_je_Aktie!A$3:AJ$103,10,FALSE)&lt;&gt;"",IF(VLOOKUP(A36,Schlußkurse!A$5:AU$105,39,FALSE)&gt;0,VLOOKUP(A36,Schlußkurse!A$5:AU$105,39,FALSE)/VLOOKUP(A36,Buchwert_je_Aktie!A$3:AJ$103,10,FALSE),""),"")</f>
        <v>2.7544224765868885</v>
      </c>
      <c r="H36" s="79">
        <f>IF(VLOOKUP(A36,Buchwert_je_Aktie!A$3:AJ$103,11,FALSE)&lt;&gt;"",IF(VLOOKUP(A36,Schlußkurse!A$5:AU$105,40,FALSE)&gt;0,VLOOKUP(A36,Schlußkurse!A$5:AU$105,40,FALSE)/VLOOKUP(A36,Buchwert_je_Aktie!A$3:AJ$103,11,FALSE),""),"")</f>
        <v>3.8406285072951736</v>
      </c>
      <c r="I36" s="79">
        <f>IF(VLOOKUP(A36,Buchwert_je_Aktie!A$3:AJ$103,12,FALSE)&lt;&gt;"",IF(VLOOKUP(A36,Schlußkurse!A$5:AU$105,41,FALSE)&gt;0,VLOOKUP(A36,Schlußkurse!A$5:AU$105,41,FALSE)/VLOOKUP(A36,Buchwert_je_Aktie!A$3:AJ$103,12,FALSE),""),"")</f>
        <v>2.8751592356687898</v>
      </c>
      <c r="J36" s="79">
        <f>IF(VLOOKUP(A36,Buchwert_je_Aktie!A$3:AJ$103,13,FALSE)&lt;&gt;"",IF(VLOOKUP(A36,Schlußkurse!A$5:AU$105,42,FALSE)&gt;0,VLOOKUP(A36,Schlußkurse!A$5:AU$105,42,FALSE)/VLOOKUP(A36,Buchwert_je_Aktie!A$3:AJ$103,13,FALSE),""),"")</f>
        <v>3.195758564437194</v>
      </c>
      <c r="K36" s="79">
        <f>IF(VLOOKUP(A36,Buchwert_je_Aktie!A$3:AJ$103,14,FALSE)&lt;&gt;"",IF(VLOOKUP(A36,Schlußkurse!A$5:AU$105,43,FALSE)&gt;0,VLOOKUP(A36,Schlußkurse!A$5:AU$105,43,FALSE)/VLOOKUP(A36,Buchwert_je_Aktie!A$3:AJ$103,14,FALSE),""),"")</f>
        <v>4.5588822355289427</v>
      </c>
      <c r="L36" s="79">
        <f>IF(VLOOKUP(A36,Buchwert_je_Aktie!A$3:AJ$103,15,FALSE)&lt;&gt;"",IF(VLOOKUP(A36,Schlußkurse!A$5:AU$105,44,FALSE)&gt;0,VLOOKUP(A36,Schlußkurse!A$5:AU$105,44,FALSE)/VLOOKUP(A36,Buchwert_je_Aktie!A$3:AJ$103,15,FALSE),""),"")</f>
        <v>4.3355704697986575</v>
      </c>
      <c r="M36" s="79">
        <f>IF(VLOOKUP(A36,Buchwert_je_Aktie!A$3:AJ$103,16,FALSE)&lt;&gt;"",IF(VLOOKUP(A36,Schlußkurse!A$5:AU$105,45,FALSE)&gt;0,VLOOKUP(A36,Schlußkurse!A$5:AU$105,45,FALSE)/VLOOKUP(A36,Buchwert_je_Aktie!A$3:AJ$103,16,FALSE),""),"")</f>
        <v>4.2960725075528705</v>
      </c>
      <c r="N36" s="79">
        <f>IF(VLOOKUP(A36,Buchwert_je_Aktie!A$3:AJ$103,17,FALSE)&lt;&gt;"",IF(VLOOKUP(A36,Schlußkurse!A$5:AU$105,46,FALSE)&gt;0,VLOOKUP(A36,Schlußkurse!A$5:AU$105,46,FALSE)/VLOOKUP(A36,Buchwert_je_Aktie!A$3:AJ$103,17,FALSE),""),"")</f>
        <v>4.4599303135888499</v>
      </c>
      <c r="O36" s="80">
        <f>IF(VLOOKUP(A36,Buchwert_je_Aktie!A$3:AJ$103,18,FALSE)&lt;&gt;"",IF(VLOOKUP(A36,Schlußkurse!A$5:AU$105,47,FALSE)&gt;0,VLOOKUP(A36,Schlußkurse!A$5:AU$105,47,FALSE)/VLOOKUP(A36,Buchwert_je_Aktie!A$3:AJ$103,18,FALSE),""),"")</f>
        <v>5.4028436018957349</v>
      </c>
      <c r="P36" s="3">
        <f t="shared" si="0"/>
        <v>3.8200000000000003</v>
      </c>
      <c r="Q36" s="3">
        <f ca="1">VLOOKUP(A36,Schlußkurse!A$5:AU$105,35,FALSE)/VLOOKUP(A36,Buchwert_je_Aktie!A$3:AK$103,23,FALSE)</f>
        <v>3.6667273886510601</v>
      </c>
      <c r="R36" s="5">
        <f t="shared" ca="1" si="1"/>
        <v>-4.0123720248413708E-2</v>
      </c>
    </row>
    <row r="37" spans="1:18" x14ac:dyDescent="0.25">
      <c r="A37" t="s">
        <v>64</v>
      </c>
      <c r="B37" t="s">
        <v>65</v>
      </c>
      <c r="C37" s="78">
        <f>IF(VLOOKUP(A37,Buchwert_je_Aktie!A$3:AJ$103,6,FALSE)&lt;&gt;"",IF(VLOOKUP(A37,Schlußkurse!A$5:AU$105,35,FALSE)&gt;0,VLOOKUP(A37,Schlußkurse!A$5:AU$105,35,FALSE) /VLOOKUP(A37,Buchwert_je_Aktie!A$3:AJ$103,6,FALSE),""),"")</f>
        <v>8.20695652173913</v>
      </c>
      <c r="D37" s="79">
        <f>IF(VLOOKUP(A37,Buchwert_je_Aktie!A$3:AJ$103,7,FALSE)&lt;&gt;"",IF(VLOOKUP(A37,Schlußkurse!A$5:AU$105,36,FALSE)&gt;0,VLOOKUP(A37,Schlußkurse!A$5:AU$105,36,FALSE)/VLOOKUP(A37,Buchwert_je_Aktie!A$3:AJ$103,7,FALSE),""),"")</f>
        <v>8.6587155963302749</v>
      </c>
      <c r="E37" s="79">
        <f>IF(VLOOKUP(A37,Buchwert_je_Aktie!A$3:AJ$103,8,FALSE)&lt;&gt;"",IF(VLOOKUP(A37,Schlußkurse!A$5:AU$105,37,FALSE)&gt;0,VLOOKUP(A37,Schlußkurse!A$5:AU$105,37,FALSE)/VLOOKUP(A37,Buchwert_je_Aktie!A$3:AJ$103,8,FALSE),""),"")</f>
        <v>8.6752293577981643</v>
      </c>
      <c r="F37" s="79">
        <f>IF(VLOOKUP(A37,Buchwert_je_Aktie!A$3:AJ$103,9,FALSE)&lt;&gt;"",IF(VLOOKUP(A37,Schlußkurse!A$5:AU$105,38,FALSE)&gt;0,VLOOKUP(A37,Schlußkurse!A$5:AU$105,38,FALSE)/VLOOKUP(A37,Buchwert_je_Aktie!A$3:AJ$103,9,FALSE),""),"")</f>
        <v>6.9522212908633696</v>
      </c>
      <c r="G37" s="79">
        <f>IF(VLOOKUP(A37,Buchwert_je_Aktie!A$3:AJ$103,10,FALSE)&lt;&gt;"",IF(VLOOKUP(A37,Schlußkurse!A$5:AU$105,39,FALSE)&gt;0,VLOOKUP(A37,Schlußkurse!A$5:AU$105,39,FALSE)/VLOOKUP(A37,Buchwert_je_Aktie!A$3:AJ$103,10,FALSE),""),"")</f>
        <v>4.2503105590062109</v>
      </c>
      <c r="H37" s="79">
        <f>IF(VLOOKUP(A37,Buchwert_je_Aktie!A$3:AJ$103,11,FALSE)&lt;&gt;"",IF(VLOOKUP(A37,Schlußkurse!A$5:AU$105,40,FALSE)&gt;0,VLOOKUP(A37,Schlußkurse!A$5:AU$105,40,FALSE)/VLOOKUP(A37,Buchwert_je_Aktie!A$3:AJ$103,11,FALSE),""),"")</f>
        <v>4.5445205479452051</v>
      </c>
      <c r="I37" s="79">
        <f>IF(VLOOKUP(A37,Buchwert_je_Aktie!A$3:AJ$103,12,FALSE)&lt;&gt;"",IF(VLOOKUP(A37,Schlußkurse!A$5:AU$105,41,FALSE)&gt;0,VLOOKUP(A37,Schlußkurse!A$5:AU$105,41,FALSE)/VLOOKUP(A37,Buchwert_je_Aktie!A$3:AJ$103,12,FALSE),""),"")</f>
        <v>4.8608630952380949</v>
      </c>
      <c r="J37" s="79">
        <f>IF(VLOOKUP(A37,Buchwert_je_Aktie!A$3:AJ$103,13,FALSE)&lt;&gt;"",IF(VLOOKUP(A37,Schlußkurse!A$5:AU$105,42,FALSE)&gt;0,VLOOKUP(A37,Schlußkurse!A$5:AU$105,42,FALSE)/VLOOKUP(A37,Buchwert_je_Aktie!A$3:AJ$103,13,FALSE),""),"")</f>
        <v>4.4542124542124535</v>
      </c>
      <c r="K37" s="79">
        <f>IF(VLOOKUP(A37,Buchwert_je_Aktie!A$3:AJ$103,14,FALSE)&lt;&gt;"",IF(VLOOKUP(A37,Schlußkurse!A$5:AU$105,43,FALSE)&gt;0,VLOOKUP(A37,Schlußkurse!A$5:AU$105,43,FALSE)/VLOOKUP(A37,Buchwert_je_Aktie!A$3:AJ$103,14,FALSE),""),"")</f>
        <v>4.8858162355040138</v>
      </c>
      <c r="L37" s="79">
        <f>IF(VLOOKUP(A37,Buchwert_je_Aktie!A$3:AJ$103,15,FALSE)&lt;&gt;"",IF(VLOOKUP(A37,Schlußkurse!A$5:AU$105,44,FALSE)&gt;0,VLOOKUP(A37,Schlußkurse!A$5:AU$105,44,FALSE)/VLOOKUP(A37,Buchwert_je_Aktie!A$3:AJ$103,15,FALSE),""),"")</f>
        <v>9.6564885496183201</v>
      </c>
      <c r="M37" s="79">
        <f>IF(VLOOKUP(A37,Buchwert_je_Aktie!A$3:AJ$103,16,FALSE)&lt;&gt;"",IF(VLOOKUP(A37,Schlußkurse!A$5:AU$105,45,FALSE)&gt;0,VLOOKUP(A37,Schlußkurse!A$5:AU$105,45,FALSE)/VLOOKUP(A37,Buchwert_je_Aktie!A$3:AJ$103,16,FALSE),""),"")</f>
        <v>5.8072289156626509</v>
      </c>
      <c r="N37" s="79">
        <f>IF(VLOOKUP(A37,Buchwert_je_Aktie!A$3:AJ$103,17,FALSE)&lt;&gt;"",IF(VLOOKUP(A37,Schlußkurse!A$5:AU$105,46,FALSE)&gt;0,VLOOKUP(A37,Schlußkurse!A$5:AU$105,46,FALSE)/VLOOKUP(A37,Buchwert_je_Aktie!A$3:AJ$103,17,FALSE),""),"")</f>
        <v>6.2926829268292686</v>
      </c>
      <c r="O37" s="80">
        <f>IF(VLOOKUP(A37,Buchwert_je_Aktie!A$3:AJ$103,18,FALSE)&lt;&gt;"",IF(VLOOKUP(A37,Schlußkurse!A$5:AU$105,47,FALSE)&gt;0,VLOOKUP(A37,Schlußkurse!A$5:AU$105,47,FALSE)/VLOOKUP(A37,Buchwert_je_Aktie!A$3:AJ$103,18,FALSE),""),"")</f>
        <v>6.0346820809248554</v>
      </c>
      <c r="P37" s="3">
        <f t="shared" si="0"/>
        <v>6.0346820809248554</v>
      </c>
      <c r="Q37" s="3">
        <f ca="1">VLOOKUP(A37,Schlußkurse!A$5:AU$105,35,FALSE)/VLOOKUP(A37,Buchwert_je_Aktie!A$3:AK$103,23,FALSE)</f>
        <v>8.6587155963302749</v>
      </c>
      <c r="R37" s="5">
        <f t="shared" ca="1" si="1"/>
        <v>0.43482547716967201</v>
      </c>
    </row>
    <row r="38" spans="1:18" x14ac:dyDescent="0.25">
      <c r="A38" t="s">
        <v>66</v>
      </c>
      <c r="B38" t="s">
        <v>67</v>
      </c>
      <c r="C38" s="78">
        <f>IF(VLOOKUP(A38,Buchwert_je_Aktie!A$3:AJ$103,6,FALSE)&lt;&gt;"",IF(VLOOKUP(A38,Schlußkurse!A$5:AU$105,35,FALSE)&gt;0,VLOOKUP(A38,Schlußkurse!A$5:AU$105,35,FALSE) /VLOOKUP(A38,Buchwert_je_Aktie!A$3:AJ$103,6,FALSE),""),"")</f>
        <v>3.034513274336283</v>
      </c>
      <c r="D38" s="79">
        <f>IF(VLOOKUP(A38,Buchwert_je_Aktie!A$3:AJ$103,7,FALSE)&lt;&gt;"",IF(VLOOKUP(A38,Schlußkurse!A$5:AU$105,36,FALSE)&gt;0,VLOOKUP(A38,Schlußkurse!A$5:AU$105,36,FALSE)/VLOOKUP(A38,Buchwert_je_Aktie!A$3:AJ$103,7,FALSE),""),"")</f>
        <v>3.1172727272727272</v>
      </c>
      <c r="E38" s="79">
        <f>IF(VLOOKUP(A38,Buchwert_je_Aktie!A$3:AJ$103,8,FALSE)&lt;&gt;"",IF(VLOOKUP(A38,Schlußkurse!A$5:AU$105,37,FALSE)&gt;0,VLOOKUP(A38,Schlußkurse!A$5:AU$105,37,FALSE)/VLOOKUP(A38,Buchwert_je_Aktie!A$3:AJ$103,8,FALSE),""),"")</f>
        <v>2.8318181818181816</v>
      </c>
      <c r="F38" s="79">
        <f>IF(VLOOKUP(A38,Buchwert_je_Aktie!A$3:AJ$103,9,FALSE)&lt;&gt;"",IF(VLOOKUP(A38,Schlußkurse!A$5:AU$105,38,FALSE)&gt;0,VLOOKUP(A38,Schlußkurse!A$5:AU$105,38,FALSE)/VLOOKUP(A38,Buchwert_je_Aktie!A$3:AJ$103,9,FALSE),""),"")</f>
        <v>2.7034421888790821</v>
      </c>
      <c r="G38" s="79">
        <f>IF(VLOOKUP(A38,Buchwert_je_Aktie!A$3:AJ$103,10,FALSE)&lt;&gt;"",IF(VLOOKUP(A38,Schlußkurse!A$5:AU$105,39,FALSE)&gt;0,VLOOKUP(A38,Schlußkurse!A$5:AU$105,39,FALSE)/VLOOKUP(A38,Buchwert_je_Aktie!A$3:AJ$103,10,FALSE),""),"")</f>
        <v>2.1039681208053693</v>
      </c>
      <c r="H38" s="79">
        <f>IF(VLOOKUP(A38,Buchwert_je_Aktie!A$3:AJ$103,11,FALSE)&lt;&gt;"",IF(VLOOKUP(A38,Schlußkurse!A$5:AU$105,40,FALSE)&gt;0,VLOOKUP(A38,Schlußkurse!A$5:AU$105,40,FALSE)/VLOOKUP(A38,Buchwert_je_Aktie!A$3:AJ$103,11,FALSE),""),"")</f>
        <v>1.9373321396598031</v>
      </c>
      <c r="I38" s="79">
        <f>IF(VLOOKUP(A38,Buchwert_je_Aktie!A$3:AJ$103,12,FALSE)&lt;&gt;"",IF(VLOOKUP(A38,Schlußkurse!A$5:AU$105,41,FALSE)&gt;0,VLOOKUP(A38,Schlußkurse!A$5:AU$105,41,FALSE)/VLOOKUP(A38,Buchwert_je_Aktie!A$3:AJ$103,12,FALSE),""),"")</f>
        <v>1.6138248847926269</v>
      </c>
      <c r="J38" s="79">
        <f>IF(VLOOKUP(A38,Buchwert_je_Aktie!A$3:AJ$103,13,FALSE)&lt;&gt;"",IF(VLOOKUP(A38,Schlußkurse!A$5:AU$105,42,FALSE)&gt;0,VLOOKUP(A38,Schlußkurse!A$5:AU$105,42,FALSE)/VLOOKUP(A38,Buchwert_je_Aktie!A$3:AJ$103,13,FALSE),""),"")</f>
        <v>1.6596715328467153</v>
      </c>
      <c r="K38" s="79">
        <f>IF(VLOOKUP(A38,Buchwert_je_Aktie!A$3:AJ$103,14,FALSE)&lt;&gt;"",IF(VLOOKUP(A38,Schlußkurse!A$5:AU$105,43,FALSE)&gt;0,VLOOKUP(A38,Schlußkurse!A$5:AU$105,43,FALSE)/VLOOKUP(A38,Buchwert_je_Aktie!A$3:AJ$103,14,FALSE),""),"")</f>
        <v>1.5883408071748879</v>
      </c>
      <c r="L38" s="79" t="str">
        <f>IF(VLOOKUP(A38,Buchwert_je_Aktie!A$3:AJ$103,15,FALSE)&lt;&gt;"",IF(VLOOKUP(A38,Schlußkurse!A$5:AU$105,44,FALSE)&gt;0,VLOOKUP(A38,Schlußkurse!A$5:AU$105,44,FALSE)/VLOOKUP(A38,Buchwert_je_Aktie!A$3:AJ$103,15,FALSE),""),"")</f>
        <v/>
      </c>
      <c r="M38" s="79" t="str">
        <f>IF(VLOOKUP(A38,Buchwert_je_Aktie!A$3:AJ$103,16,FALSE)&lt;&gt;"",IF(VLOOKUP(A38,Schlußkurse!A$5:AU$105,45,FALSE)&gt;0,VLOOKUP(A38,Schlußkurse!A$5:AU$105,45,FALSE)/VLOOKUP(A38,Buchwert_je_Aktie!A$3:AJ$103,16,FALSE),""),"")</f>
        <v/>
      </c>
      <c r="N38" s="79" t="str">
        <f>IF(VLOOKUP(A38,Buchwert_je_Aktie!A$3:AJ$103,17,FALSE)&lt;&gt;"",IF(VLOOKUP(A38,Schlußkurse!A$5:AU$105,46,FALSE)&gt;0,VLOOKUP(A38,Schlußkurse!A$5:AU$105,46,FALSE)/VLOOKUP(A38,Buchwert_je_Aktie!A$3:AJ$103,17,FALSE),""),"")</f>
        <v/>
      </c>
      <c r="O38" s="80" t="str">
        <f>IF(VLOOKUP(A38,Buchwert_je_Aktie!A$3:AJ$103,18,FALSE)&lt;&gt;"",IF(VLOOKUP(A38,Schlußkurse!A$5:AU$105,47,FALSE)&gt;0,VLOOKUP(A38,Schlußkurse!A$5:AU$105,47,FALSE)/VLOOKUP(A38,Buchwert_je_Aktie!A$3:AJ$103,18,FALSE),""),"")</f>
        <v/>
      </c>
      <c r="P38" s="3">
        <f t="shared" si="0"/>
        <v>2.1039681208053693</v>
      </c>
      <c r="Q38" s="3">
        <f ca="1">VLOOKUP(A38,Schlußkurse!A$5:AU$105,35,FALSE)/VLOOKUP(A38,Buchwert_je_Aktie!A$3:AK$103,23,FALSE)</f>
        <v>3.1172727272727272</v>
      </c>
      <c r="R38" s="5">
        <f t="shared" ca="1" si="1"/>
        <v>0.4816159505684332</v>
      </c>
    </row>
    <row r="39" spans="1:18" x14ac:dyDescent="0.25">
      <c r="A39" t="s">
        <v>68</v>
      </c>
      <c r="B39" t="s">
        <v>69</v>
      </c>
      <c r="C39" s="78">
        <f>IF(VLOOKUP(A39,Buchwert_je_Aktie!A$3:AJ$103,6,FALSE)&lt;&gt;"",IF(VLOOKUP(A39,Schlußkurse!A$5:AU$105,35,FALSE)&gt;0,VLOOKUP(A39,Schlußkurse!A$5:AU$105,35,FALSE) /VLOOKUP(A39,Buchwert_je_Aktie!A$3:AJ$103,6,FALSE),""),"")</f>
        <v>-25.145896656534955</v>
      </c>
      <c r="D39" s="79">
        <f>IF(VLOOKUP(A39,Buchwert_je_Aktie!A$3:AJ$103,7,FALSE)&lt;&gt;"",IF(VLOOKUP(A39,Schlußkurse!A$5:AU$105,36,FALSE)&gt;0,VLOOKUP(A39,Schlußkurse!A$5:AU$105,36,FALSE)/VLOOKUP(A39,Buchwert_je_Aktie!A$3:AJ$103,7,FALSE),""),"")</f>
        <v>-26.947882736156355</v>
      </c>
      <c r="E39" s="79">
        <f>IF(VLOOKUP(A39,Buchwert_je_Aktie!A$3:AJ$103,8,FALSE)&lt;&gt;"",IF(VLOOKUP(A39,Schlußkurse!A$5:AU$105,37,FALSE)&gt;0,VLOOKUP(A39,Schlußkurse!A$5:AU$105,37,FALSE)/VLOOKUP(A39,Buchwert_je_Aktie!A$3:AJ$103,8,FALSE),""),"")</f>
        <v>-25.532915360501569</v>
      </c>
      <c r="F39" s="79">
        <f>IF(VLOOKUP(A39,Buchwert_je_Aktie!A$3:AJ$103,9,FALSE)&lt;&gt;"",IF(VLOOKUP(A39,Schlußkurse!A$5:AU$105,38,FALSE)&gt;0,VLOOKUP(A39,Schlußkurse!A$5:AU$105,38,FALSE)/VLOOKUP(A39,Buchwert_je_Aktie!A$3:AJ$103,9,FALSE),""),"")</f>
        <v>-10.677696078431373</v>
      </c>
      <c r="G39" s="79">
        <f>IF(VLOOKUP(A39,Buchwert_je_Aktie!A$3:AJ$103,10,FALSE)&lt;&gt;"",IF(VLOOKUP(A39,Schlußkurse!A$5:AU$105,39,FALSE)&gt;0,VLOOKUP(A39,Schlußkurse!A$5:AU$105,39,FALSE)/VLOOKUP(A39,Buchwert_je_Aktie!A$3:AJ$103,10,FALSE),""),"")</f>
        <v>-17.10429447852761</v>
      </c>
      <c r="H39" s="79">
        <f>IF(VLOOKUP(A39,Buchwert_je_Aktie!A$3:AJ$103,11,FALSE)&lt;&gt;"",IF(VLOOKUP(A39,Schlußkurse!A$5:AU$105,40,FALSE)&gt;0,VLOOKUP(A39,Schlußkurse!A$5:AU$105,40,FALSE)/VLOOKUP(A39,Buchwert_je_Aktie!A$3:AJ$103,11,FALSE),""),"")</f>
        <v>-35.351351351351347</v>
      </c>
      <c r="I39" s="79">
        <f>IF(VLOOKUP(A39,Buchwert_je_Aktie!A$3:AJ$103,12,FALSE)&lt;&gt;"",IF(VLOOKUP(A39,Schlußkurse!A$5:AU$105,41,FALSE)&gt;0,VLOOKUP(A39,Schlußkurse!A$5:AU$105,41,FALSE)/VLOOKUP(A39,Buchwert_je_Aktie!A$3:AJ$103,12,FALSE),""),"")</f>
        <v>450.23076923076923</v>
      </c>
      <c r="J39" s="79">
        <f>IF(VLOOKUP(A39,Buchwert_je_Aktie!A$3:AJ$103,13,FALSE)&lt;&gt;"",IF(VLOOKUP(A39,Schlußkurse!A$5:AU$105,42,FALSE)&gt;0,VLOOKUP(A39,Schlußkurse!A$5:AU$105,42,FALSE)/VLOOKUP(A39,Buchwert_je_Aktie!A$3:AJ$103,13,FALSE),""),"")</f>
        <v>24.712820512820514</v>
      </c>
      <c r="K39" s="79">
        <f>IF(VLOOKUP(A39,Buchwert_je_Aktie!A$3:AJ$103,14,FALSE)&lt;&gt;"",IF(VLOOKUP(A39,Schlußkurse!A$5:AU$105,43,FALSE)&gt;0,VLOOKUP(A39,Schlußkurse!A$5:AU$105,43,FALSE)/VLOOKUP(A39,Buchwert_je_Aktie!A$3:AJ$103,14,FALSE),""),"")</f>
        <v>14.35973597359736</v>
      </c>
      <c r="L39" s="79" t="str">
        <f>IF(VLOOKUP(A39,Buchwert_je_Aktie!A$3:AJ$103,15,FALSE)&lt;&gt;"",IF(VLOOKUP(A39,Schlußkurse!A$5:AU$105,44,FALSE)&gt;0,VLOOKUP(A39,Schlußkurse!A$5:AU$105,44,FALSE)/VLOOKUP(A39,Buchwert_je_Aktie!A$3:AJ$103,15,FALSE),""),"")</f>
        <v/>
      </c>
      <c r="M39" s="79" t="str">
        <f>IF(VLOOKUP(A39,Buchwert_je_Aktie!A$3:AJ$103,16,FALSE)&lt;&gt;"",IF(VLOOKUP(A39,Schlußkurse!A$5:AU$105,45,FALSE)&gt;0,VLOOKUP(A39,Schlußkurse!A$5:AU$105,45,FALSE)/VLOOKUP(A39,Buchwert_je_Aktie!A$3:AJ$103,16,FALSE),""),"")</f>
        <v/>
      </c>
      <c r="N39" s="79" t="str">
        <f>IF(VLOOKUP(A39,Buchwert_je_Aktie!A$3:AJ$103,17,FALSE)&lt;&gt;"",IF(VLOOKUP(A39,Schlußkurse!A$5:AU$105,46,FALSE)&gt;0,VLOOKUP(A39,Schlußkurse!A$5:AU$105,46,FALSE)/VLOOKUP(A39,Buchwert_je_Aktie!A$3:AJ$103,17,FALSE),""),"")</f>
        <v/>
      </c>
      <c r="O39" s="80" t="str">
        <f>IF(VLOOKUP(A39,Buchwert_je_Aktie!A$3:AJ$103,18,FALSE)&lt;&gt;"",IF(VLOOKUP(A39,Schlußkurse!A$5:AU$105,47,FALSE)&gt;0,VLOOKUP(A39,Schlußkurse!A$5:AU$105,47,FALSE)/VLOOKUP(A39,Buchwert_je_Aktie!A$3:AJ$103,18,FALSE),""),"")</f>
        <v/>
      </c>
      <c r="P39" s="3">
        <f t="shared" si="0"/>
        <v>-17.10429447852761</v>
      </c>
      <c r="Q39" s="3">
        <f ca="1">VLOOKUP(A39,Schlußkurse!A$5:AU$105,35,FALSE)/VLOOKUP(A39,Buchwert_je_Aktie!A$3:AK$103,23,FALSE)</f>
        <v>-26.269051651143101</v>
      </c>
      <c r="R39" s="5">
        <f t="shared" ca="1" si="1"/>
        <v>-0.53581614746640072</v>
      </c>
    </row>
    <row r="40" spans="1:18" x14ac:dyDescent="0.25">
      <c r="A40" t="s">
        <v>70</v>
      </c>
      <c r="B40" t="s">
        <v>71</v>
      </c>
      <c r="C40" s="78">
        <f>IF(VLOOKUP(A40,Buchwert_je_Aktie!A$3:AJ$103,6,FALSE)&lt;&gt;"",IF(VLOOKUP(A40,Schlußkurse!A$5:AU$105,35,FALSE)&gt;0,VLOOKUP(A40,Schlußkurse!A$5:AU$105,35,FALSE) /VLOOKUP(A40,Buchwert_je_Aktie!A$3:AJ$103,6,FALSE),""),"")</f>
        <v>3.3550420168067223</v>
      </c>
      <c r="D40" s="79">
        <f>IF(VLOOKUP(A40,Buchwert_je_Aktie!A$3:AJ$103,7,FALSE)&lt;&gt;"",IF(VLOOKUP(A40,Schlußkurse!A$5:AU$105,36,FALSE)&gt;0,VLOOKUP(A40,Schlußkurse!A$5:AU$105,36,FALSE)/VLOOKUP(A40,Buchwert_je_Aktie!A$3:AJ$103,7,FALSE),""),"")</f>
        <v>3.4567099567099562</v>
      </c>
      <c r="E40" s="79">
        <f>IF(VLOOKUP(A40,Buchwert_je_Aktie!A$3:AJ$103,8,FALSE)&lt;&gt;"",IF(VLOOKUP(A40,Schlußkurse!A$5:AU$105,37,FALSE)&gt;0,VLOOKUP(A40,Schlußkurse!A$5:AU$105,37,FALSE)/VLOOKUP(A40,Buchwert_je_Aktie!A$3:AJ$103,8,FALSE),""),"")</f>
        <v>3.3875000000000002</v>
      </c>
      <c r="F40" s="79">
        <f>IF(VLOOKUP(A40,Buchwert_je_Aktie!A$3:AJ$103,9,FALSE)&lt;&gt;"",IF(VLOOKUP(A40,Schlußkurse!A$5:AU$105,38,FALSE)&gt;0,VLOOKUP(A40,Schlußkurse!A$5:AU$105,38,FALSE)/VLOOKUP(A40,Buchwert_je_Aktie!A$3:AJ$103,9,FALSE),""),"")</f>
        <v>2.9829523440526926</v>
      </c>
      <c r="G40" s="79">
        <f>IF(VLOOKUP(A40,Buchwert_je_Aktie!A$3:AJ$103,10,FALSE)&lt;&gt;"",IF(VLOOKUP(A40,Schlußkurse!A$5:AU$105,39,FALSE)&gt;0,VLOOKUP(A40,Schlußkurse!A$5:AU$105,39,FALSE)/VLOOKUP(A40,Buchwert_je_Aktie!A$3:AJ$103,10,FALSE),""),"")</f>
        <v>2.4441340782122905</v>
      </c>
      <c r="H40" s="79">
        <f>IF(VLOOKUP(A40,Buchwert_je_Aktie!A$3:AJ$103,11,FALSE)&lt;&gt;"",IF(VLOOKUP(A40,Schlußkurse!A$5:AU$105,40,FALSE)&gt;0,VLOOKUP(A40,Schlußkurse!A$5:AU$105,40,FALSE)/VLOOKUP(A40,Buchwert_je_Aktie!A$3:AJ$103,11,FALSE),""),"")</f>
        <v>2.7283261802575107</v>
      </c>
      <c r="I40" s="79">
        <f>IF(VLOOKUP(A40,Buchwert_je_Aktie!A$3:AJ$103,12,FALSE)&lt;&gt;"",IF(VLOOKUP(A40,Schlußkurse!A$5:AU$105,41,FALSE)&gt;0,VLOOKUP(A40,Schlußkurse!A$5:AU$105,41,FALSE)/VLOOKUP(A40,Buchwert_je_Aktie!A$3:AJ$103,12,FALSE),""),"")</f>
        <v>2.4392029280195202</v>
      </c>
      <c r="J40" s="79">
        <f>IF(VLOOKUP(A40,Buchwert_je_Aktie!A$3:AJ$103,13,FALSE)&lt;&gt;"",IF(VLOOKUP(A40,Schlußkurse!A$5:AU$105,42,FALSE)&gt;0,VLOOKUP(A40,Schlußkurse!A$5:AU$105,42,FALSE)/VLOOKUP(A40,Buchwert_je_Aktie!A$3:AJ$103,13,FALSE),""),"")</f>
        <v>2.3646459972235077</v>
      </c>
      <c r="K40" s="79">
        <f>IF(VLOOKUP(A40,Buchwert_je_Aktie!A$3:AJ$103,14,FALSE)&lt;&gt;"",IF(VLOOKUP(A40,Schlußkurse!A$5:AU$105,43,FALSE)&gt;0,VLOOKUP(A40,Schlußkurse!A$5:AU$105,43,FALSE)/VLOOKUP(A40,Buchwert_je_Aktie!A$3:AJ$103,14,FALSE),""),"")</f>
        <v>2.8087759815242497</v>
      </c>
      <c r="L40" s="79">
        <f>IF(VLOOKUP(A40,Buchwert_je_Aktie!A$3:AJ$103,15,FALSE)&lt;&gt;"",IF(VLOOKUP(A40,Schlußkurse!A$5:AU$105,44,FALSE)&gt;0,VLOOKUP(A40,Schlußkurse!A$5:AU$105,44,FALSE)/VLOOKUP(A40,Buchwert_je_Aktie!A$3:AJ$103,15,FALSE),""),"")</f>
        <v>2.6708860759493671</v>
      </c>
      <c r="M40" s="79">
        <f>IF(VLOOKUP(A40,Buchwert_je_Aktie!A$3:AJ$103,16,FALSE)&lt;&gt;"",IF(VLOOKUP(A40,Schlußkurse!A$5:AU$105,45,FALSE)&gt;0,VLOOKUP(A40,Schlußkurse!A$5:AU$105,45,FALSE)/VLOOKUP(A40,Buchwert_je_Aktie!A$3:AJ$103,16,FALSE),""),"")</f>
        <v>2.6571294559099434</v>
      </c>
      <c r="N40" s="79">
        <f>IF(VLOOKUP(A40,Buchwert_je_Aktie!A$3:AJ$103,17,FALSE)&lt;&gt;"",IF(VLOOKUP(A40,Schlußkurse!A$5:AU$105,46,FALSE)&gt;0,VLOOKUP(A40,Schlußkurse!A$5:AU$105,46,FALSE)/VLOOKUP(A40,Buchwert_je_Aktie!A$3:AJ$103,17,FALSE),""),"")</f>
        <v>2.6654876200101061</v>
      </c>
      <c r="O40" s="80" t="str">
        <f>IF(VLOOKUP(A40,Buchwert_je_Aktie!A$3:AJ$103,18,FALSE)&lt;&gt;"",IF(VLOOKUP(A40,Schlußkurse!A$5:AU$105,47,FALSE)&gt;0,VLOOKUP(A40,Schlußkurse!A$5:AU$105,47,FALSE)/VLOOKUP(A40,Buchwert_je_Aktie!A$3:AJ$103,18,FALSE),""),"")</f>
        <v/>
      </c>
      <c r="P40" s="3">
        <f t="shared" si="0"/>
        <v>2.6996061281034391</v>
      </c>
      <c r="Q40" s="3">
        <f ca="1">VLOOKUP(A40,Schlußkurse!A$5:AU$105,35,FALSE)/VLOOKUP(A40,Buchwert_je_Aktie!A$3:AK$103,23,FALSE)</f>
        <v>3.4543422617974686</v>
      </c>
      <c r="R40" s="5">
        <f t="shared" ca="1" si="1"/>
        <v>0.27957268500655541</v>
      </c>
    </row>
    <row r="41" spans="1:18" x14ac:dyDescent="0.25">
      <c r="A41" t="s">
        <v>72</v>
      </c>
      <c r="B41" t="s">
        <v>73</v>
      </c>
      <c r="C41" s="78">
        <f>IF(VLOOKUP(A41,Buchwert_je_Aktie!A$3:AJ$103,6,FALSE)&lt;&gt;"",IF(VLOOKUP(A41,Schlußkurse!A$5:AU$105,35,FALSE)&gt;0,VLOOKUP(A41,Schlußkurse!A$5:AU$105,35,FALSE) /VLOOKUP(A41,Buchwert_je_Aktie!A$3:AJ$103,6,FALSE),""),"")</f>
        <v>9.077338129496404</v>
      </c>
      <c r="D41" s="79">
        <f>IF(VLOOKUP(A41,Buchwert_je_Aktie!A$3:AJ$103,7,FALSE)&lt;&gt;"",IF(VLOOKUP(A41,Schlußkurse!A$5:AU$105,36,FALSE)&gt;0,VLOOKUP(A41,Schlußkurse!A$5:AU$105,36,FALSE)/VLOOKUP(A41,Buchwert_je_Aktie!A$3:AJ$103,7,FALSE),""),"")</f>
        <v>9.2775735294117645</v>
      </c>
      <c r="E41" s="79">
        <f>IF(VLOOKUP(A41,Buchwert_je_Aktie!A$3:AJ$103,8,FALSE)&lt;&gt;"",IF(VLOOKUP(A41,Schlußkurse!A$5:AU$105,37,FALSE)&gt;0,VLOOKUP(A41,Schlußkurse!A$5:AU$105,37,FALSE)/VLOOKUP(A41,Buchwert_je_Aktie!A$3:AJ$103,8,FALSE),""),"")</f>
        <v>13.030640668523677</v>
      </c>
      <c r="F41" s="79">
        <f>IF(VLOOKUP(A41,Buchwert_je_Aktie!A$3:AJ$103,9,FALSE)&lt;&gt;"",IF(VLOOKUP(A41,Schlußkurse!A$5:AU$105,38,FALSE)&gt;0,VLOOKUP(A41,Schlußkurse!A$5:AU$105,38,FALSE)/VLOOKUP(A41,Buchwert_je_Aktie!A$3:AJ$103,9,FALSE),""),"")</f>
        <v>16.601351351351351</v>
      </c>
      <c r="G41" s="79" t="str">
        <f>IF(VLOOKUP(A41,Buchwert_je_Aktie!A$3:AJ$103,10,FALSE)&lt;&gt;"",IF(VLOOKUP(A41,Schlußkurse!A$5:AU$105,39,FALSE)&gt;0,VLOOKUP(A41,Schlußkurse!A$5:AU$105,39,FALSE)/VLOOKUP(A41,Buchwert_je_Aktie!A$3:AJ$103,10,FALSE),""),"")</f>
        <v/>
      </c>
      <c r="H41" s="79" t="str">
        <f>IF(VLOOKUP(A41,Buchwert_je_Aktie!A$3:AJ$103,11,FALSE)&lt;&gt;"",IF(VLOOKUP(A41,Schlußkurse!A$5:AU$105,40,FALSE)&gt;0,VLOOKUP(A41,Schlußkurse!A$5:AU$105,40,FALSE)/VLOOKUP(A41,Buchwert_je_Aktie!A$3:AJ$103,11,FALSE),""),"")</f>
        <v/>
      </c>
      <c r="I41" s="79" t="str">
        <f>IF(VLOOKUP(A41,Buchwert_je_Aktie!A$3:AJ$103,12,FALSE)&lt;&gt;"",IF(VLOOKUP(A41,Schlußkurse!A$5:AU$105,41,FALSE)&gt;0,VLOOKUP(A41,Schlußkurse!A$5:AU$105,41,FALSE)/VLOOKUP(A41,Buchwert_je_Aktie!A$3:AJ$103,12,FALSE),""),"")</f>
        <v/>
      </c>
      <c r="J41" s="79" t="str">
        <f>IF(VLOOKUP(A41,Buchwert_je_Aktie!A$3:AJ$103,13,FALSE)&lt;&gt;"",IF(VLOOKUP(A41,Schlußkurse!A$5:AU$105,42,FALSE)&gt;0,VLOOKUP(A41,Schlußkurse!A$5:AU$105,42,FALSE)/VLOOKUP(A41,Buchwert_je_Aktie!A$3:AJ$103,13,FALSE),""),"")</f>
        <v/>
      </c>
      <c r="K41" s="79" t="str">
        <f>IF(VLOOKUP(A41,Buchwert_je_Aktie!A$3:AJ$103,14,FALSE)&lt;&gt;"",IF(VLOOKUP(A41,Schlußkurse!A$5:AU$105,43,FALSE)&gt;0,VLOOKUP(A41,Schlußkurse!A$5:AU$105,43,FALSE)/VLOOKUP(A41,Buchwert_je_Aktie!A$3:AJ$103,14,FALSE),""),"")</f>
        <v/>
      </c>
      <c r="L41" s="79" t="str">
        <f>IF(VLOOKUP(A41,Buchwert_je_Aktie!A$3:AJ$103,15,FALSE)&lt;&gt;"",IF(VLOOKUP(A41,Schlußkurse!A$5:AU$105,44,FALSE)&gt;0,VLOOKUP(A41,Schlußkurse!A$5:AU$105,44,FALSE)/VLOOKUP(A41,Buchwert_je_Aktie!A$3:AJ$103,15,FALSE),""),"")</f>
        <v/>
      </c>
      <c r="M41" s="79" t="str">
        <f>IF(VLOOKUP(A41,Buchwert_je_Aktie!A$3:AJ$103,16,FALSE)&lt;&gt;"",IF(VLOOKUP(A41,Schlußkurse!A$5:AU$105,45,FALSE)&gt;0,VLOOKUP(A41,Schlußkurse!A$5:AU$105,45,FALSE)/VLOOKUP(A41,Buchwert_je_Aktie!A$3:AJ$103,16,FALSE),""),"")</f>
        <v/>
      </c>
      <c r="N41" s="79" t="str">
        <f>IF(VLOOKUP(A41,Buchwert_je_Aktie!A$3:AJ$103,17,FALSE)&lt;&gt;"",IF(VLOOKUP(A41,Schlußkurse!A$5:AU$105,46,FALSE)&gt;0,VLOOKUP(A41,Schlußkurse!A$5:AU$105,46,FALSE)/VLOOKUP(A41,Buchwert_je_Aktie!A$3:AJ$103,17,FALSE),""),"")</f>
        <v/>
      </c>
      <c r="O41" s="80" t="str">
        <f>IF(VLOOKUP(A41,Buchwert_je_Aktie!A$3:AJ$103,18,FALSE)&lt;&gt;"",IF(VLOOKUP(A41,Schlußkurse!A$5:AU$105,47,FALSE)&gt;0,VLOOKUP(A41,Schlußkurse!A$5:AU$105,47,FALSE)/VLOOKUP(A41,Buchwert_je_Aktie!A$3:AJ$103,18,FALSE),""),"")</f>
        <v/>
      </c>
      <c r="P41" s="3">
        <f t="shared" si="0"/>
        <v>11.154107098967721</v>
      </c>
      <c r="Q41" s="3">
        <f ca="1">VLOOKUP(A41,Schlußkurse!A$5:AU$105,35,FALSE)/VLOOKUP(A41,Buchwert_je_Aktie!A$3:AK$103,23,FALSE)</f>
        <v>11.968381529543507</v>
      </c>
      <c r="R41" s="5">
        <f t="shared" ca="1" si="1"/>
        <v>7.3002206572962303E-2</v>
      </c>
    </row>
    <row r="42" spans="1:18" x14ac:dyDescent="0.25">
      <c r="A42" t="s">
        <v>74</v>
      </c>
      <c r="B42" t="s">
        <v>75</v>
      </c>
      <c r="C42" s="78">
        <f>IF(VLOOKUP(A42,Buchwert_je_Aktie!A$3:AJ$103,6,FALSE)&lt;&gt;"",IF(VLOOKUP(A42,Schlußkurse!A$5:AU$105,35,FALSE)&gt;0,VLOOKUP(A42,Schlußkurse!A$5:AU$105,35,FALSE) /VLOOKUP(A42,Buchwert_je_Aktie!A$3:AJ$103,6,FALSE),""),"")</f>
        <v>2.6580204778156995</v>
      </c>
      <c r="D42" s="79">
        <f>IF(VLOOKUP(A42,Buchwert_je_Aktie!A$3:AJ$103,7,FALSE)&lt;&gt;"",IF(VLOOKUP(A42,Schlußkurse!A$5:AU$105,36,FALSE)&gt;0,VLOOKUP(A42,Schlußkurse!A$5:AU$105,36,FALSE)/VLOOKUP(A42,Buchwert_je_Aktie!A$3:AJ$103,7,FALSE),""),"")</f>
        <v>3.0789855072463768</v>
      </c>
      <c r="E42" s="79">
        <f>IF(VLOOKUP(A42,Buchwert_je_Aktie!A$3:AJ$103,8,FALSE)&lt;&gt;"",IF(VLOOKUP(A42,Schlußkurse!A$5:AU$105,37,FALSE)&gt;0,VLOOKUP(A42,Schlußkurse!A$5:AU$105,37,FALSE)/VLOOKUP(A42,Buchwert_je_Aktie!A$3:AJ$103,8,FALSE),""),"")</f>
        <v>2.9623165410551371</v>
      </c>
      <c r="F42" s="79">
        <f>IF(VLOOKUP(A42,Buchwert_je_Aktie!A$3:AJ$103,9,FALSE)&lt;&gt;"",IF(VLOOKUP(A42,Schlußkurse!A$5:AU$105,38,FALSE)&gt;0,VLOOKUP(A42,Schlußkurse!A$5:AU$105,38,FALSE)/VLOOKUP(A42,Buchwert_je_Aktie!A$3:AJ$103,9,FALSE),""),"")</f>
        <v>2.9652395082662149</v>
      </c>
      <c r="G42" s="79">
        <f>IF(VLOOKUP(A42,Buchwert_je_Aktie!A$3:AJ$103,10,FALSE)&lt;&gt;"",IF(VLOOKUP(A42,Schlußkurse!A$5:AU$105,39,FALSE)&gt;0,VLOOKUP(A42,Schlußkurse!A$5:AU$105,39,FALSE)/VLOOKUP(A42,Buchwert_je_Aktie!A$3:AJ$103,10,FALSE),""),"")</f>
        <v>2.6631944444444446</v>
      </c>
      <c r="H42" s="79">
        <f>IF(VLOOKUP(A42,Buchwert_je_Aktie!A$3:AJ$103,11,FALSE)&lt;&gt;"",IF(VLOOKUP(A42,Schlußkurse!A$5:AU$105,40,FALSE)&gt;0,VLOOKUP(A42,Schlußkurse!A$5:AU$105,40,FALSE)/VLOOKUP(A42,Buchwert_je_Aktie!A$3:AJ$103,11,FALSE),""),"")</f>
        <v>2.6879194630872485</v>
      </c>
      <c r="I42" s="79">
        <f>IF(VLOOKUP(A42,Buchwert_je_Aktie!A$3:AJ$103,12,FALSE)&lt;&gt;"",IF(VLOOKUP(A42,Schlußkurse!A$5:AU$105,41,FALSE)&gt;0,VLOOKUP(A42,Schlußkurse!A$5:AU$105,41,FALSE)/VLOOKUP(A42,Buchwert_je_Aktie!A$3:AJ$103,12,FALSE),""),"")</f>
        <v>2.7414058491534123</v>
      </c>
      <c r="J42" s="79">
        <f>IF(VLOOKUP(A42,Buchwert_je_Aktie!A$3:AJ$103,13,FALSE)&lt;&gt;"",IF(VLOOKUP(A42,Schlußkurse!A$5:AU$105,42,FALSE)&gt;0,VLOOKUP(A42,Schlußkurse!A$5:AU$105,42,FALSE)/VLOOKUP(A42,Buchwert_je_Aktie!A$3:AJ$103,13,FALSE),""),"")</f>
        <v>2.5037194473963869</v>
      </c>
      <c r="K42" s="79">
        <f>IF(VLOOKUP(A42,Buchwert_je_Aktie!A$3:AJ$103,14,FALSE)&lt;&gt;"",IF(VLOOKUP(A42,Schlußkurse!A$5:AU$105,43,FALSE)&gt;0,VLOOKUP(A42,Schlußkurse!A$5:AU$105,43,FALSE)/VLOOKUP(A42,Buchwert_je_Aktie!A$3:AJ$103,14,FALSE),""),"")</f>
        <v>3.0529164161154543</v>
      </c>
      <c r="L42" s="79">
        <f>IF(VLOOKUP(A42,Buchwert_je_Aktie!A$3:AJ$103,15,FALSE)&lt;&gt;"",IF(VLOOKUP(A42,Schlußkurse!A$5:AU$105,44,FALSE)&gt;0,VLOOKUP(A42,Schlußkurse!A$5:AU$105,44,FALSE)/VLOOKUP(A42,Buchwert_je_Aktie!A$3:AJ$103,15,FALSE),""),"")</f>
        <v>2.9317343173431731</v>
      </c>
      <c r="M42" s="79">
        <f>IF(VLOOKUP(A42,Buchwert_je_Aktie!A$3:AJ$103,16,FALSE)&lt;&gt;"",IF(VLOOKUP(A42,Schlußkurse!A$5:AU$105,45,FALSE)&gt;0,VLOOKUP(A42,Schlußkurse!A$5:AU$105,45,FALSE)/VLOOKUP(A42,Buchwert_je_Aktie!A$3:AJ$103,16,FALSE),""),"")</f>
        <v>3.0925553319919517</v>
      </c>
      <c r="N42" s="79">
        <f>IF(VLOOKUP(A42,Buchwert_je_Aktie!A$3:AJ$103,17,FALSE)&lt;&gt;"",IF(VLOOKUP(A42,Schlußkurse!A$5:AU$105,46,FALSE)&gt;0,VLOOKUP(A42,Schlußkurse!A$5:AU$105,46,FALSE)/VLOOKUP(A42,Buchwert_je_Aktie!A$3:AJ$103,17,FALSE),""),"")</f>
        <v>4.1033672670321062</v>
      </c>
      <c r="O42" s="80">
        <f>IF(VLOOKUP(A42,Buchwert_je_Aktie!A$3:AJ$103,18,FALSE)&lt;&gt;"",IF(VLOOKUP(A42,Schlußkurse!A$5:AU$105,47,FALSE)&gt;0,VLOOKUP(A42,Schlußkurse!A$5:AU$105,47,FALSE)/VLOOKUP(A42,Buchwert_je_Aktie!A$3:AJ$103,18,FALSE),""),"")</f>
        <v>4.6143958868894606</v>
      </c>
      <c r="P42" s="3">
        <f t="shared" si="0"/>
        <v>2.9623165410551371</v>
      </c>
      <c r="Q42" s="3">
        <f ca="1">VLOOKUP(A42,Schlußkurse!A$5:AU$105,35,FALSE)/VLOOKUP(A42,Buchwert_je_Aktie!A$3:AK$103,23,FALSE)</f>
        <v>2.7780111767270417</v>
      </c>
      <c r="R42" s="5">
        <f t="shared" ca="1" si="1"/>
        <v>-6.2216634101650792E-2</v>
      </c>
    </row>
    <row r="43" spans="1:18" x14ac:dyDescent="0.25">
      <c r="A43" t="s">
        <v>76</v>
      </c>
      <c r="B43" t="s">
        <v>77</v>
      </c>
      <c r="C43" s="78">
        <f>IF(VLOOKUP(A43,Buchwert_je_Aktie!A$3:AJ$103,6,FALSE)&lt;&gt;"",IF(VLOOKUP(A43,Schlußkurse!A$5:AU$105,35,FALSE)&gt;0,VLOOKUP(A43,Schlußkurse!A$5:AU$105,35,FALSE) /VLOOKUP(A43,Buchwert_je_Aktie!A$3:AJ$103,6,FALSE),""),"")</f>
        <v>3.383558095238095</v>
      </c>
      <c r="D43" s="79">
        <f>IF(VLOOKUP(A43,Buchwert_je_Aktie!A$3:AJ$103,7,FALSE)&lt;&gt;"",IF(VLOOKUP(A43,Schlußkurse!A$5:AU$105,36,FALSE)&gt;0,VLOOKUP(A43,Schlußkurse!A$5:AU$105,36,FALSE)/VLOOKUP(A43,Buchwert_je_Aktie!A$3:AJ$103,7,FALSE),""),"")</f>
        <v>3.4512292571428573</v>
      </c>
      <c r="E43" s="79">
        <f>IF(VLOOKUP(A43,Buchwert_je_Aktie!A$3:AJ$103,8,FALSE)&lt;&gt;"",IF(VLOOKUP(A43,Schlußkurse!A$5:AU$105,37,FALSE)&gt;0,VLOOKUP(A43,Schlußkurse!A$5:AU$105,37,FALSE)/VLOOKUP(A43,Buchwert_je_Aktie!A$3:AJ$103,8,FALSE),""),"")</f>
        <v>3.4003173652694612</v>
      </c>
      <c r="F43" s="79">
        <f>IF(VLOOKUP(A43,Buchwert_je_Aktie!A$3:AJ$103,9,FALSE)&lt;&gt;"",IF(VLOOKUP(A43,Schlußkurse!A$5:AU$105,38,FALSE)&gt;0,VLOOKUP(A43,Schlußkurse!A$5:AU$105,38,FALSE)/VLOOKUP(A43,Buchwert_je_Aktie!A$3:AJ$103,9,FALSE),""),"")</f>
        <v>3.4252430501930502</v>
      </c>
      <c r="G43" s="79">
        <f>IF(VLOOKUP(A43,Buchwert_je_Aktie!A$3:AJ$103,10,FALSE)&lt;&gt;"",IF(VLOOKUP(A43,Schlußkurse!A$5:AU$105,39,FALSE)&gt;0,VLOOKUP(A43,Schlußkurse!A$5:AU$105,39,FALSE)/VLOOKUP(A43,Buchwert_je_Aktie!A$3:AJ$103,10,FALSE),""),"")</f>
        <v>2.7675028735632181</v>
      </c>
      <c r="H43" s="79">
        <f>IF(VLOOKUP(A43,Buchwert_je_Aktie!A$3:AJ$103,11,FALSE)&lt;&gt;"",IF(VLOOKUP(A43,Schlußkurse!A$5:AU$105,40,FALSE)&gt;0,VLOOKUP(A43,Schlußkurse!A$5:AU$105,40,FALSE)/VLOOKUP(A43,Buchwert_je_Aktie!A$3:AJ$103,11,FALSE),""),"")</f>
        <v>2.3953699804687498</v>
      </c>
      <c r="I43" s="79">
        <f>IF(VLOOKUP(A43,Buchwert_je_Aktie!A$3:AJ$103,12,FALSE)&lt;&gt;"",IF(VLOOKUP(A43,Schlußkurse!A$5:AU$105,41,FALSE)&gt;0,VLOOKUP(A43,Schlußkurse!A$5:AU$105,41,FALSE)/VLOOKUP(A43,Buchwert_je_Aktie!A$3:AJ$103,12,FALSE),""),"")</f>
        <v>2.455773778920308</v>
      </c>
      <c r="J43" s="79">
        <f>IF(VLOOKUP(A43,Buchwert_je_Aktie!A$3:AJ$103,13,FALSE)&lt;&gt;"",IF(VLOOKUP(A43,Schlußkurse!A$5:AU$105,42,FALSE)&gt;0,VLOOKUP(A43,Schlußkurse!A$5:AU$105,42,FALSE)/VLOOKUP(A43,Buchwert_je_Aktie!A$3:AJ$103,13,FALSE),""),"")</f>
        <v>2.3745376877560309</v>
      </c>
      <c r="K43" s="79">
        <f>IF(VLOOKUP(A43,Buchwert_je_Aktie!A$3:AJ$103,14,FALSE)&lt;&gt;"",IF(VLOOKUP(A43,Schlußkurse!A$5:AU$105,43,FALSE)&gt;0,VLOOKUP(A43,Schlußkurse!A$5:AU$105,43,FALSE)/VLOOKUP(A43,Buchwert_je_Aktie!A$3:AJ$103,14,FALSE),""),"")</f>
        <v>1.244026349206349</v>
      </c>
      <c r="L43" s="79" t="str">
        <f>IF(VLOOKUP(A43,Buchwert_je_Aktie!A$3:AJ$103,15,FALSE)&lt;&gt;"",IF(VLOOKUP(A43,Schlußkurse!A$5:AU$105,44,FALSE)&gt;0,VLOOKUP(A43,Schlußkurse!A$5:AU$105,44,FALSE)/VLOOKUP(A43,Buchwert_je_Aktie!A$3:AJ$103,15,FALSE),""),"")</f>
        <v/>
      </c>
      <c r="M43" s="79" t="str">
        <f>IF(VLOOKUP(A43,Buchwert_je_Aktie!A$3:AJ$103,16,FALSE)&lt;&gt;"",IF(VLOOKUP(A43,Schlußkurse!A$5:AU$105,45,FALSE)&gt;0,VLOOKUP(A43,Schlußkurse!A$5:AU$105,45,FALSE)/VLOOKUP(A43,Buchwert_je_Aktie!A$3:AJ$103,16,FALSE),""),"")</f>
        <v/>
      </c>
      <c r="N43" s="79" t="str">
        <f>IF(VLOOKUP(A43,Buchwert_je_Aktie!A$3:AJ$103,17,FALSE)&lt;&gt;"",IF(VLOOKUP(A43,Schlußkurse!A$5:AU$105,46,FALSE)&gt;0,VLOOKUP(A43,Schlußkurse!A$5:AU$105,46,FALSE)/VLOOKUP(A43,Buchwert_je_Aktie!A$3:AJ$103,17,FALSE),""),"")</f>
        <v/>
      </c>
      <c r="O43" s="80" t="str">
        <f>IF(VLOOKUP(A43,Buchwert_je_Aktie!A$3:AJ$103,18,FALSE)&lt;&gt;"",IF(VLOOKUP(A43,Schlußkurse!A$5:AU$105,47,FALSE)&gt;0,VLOOKUP(A43,Schlußkurse!A$5:AU$105,47,FALSE)/VLOOKUP(A43,Buchwert_je_Aktie!A$3:AJ$103,18,FALSE),""),"")</f>
        <v/>
      </c>
      <c r="P43" s="3">
        <f t="shared" si="0"/>
        <v>2.7675028735632181</v>
      </c>
      <c r="Q43" s="3">
        <f ca="1">VLOOKUP(A43,Schlußkurse!A$5:AU$105,35,FALSE)/VLOOKUP(A43,Buchwert_je_Aktie!A$3:AK$103,23,FALSE)</f>
        <v>3.5587836061280611</v>
      </c>
      <c r="R43" s="5">
        <f t="shared" ca="1" si="1"/>
        <v>0.28591866701336155</v>
      </c>
    </row>
    <row r="44" spans="1:18" x14ac:dyDescent="0.25">
      <c r="A44" t="s">
        <v>78</v>
      </c>
      <c r="B44" t="s">
        <v>79</v>
      </c>
      <c r="C44" s="78">
        <f>IF(VLOOKUP(A44,Buchwert_je_Aktie!A$3:AJ$103,6,FALSE)&lt;&gt;"",IF(VLOOKUP(A44,Schlußkurse!A$5:AU$105,35,FALSE)&gt;0,VLOOKUP(A44,Schlußkurse!A$5:AU$105,35,FALSE) /VLOOKUP(A44,Buchwert_je_Aktie!A$3:AJ$103,6,FALSE),""),"")</f>
        <v>3.7367424242424243</v>
      </c>
      <c r="D44" s="79">
        <f>IF(VLOOKUP(A44,Buchwert_je_Aktie!A$3:AJ$103,7,FALSE)&lt;&gt;"",IF(VLOOKUP(A44,Schlußkurse!A$5:AU$105,36,FALSE)&gt;0,VLOOKUP(A44,Schlußkurse!A$5:AU$105,36,FALSE)/VLOOKUP(A44,Buchwert_je_Aktie!A$3:AJ$103,7,FALSE),""),"")</f>
        <v>3.7016885553470917</v>
      </c>
      <c r="E44" s="79">
        <f>IF(VLOOKUP(A44,Buchwert_je_Aktie!A$3:AJ$103,8,FALSE)&lt;&gt;"",IF(VLOOKUP(A44,Schlußkurse!A$5:AU$105,37,FALSE)&gt;0,VLOOKUP(A44,Schlußkurse!A$5:AU$105,37,FALSE)/VLOOKUP(A44,Buchwert_je_Aktie!A$3:AJ$103,8,FALSE),""),"")</f>
        <v>3.7932178644900127</v>
      </c>
      <c r="F44" s="79">
        <f>IF(VLOOKUP(A44,Buchwert_je_Aktie!A$3:AJ$103,9,FALSE)&lt;&gt;"",IF(VLOOKUP(A44,Schlußkurse!A$5:AU$105,38,FALSE)&gt;0,VLOOKUP(A44,Schlußkurse!A$5:AU$105,38,FALSE)/VLOOKUP(A44,Buchwert_je_Aktie!A$3:AJ$103,9,FALSE),""),"")</f>
        <v>2.1793303429840063</v>
      </c>
      <c r="G44" s="79">
        <f>IF(VLOOKUP(A44,Buchwert_je_Aktie!A$3:AJ$103,10,FALSE)&lt;&gt;"",IF(VLOOKUP(A44,Schlußkurse!A$5:AU$105,39,FALSE)&gt;0,VLOOKUP(A44,Schlußkurse!A$5:AU$105,39,FALSE)/VLOOKUP(A44,Buchwert_je_Aktie!A$3:AJ$103,10,FALSE),""),"")</f>
        <v>1.7816032622722346</v>
      </c>
      <c r="H44" s="79">
        <f>IF(VLOOKUP(A44,Buchwert_je_Aktie!A$3:AJ$103,11,FALSE)&lt;&gt;"",IF(VLOOKUP(A44,Schlußkurse!A$5:AU$105,40,FALSE)&gt;0,VLOOKUP(A44,Schlußkurse!A$5:AU$105,40,FALSE)/VLOOKUP(A44,Buchwert_je_Aktie!A$3:AJ$103,11,FALSE),""),"")</f>
        <v>2.4898865709526454</v>
      </c>
      <c r="I44" s="79">
        <f>IF(VLOOKUP(A44,Buchwert_je_Aktie!A$3:AJ$103,12,FALSE)&lt;&gt;"",IF(VLOOKUP(A44,Schlußkurse!A$5:AU$105,41,FALSE)&gt;0,VLOOKUP(A44,Schlußkurse!A$5:AU$105,41,FALSE)/VLOOKUP(A44,Buchwert_je_Aktie!A$3:AJ$103,12,FALSE),""),"")</f>
        <v>2.6026805015131864</v>
      </c>
      <c r="J44" s="79">
        <f>IF(VLOOKUP(A44,Buchwert_je_Aktie!A$3:AJ$103,13,FALSE)&lt;&gt;"",IF(VLOOKUP(A44,Schlußkurse!A$5:AU$105,42,FALSE)&gt;0,VLOOKUP(A44,Schlußkurse!A$5:AU$105,42,FALSE)/VLOOKUP(A44,Buchwert_je_Aktie!A$3:AJ$103,13,FALSE),""),"")</f>
        <v>2.126653273062113</v>
      </c>
      <c r="K44" s="79">
        <f>IF(VLOOKUP(A44,Buchwert_je_Aktie!A$3:AJ$103,14,FALSE)&lt;&gt;"",IF(VLOOKUP(A44,Schlußkurse!A$5:AU$105,43,FALSE)&gt;0,VLOOKUP(A44,Schlußkurse!A$5:AU$105,43,FALSE)/VLOOKUP(A44,Buchwert_je_Aktie!A$3:AJ$103,14,FALSE),""),"")</f>
        <v>1.3970451876120418</v>
      </c>
      <c r="L44" s="79">
        <f>IF(VLOOKUP(A44,Buchwert_je_Aktie!A$3:AJ$103,15,FALSE)&lt;&gt;"",IF(VLOOKUP(A44,Schlußkurse!A$5:AU$105,44,FALSE)&gt;0,VLOOKUP(A44,Schlußkurse!A$5:AU$105,44,FALSE)/VLOOKUP(A44,Buchwert_je_Aktie!A$3:AJ$103,15,FALSE),""),"")</f>
        <v>2.688979039891819</v>
      </c>
      <c r="M44" s="79">
        <f>IF(VLOOKUP(A44,Buchwert_je_Aktie!A$3:AJ$103,16,FALSE)&lt;&gt;"",IF(VLOOKUP(A44,Schlußkurse!A$5:AU$105,45,FALSE)&gt;0,VLOOKUP(A44,Schlußkurse!A$5:AU$105,45,FALSE)/VLOOKUP(A44,Buchwert_je_Aktie!A$3:AJ$103,16,FALSE),""),"")</f>
        <v>2.2095868720310925</v>
      </c>
      <c r="N44" s="79">
        <f>IF(VLOOKUP(A44,Buchwert_je_Aktie!A$3:AJ$103,17,FALSE)&lt;&gt;"",IF(VLOOKUP(A44,Schlußkurse!A$5:AU$105,46,FALSE)&gt;0,VLOOKUP(A44,Schlußkurse!A$5:AU$105,46,FALSE)/VLOOKUP(A44,Buchwert_je_Aktie!A$3:AJ$103,17,FALSE),""),"")</f>
        <v>1.8991174943761897</v>
      </c>
      <c r="O44" s="80">
        <f>IF(VLOOKUP(A44,Buchwert_je_Aktie!A$3:AJ$103,18,FALSE)&lt;&gt;"",IF(VLOOKUP(A44,Schlußkurse!A$5:AU$105,47,FALSE)&gt;0,VLOOKUP(A44,Schlußkurse!A$5:AU$105,47,FALSE)/VLOOKUP(A44,Buchwert_je_Aktie!A$3:AJ$103,18,FALSE),""),"")</f>
        <v>1.7145505097312326</v>
      </c>
      <c r="P44" s="3">
        <f t="shared" si="0"/>
        <v>2.2095868720310925</v>
      </c>
      <c r="Q44" s="3">
        <f ca="1">VLOOKUP(A44,Schlußkurse!A$5:AU$105,35,FALSE)/VLOOKUP(A44,Buchwert_je_Aktie!A$3:AK$103,23,FALSE)</f>
        <v>3.8482251505363183</v>
      </c>
      <c r="R44" s="5">
        <f t="shared" ca="1" si="1"/>
        <v>0.74160391666291892</v>
      </c>
    </row>
    <row r="45" spans="1:18" x14ac:dyDescent="0.25">
      <c r="A45" t="s">
        <v>81</v>
      </c>
      <c r="B45" t="s">
        <v>82</v>
      </c>
      <c r="C45" s="78">
        <f>IF(VLOOKUP(A45,Buchwert_je_Aktie!A$3:AJ$103,6,FALSE)&lt;&gt;"",IF(VLOOKUP(A45,Schlußkurse!A$5:AU$105,35,FALSE)&gt;0,VLOOKUP(A45,Schlußkurse!A$5:AU$105,35,FALSE) /VLOOKUP(A45,Buchwert_je_Aktie!A$3:AJ$103,6,FALSE),""),"")</f>
        <v>2.5982587064676617</v>
      </c>
      <c r="D45" s="79">
        <f>IF(VLOOKUP(A45,Buchwert_je_Aktie!A$3:AJ$103,7,FALSE)&lt;&gt;"",IF(VLOOKUP(A45,Schlußkurse!A$5:AU$105,36,FALSE)&gt;0,VLOOKUP(A45,Schlußkurse!A$5:AU$105,36,FALSE)/VLOOKUP(A45,Buchwert_je_Aktie!A$3:AJ$103,7,FALSE),""),"")</f>
        <v>2.9757834757834756</v>
      </c>
      <c r="E45" s="79">
        <f>IF(VLOOKUP(A45,Buchwert_je_Aktie!A$3:AJ$103,8,FALSE)&lt;&gt;"",IF(VLOOKUP(A45,Schlußkurse!A$5:AU$105,37,FALSE)&gt;0,VLOOKUP(A45,Schlußkurse!A$5:AU$105,37,FALSE)/VLOOKUP(A45,Buchwert_je_Aktie!A$3:AJ$103,8,FALSE),""),"")</f>
        <v>2.7262195121951223</v>
      </c>
      <c r="F45" s="79">
        <f>IF(VLOOKUP(A45,Buchwert_je_Aktie!A$3:AJ$103,9,FALSE)&lt;&gt;"",IF(VLOOKUP(A45,Schlußkurse!A$5:AU$105,38,FALSE)&gt;0,VLOOKUP(A45,Schlußkurse!A$5:AU$105,38,FALSE)/VLOOKUP(A45,Buchwert_je_Aktie!A$3:AJ$103,9,FALSE),""),"")</f>
        <v>3.1707408800300865</v>
      </c>
      <c r="G45" s="79">
        <f>IF(VLOOKUP(A45,Buchwert_je_Aktie!A$3:AJ$103,10,FALSE)&lt;&gt;"",IF(VLOOKUP(A45,Schlußkurse!A$5:AU$105,39,FALSE)&gt;0,VLOOKUP(A45,Schlußkurse!A$5:AU$105,39,FALSE)/VLOOKUP(A45,Buchwert_je_Aktie!A$3:AJ$103,10,FALSE),""),"")</f>
        <v>2.6821905993962916</v>
      </c>
      <c r="H45" s="79">
        <f>IF(VLOOKUP(A45,Buchwert_je_Aktie!A$3:AJ$103,11,FALSE)&lt;&gt;"",IF(VLOOKUP(A45,Schlußkurse!A$5:AU$105,40,FALSE)&gt;0,VLOOKUP(A45,Schlußkurse!A$5:AU$105,40,FALSE)/VLOOKUP(A45,Buchwert_je_Aktie!A$3:AJ$103,11,FALSE),""),"")</f>
        <v>2.0529465930018418</v>
      </c>
      <c r="I45" s="79">
        <f>IF(VLOOKUP(A45,Buchwert_je_Aktie!A$3:AJ$103,12,FALSE)&lt;&gt;"",IF(VLOOKUP(A45,Schlußkurse!A$5:AU$105,41,FALSE)&gt;0,VLOOKUP(A45,Schlußkurse!A$5:AU$105,41,FALSE)/VLOOKUP(A45,Buchwert_je_Aktie!A$3:AJ$103,12,FALSE),""),"")</f>
        <v>2.3267499999999997</v>
      </c>
      <c r="J45" s="79">
        <f>IF(VLOOKUP(A45,Buchwert_je_Aktie!A$3:AJ$103,13,FALSE)&lt;&gt;"",IF(VLOOKUP(A45,Schlußkurse!A$5:AU$105,42,FALSE)&gt;0,VLOOKUP(A45,Schlußkurse!A$5:AU$105,42,FALSE)/VLOOKUP(A45,Buchwert_je_Aktie!A$3:AJ$103,13,FALSE),""),"")</f>
        <v>2.0071625344352619</v>
      </c>
      <c r="K45" s="79">
        <f>IF(VLOOKUP(A45,Buchwert_je_Aktie!A$3:AJ$103,14,FALSE)&lt;&gt;"",IF(VLOOKUP(A45,Schlußkurse!A$5:AU$105,43,FALSE)&gt;0,VLOOKUP(A45,Schlußkurse!A$5:AU$105,43,FALSE)/VLOOKUP(A45,Buchwert_je_Aktie!A$3:AJ$103,14,FALSE),""),"")</f>
        <v>1.5120481927710845</v>
      </c>
      <c r="L45" s="79">
        <f>IF(VLOOKUP(A45,Buchwert_je_Aktie!A$3:AJ$103,15,FALSE)&lt;&gt;"",IF(VLOOKUP(A45,Schlußkurse!A$5:AU$105,44,FALSE)&gt;0,VLOOKUP(A45,Schlußkurse!A$5:AU$105,44,FALSE)/VLOOKUP(A45,Buchwert_je_Aktie!A$3:AJ$103,15,FALSE),""),"")</f>
        <v>2.5757372654155497</v>
      </c>
      <c r="M45" s="79">
        <f>IF(VLOOKUP(A45,Buchwert_je_Aktie!A$3:AJ$103,16,FALSE)&lt;&gt;"",IF(VLOOKUP(A45,Schlußkurse!A$5:AU$105,45,FALSE)&gt;0,VLOOKUP(A45,Schlußkurse!A$5:AU$105,45,FALSE)/VLOOKUP(A45,Buchwert_je_Aktie!A$3:AJ$103,16,FALSE),""),"")</f>
        <v>2.8518802762854949</v>
      </c>
      <c r="N45" s="79">
        <f>IF(VLOOKUP(A45,Buchwert_je_Aktie!A$3:AJ$103,17,FALSE)&lt;&gt;"",IF(VLOOKUP(A45,Schlußkurse!A$5:AU$105,46,FALSE)&gt;0,VLOOKUP(A45,Schlußkurse!A$5:AU$105,46,FALSE)/VLOOKUP(A45,Buchwert_je_Aktie!A$3:AJ$103,17,FALSE),""),"")</f>
        <v>2.2380173775671408</v>
      </c>
      <c r="O45" s="80">
        <f>IF(VLOOKUP(A45,Buchwert_je_Aktie!A$3:AJ$103,18,FALSE)&lt;&gt;"",IF(VLOOKUP(A45,Schlußkurse!A$5:AU$105,47,FALSE)&gt;0,VLOOKUP(A45,Schlußkurse!A$5:AU$105,47,FALSE)/VLOOKUP(A45,Buchwert_je_Aktie!A$3:AJ$103,18,FALSE),""),"")</f>
        <v>1.7301946472019465</v>
      </c>
      <c r="P45" s="3">
        <f t="shared" si="0"/>
        <v>2.5757372654155497</v>
      </c>
      <c r="Q45" s="3">
        <f ca="1">VLOOKUP(A45,Schlußkurse!A$5:AU$105,35,FALSE)/VLOOKUP(A45,Buchwert_je_Aktie!A$3:AK$103,23,FALSE)</f>
        <v>3.1105338914349061</v>
      </c>
      <c r="R45" s="5">
        <f t="shared" ca="1" si="1"/>
        <v>0.20762856258674978</v>
      </c>
    </row>
    <row r="46" spans="1:18" x14ac:dyDescent="0.25">
      <c r="A46" t="s">
        <v>273</v>
      </c>
      <c r="B46" t="s">
        <v>278</v>
      </c>
      <c r="C46" s="78">
        <f>IF(VLOOKUP(A46,Buchwert_je_Aktie!A$3:AJ$103,6,FALSE)&lt;&gt;"",IF(VLOOKUP(A46,Schlußkurse!A$5:AU$105,35,FALSE)&gt;0,VLOOKUP(A46,Schlußkurse!A$5:AU$105,35,FALSE) /VLOOKUP(A46,Buchwert_je_Aktie!A$3:AJ$103,6,FALSE),""),"")</f>
        <v>2.3246318607764391</v>
      </c>
      <c r="D46" s="79">
        <f>IF(VLOOKUP(A46,Buchwert_je_Aktie!A$3:AJ$103,7,FALSE)&lt;&gt;"",IF(VLOOKUP(A46,Schlußkurse!A$5:AU$105,36,FALSE)&gt;0,VLOOKUP(A46,Schlußkurse!A$5:AU$105,36,FALSE)/VLOOKUP(A46,Buchwert_je_Aktie!A$3:AJ$103,7,FALSE),""),"")</f>
        <v>2.1280637254901964</v>
      </c>
      <c r="E46" s="79">
        <f>IF(VLOOKUP(A46,Buchwert_je_Aktie!A$3:AJ$103,8,FALSE)&lt;&gt;"",IF(VLOOKUP(A46,Schlußkurse!A$5:AU$105,37,FALSE)&gt;0,VLOOKUP(A46,Schlußkurse!A$5:AU$105,37,FALSE)/VLOOKUP(A46,Buchwert_je_Aktie!A$3:AJ$103,8,FALSE),""),"")</f>
        <v>2.0130548302872064</v>
      </c>
      <c r="F46" s="79">
        <f>IF(VLOOKUP(A46,Buchwert_je_Aktie!A$3:AJ$103,9,FALSE)&lt;&gt;"",IF(VLOOKUP(A46,Schlußkurse!A$5:AU$105,38,FALSE)&gt;0,VLOOKUP(A46,Schlußkurse!A$5:AU$105,38,FALSE)/VLOOKUP(A46,Buchwert_je_Aktie!A$3:AJ$103,9,FALSE),""),"")</f>
        <v>1.9795599531311028</v>
      </c>
      <c r="G46" s="79">
        <f>IF(VLOOKUP(A46,Buchwert_je_Aktie!A$3:AJ$103,10,FALSE)&lt;&gt;"",IF(VLOOKUP(A46,Schlußkurse!A$5:AU$105,39,FALSE)&gt;0,VLOOKUP(A46,Schlußkurse!A$5:AU$105,39,FALSE)/VLOOKUP(A46,Buchwert_je_Aktie!A$3:AJ$103,10,FALSE),""),"")</f>
        <v>1.8037715222738451</v>
      </c>
      <c r="H46" s="79">
        <f>IF(VLOOKUP(A46,Buchwert_je_Aktie!A$3:AJ$103,11,FALSE)&lt;&gt;"",IF(VLOOKUP(A46,Schlußkurse!A$5:AU$105,40,FALSE)&gt;0,VLOOKUP(A46,Schlußkurse!A$5:AU$105,40,FALSE)/VLOOKUP(A46,Buchwert_je_Aktie!A$3:AJ$103,11,FALSE),""),"")</f>
        <v>1.5588554380254951</v>
      </c>
      <c r="I46" s="79">
        <f>IF(VLOOKUP(A46,Buchwert_je_Aktie!A$3:AJ$103,12,FALSE)&lt;&gt;"",IF(VLOOKUP(A46,Schlußkurse!A$5:AU$105,41,FALSE)&gt;0,VLOOKUP(A46,Schlußkurse!A$5:AU$105,41,FALSE)/VLOOKUP(A46,Buchwert_je_Aktie!A$3:AJ$103,12,FALSE),""),"")</f>
        <v>1.5997464074387151</v>
      </c>
      <c r="J46" s="79">
        <f>IF(VLOOKUP(A46,Buchwert_je_Aktie!A$3:AJ$103,13,FALSE)&lt;&gt;"",IF(VLOOKUP(A46,Schlußkurse!A$5:AU$105,42,FALSE)&gt;0,VLOOKUP(A46,Schlußkurse!A$5:AU$105,42,FALSE)/VLOOKUP(A46,Buchwert_je_Aktie!A$3:AJ$103,13,FALSE),""),"")</f>
        <v>1.2613908872901678</v>
      </c>
      <c r="K46" s="79">
        <f>IF(VLOOKUP(A46,Buchwert_je_Aktie!A$3:AJ$103,14,FALSE)&lt;&gt;"",IF(VLOOKUP(A46,Schlußkurse!A$5:AU$105,43,FALSE)&gt;0,VLOOKUP(A46,Schlußkurse!A$5:AU$105,43,FALSE)/VLOOKUP(A46,Buchwert_je_Aktie!A$3:AJ$103,14,FALSE),""),"")</f>
        <v>1.1003861003861004</v>
      </c>
      <c r="L46" s="79">
        <f>IF(VLOOKUP(A46,Buchwert_je_Aktie!A$3:AJ$103,15,FALSE)&lt;&gt;"",IF(VLOOKUP(A46,Schlußkurse!A$5:AU$105,44,FALSE)&gt;0,VLOOKUP(A46,Schlußkurse!A$5:AU$105,44,FALSE)/VLOOKUP(A46,Buchwert_je_Aktie!A$3:AJ$103,15,FALSE),""),"")</f>
        <v>1.8474264705882353</v>
      </c>
      <c r="M46" s="79">
        <f>IF(VLOOKUP(A46,Buchwert_je_Aktie!A$3:AJ$103,16,FALSE)&lt;&gt;"",IF(VLOOKUP(A46,Schlußkurse!A$5:AU$105,45,FALSE)&gt;0,VLOOKUP(A46,Schlußkurse!A$5:AU$105,45,FALSE)/VLOOKUP(A46,Buchwert_je_Aktie!A$3:AJ$103,16,FALSE),""),"")</f>
        <v>1.4131455399061033</v>
      </c>
      <c r="N46" s="79">
        <f>IF(VLOOKUP(A46,Buchwert_je_Aktie!A$3:AJ$103,17,FALSE)&lt;&gt;"",IF(VLOOKUP(A46,Schlußkurse!A$5:AU$105,46,FALSE)&gt;0,VLOOKUP(A46,Schlußkurse!A$5:AU$105,46,FALSE)/VLOOKUP(A46,Buchwert_je_Aktie!A$3:AJ$103,17,FALSE),""),"")</f>
        <v>1.2850722938647909</v>
      </c>
      <c r="O46" s="80">
        <f>IF(VLOOKUP(A46,Buchwert_je_Aktie!A$3:AJ$103,18,FALSE)&lt;&gt;"",IF(VLOOKUP(A46,Schlußkurse!A$5:AU$105,47,FALSE)&gt;0,VLOOKUP(A46,Schlußkurse!A$5:AU$105,47,FALSE)/VLOOKUP(A46,Buchwert_je_Aktie!A$3:AJ$103,18,FALSE),""),"")</f>
        <v>1.2512904102146156</v>
      </c>
      <c r="P46" s="3">
        <f t="shared" si="0"/>
        <v>1.5997464074387151</v>
      </c>
      <c r="Q46" s="3">
        <f ca="1">VLOOKUP(A46,Schlußkurse!A$5:AU$105,35,FALSE)/VLOOKUP(A46,Buchwert_je_Aktie!A$3:AK$103,23,FALSE)</f>
        <v>2.2179096005108923</v>
      </c>
      <c r="R46" s="5">
        <f t="shared" ca="1" si="1"/>
        <v>0.38641324037219849</v>
      </c>
    </row>
    <row r="47" spans="1:18" x14ac:dyDescent="0.25">
      <c r="A47" t="s">
        <v>275</v>
      </c>
      <c r="B47" t="s">
        <v>280</v>
      </c>
      <c r="C47" s="78">
        <f>IF(VLOOKUP(A47,Buchwert_je_Aktie!A$3:AJ$103,6,FALSE)&lt;&gt;"",IF(VLOOKUP(A47,Schlußkurse!A$5:AU$105,35,FALSE)&gt;0,VLOOKUP(A47,Schlußkurse!A$5:AU$105,35,FALSE) /VLOOKUP(A47,Buchwert_je_Aktie!A$3:AJ$103,6,FALSE),""),"")</f>
        <v>14.5703125</v>
      </c>
      <c r="D47" s="79">
        <f>IF(VLOOKUP(A47,Buchwert_je_Aktie!A$3:AJ$103,7,FALSE)&lt;&gt;"",IF(VLOOKUP(A47,Schlußkurse!A$5:AU$105,36,FALSE)&gt;0,VLOOKUP(A47,Schlußkurse!A$5:AU$105,36,FALSE)/VLOOKUP(A47,Buchwert_je_Aktie!A$3:AJ$103,7,FALSE),""),"")</f>
        <v>17.429906542056077</v>
      </c>
      <c r="E47" s="79">
        <f>IF(VLOOKUP(A47,Buchwert_je_Aktie!A$3:AJ$103,8,FALSE)&lt;&gt;"",IF(VLOOKUP(A47,Schlußkurse!A$5:AU$105,37,FALSE)&gt;0,VLOOKUP(A47,Schlußkurse!A$5:AU$105,37,FALSE)/VLOOKUP(A47,Buchwert_je_Aktie!A$3:AJ$103,8,FALSE),""),"")</f>
        <v>14.539106145251397</v>
      </c>
      <c r="F47" s="79">
        <f>IF(VLOOKUP(A47,Buchwert_je_Aktie!A$3:AJ$103,9,FALSE)&lt;&gt;"",IF(VLOOKUP(A47,Schlußkurse!A$5:AU$105,38,FALSE)&gt;0,VLOOKUP(A47,Schlußkurse!A$5:AU$105,38,FALSE)/VLOOKUP(A47,Buchwert_je_Aktie!A$3:AJ$103,9,FALSE),""),"")</f>
        <v>13.067061143984221</v>
      </c>
      <c r="G47" s="79">
        <f>IF(VLOOKUP(A47,Buchwert_je_Aktie!A$3:AJ$103,10,FALSE)&lt;&gt;"",IF(VLOOKUP(A47,Schlußkurse!A$5:AU$105,39,FALSE)&gt;0,VLOOKUP(A47,Schlußkurse!A$5:AU$105,39,FALSE)/VLOOKUP(A47,Buchwert_je_Aktie!A$3:AJ$103,10,FALSE),""),"")</f>
        <v>12.160852713178294</v>
      </c>
      <c r="H47" s="79">
        <f>IF(VLOOKUP(A47,Buchwert_je_Aktie!A$3:AJ$103,11,FALSE)&lt;&gt;"",IF(VLOOKUP(A47,Schlußkurse!A$5:AU$105,40,FALSE)&gt;0,VLOOKUP(A47,Schlußkurse!A$5:AU$105,40,FALSE)/VLOOKUP(A47,Buchwert_je_Aktie!A$3:AJ$103,11,FALSE),""),"")</f>
        <v>9.1385251550654711</v>
      </c>
      <c r="I47" s="79">
        <f>IF(VLOOKUP(A47,Buchwert_je_Aktie!A$3:AJ$103,12,FALSE)&lt;&gt;"",IF(VLOOKUP(A47,Schlußkurse!A$5:AU$105,41,FALSE)&gt;0,VLOOKUP(A47,Schlußkurse!A$5:AU$105,41,FALSE)/VLOOKUP(A47,Buchwert_je_Aktie!A$3:AJ$103,12,FALSE),""),"")</f>
        <v>9.4097995545657014</v>
      </c>
      <c r="J47" s="79">
        <f>IF(VLOOKUP(A47,Buchwert_je_Aktie!A$3:AJ$103,13,FALSE)&lt;&gt;"",IF(VLOOKUP(A47,Schlußkurse!A$5:AU$105,42,FALSE)&gt;0,VLOOKUP(A47,Schlußkurse!A$5:AU$105,42,FALSE)/VLOOKUP(A47,Buchwert_je_Aktie!A$3:AJ$103,13,FALSE),""),"")</f>
        <v>5.1404798761609909</v>
      </c>
      <c r="K47" s="79" t="str">
        <f>IF(VLOOKUP(A47,Buchwert_je_Aktie!A$3:AJ$103,14,FALSE)&lt;&gt;"",IF(VLOOKUP(A47,Schlußkurse!A$5:AU$105,43,FALSE)&gt;0,VLOOKUP(A47,Schlußkurse!A$5:AU$105,43,FALSE)/VLOOKUP(A47,Buchwert_je_Aktie!A$3:AJ$103,14,FALSE),""),"")</f>
        <v/>
      </c>
      <c r="L47" s="79" t="str">
        <f>IF(VLOOKUP(A47,Buchwert_je_Aktie!A$3:AJ$103,15,FALSE)&lt;&gt;"",IF(VLOOKUP(A47,Schlußkurse!A$5:AU$105,44,FALSE)&gt;0,VLOOKUP(A47,Schlußkurse!A$5:AU$105,44,FALSE)/VLOOKUP(A47,Buchwert_je_Aktie!A$3:AJ$103,15,FALSE),""),"")</f>
        <v/>
      </c>
      <c r="M47" s="79" t="str">
        <f>IF(VLOOKUP(A47,Buchwert_je_Aktie!A$3:AJ$103,16,FALSE)&lt;&gt;"",IF(VLOOKUP(A47,Schlußkurse!A$5:AU$105,45,FALSE)&gt;0,VLOOKUP(A47,Schlußkurse!A$5:AU$105,45,FALSE)/VLOOKUP(A47,Buchwert_je_Aktie!A$3:AJ$103,16,FALSE),""),"")</f>
        <v/>
      </c>
      <c r="N47" s="79" t="str">
        <f>IF(VLOOKUP(A47,Buchwert_je_Aktie!A$3:AJ$103,17,FALSE)&lt;&gt;"",IF(VLOOKUP(A47,Schlußkurse!A$5:AU$105,46,FALSE)&gt;0,VLOOKUP(A47,Schlußkurse!A$5:AU$105,46,FALSE)/VLOOKUP(A47,Buchwert_je_Aktie!A$3:AJ$103,17,FALSE),""),"")</f>
        <v/>
      </c>
      <c r="O47" s="80" t="str">
        <f>IF(VLOOKUP(A47,Buchwert_je_Aktie!A$3:AJ$103,18,FALSE)&lt;&gt;"",IF(VLOOKUP(A47,Schlußkurse!A$5:AU$105,47,FALSE)&gt;0,VLOOKUP(A47,Schlußkurse!A$5:AU$105,47,FALSE)/VLOOKUP(A47,Buchwert_je_Aktie!A$3:AJ$103,18,FALSE),""),"")</f>
        <v/>
      </c>
      <c r="P47" s="3">
        <f t="shared" si="0"/>
        <v>12.613956928581256</v>
      </c>
      <c r="Q47" s="3">
        <f ca="1">VLOOKUP(A47,Schlußkurse!A$5:AU$105,35,FALSE)/VLOOKUP(A47,Buchwert_je_Aktie!A$3:AK$103,23,FALSE)</f>
        <v>19.543006840343477</v>
      </c>
      <c r="R47" s="5">
        <f t="shared" ca="1" si="1"/>
        <v>0.54931612268804209</v>
      </c>
    </row>
    <row r="48" spans="1:18" x14ac:dyDescent="0.25">
      <c r="A48" t="s">
        <v>83</v>
      </c>
      <c r="B48" t="s">
        <v>84</v>
      </c>
      <c r="C48" s="78">
        <f>IF(VLOOKUP(A48,Buchwert_je_Aktie!A$3:AJ$103,6,FALSE)&lt;&gt;"",IF(VLOOKUP(A48,Schlußkurse!A$5:AU$105,35,FALSE)&gt;0,VLOOKUP(A48,Schlußkurse!A$5:AU$105,35,FALSE) /VLOOKUP(A48,Buchwert_je_Aktie!A$3:AJ$103,6,FALSE),""),"")</f>
        <v>3.6153846153846154</v>
      </c>
      <c r="D48" s="79">
        <f>IF(VLOOKUP(A48,Buchwert_je_Aktie!A$3:AJ$103,7,FALSE)&lt;&gt;"",IF(VLOOKUP(A48,Schlußkurse!A$5:AU$105,36,FALSE)&gt;0,VLOOKUP(A48,Schlußkurse!A$5:AU$105,36,FALSE)/VLOOKUP(A48,Buchwert_je_Aktie!A$3:AJ$103,7,FALSE),""),"")</f>
        <v>3.9348837209302321</v>
      </c>
      <c r="E48" s="79">
        <f>IF(VLOOKUP(A48,Buchwert_je_Aktie!A$3:AJ$103,8,FALSE)&lt;&gt;"",IF(VLOOKUP(A48,Schlußkurse!A$5:AU$105,37,FALSE)&gt;0,VLOOKUP(A48,Schlußkurse!A$5:AU$105,37,FALSE)/VLOOKUP(A48,Buchwert_je_Aktie!A$3:AJ$103,8,FALSE),""),"")</f>
        <v>3.5265822784810128</v>
      </c>
      <c r="F48" s="79">
        <f>IF(VLOOKUP(A48,Buchwert_je_Aktie!A$3:AJ$103,9,FALSE)&lt;&gt;"",IF(VLOOKUP(A48,Schlußkurse!A$5:AU$105,38,FALSE)&gt;0,VLOOKUP(A48,Schlußkurse!A$5:AU$105,38,FALSE)/VLOOKUP(A48,Buchwert_je_Aktie!A$3:AJ$103,9,FALSE),""),"")</f>
        <v>3.5501807061440092</v>
      </c>
      <c r="G48" s="79">
        <f>IF(VLOOKUP(A48,Buchwert_je_Aktie!A$3:AJ$103,10,FALSE)&lt;&gt;"",IF(VLOOKUP(A48,Schlußkurse!A$5:AU$105,39,FALSE)&gt;0,VLOOKUP(A48,Schlußkurse!A$5:AU$105,39,FALSE)/VLOOKUP(A48,Buchwert_je_Aktie!A$3:AJ$103,10,FALSE),""),"")</f>
        <v>2.8078158458244111</v>
      </c>
      <c r="H48" s="79">
        <f>IF(VLOOKUP(A48,Buchwert_je_Aktie!A$3:AJ$103,11,FALSE)&lt;&gt;"",IF(VLOOKUP(A48,Schlußkurse!A$5:AU$105,40,FALSE)&gt;0,VLOOKUP(A48,Schlußkurse!A$5:AU$105,40,FALSE)/VLOOKUP(A48,Buchwert_je_Aktie!A$3:AJ$103,11,FALSE),""),"")</f>
        <v>2.3472949389179756</v>
      </c>
      <c r="I48" s="79">
        <f>IF(VLOOKUP(A48,Buchwert_je_Aktie!A$3:AJ$103,12,FALSE)&lt;&gt;"",IF(VLOOKUP(A48,Schlußkurse!A$5:AU$105,41,FALSE)&gt;0,VLOOKUP(A48,Schlußkurse!A$5:AU$105,41,FALSE)/VLOOKUP(A48,Buchwert_je_Aktie!A$3:AJ$103,12,FALSE),""),"")</f>
        <v>2.8403418803418803</v>
      </c>
      <c r="J48" s="79">
        <f>IF(VLOOKUP(A48,Buchwert_je_Aktie!A$3:AJ$103,13,FALSE)&lt;&gt;"",IF(VLOOKUP(A48,Schlußkurse!A$5:AU$105,42,FALSE)&gt;0,VLOOKUP(A48,Schlußkurse!A$5:AU$105,42,FALSE)/VLOOKUP(A48,Buchwert_je_Aktie!A$3:AJ$103,13,FALSE),""),"")</f>
        <v>3.1540638900121309</v>
      </c>
      <c r="K48" s="79">
        <f>IF(VLOOKUP(A48,Buchwert_je_Aktie!A$3:AJ$103,14,FALSE)&lt;&gt;"",IF(VLOOKUP(A48,Schlußkurse!A$5:AU$105,43,FALSE)&gt;0,VLOOKUP(A48,Schlußkurse!A$5:AU$105,43,FALSE)/VLOOKUP(A48,Buchwert_je_Aktie!A$3:AJ$103,14,FALSE),""),"")</f>
        <v>2.7444933920704844</v>
      </c>
      <c r="L48" s="79">
        <f>IF(VLOOKUP(A48,Buchwert_je_Aktie!A$3:AJ$103,15,FALSE)&lt;&gt;"",IF(VLOOKUP(A48,Schlußkurse!A$5:AU$105,44,FALSE)&gt;0,VLOOKUP(A48,Schlußkurse!A$5:AU$105,44,FALSE)/VLOOKUP(A48,Buchwert_je_Aktie!A$3:AJ$103,15,FALSE),""),"")</f>
        <v>4.991339786041773</v>
      </c>
      <c r="M48" s="79">
        <f>IF(VLOOKUP(A48,Buchwert_je_Aktie!A$3:AJ$103,16,FALSE)&lt;&gt;"",IF(VLOOKUP(A48,Schlußkurse!A$5:AU$105,45,FALSE)&gt;0,VLOOKUP(A48,Schlußkurse!A$5:AU$105,45,FALSE)/VLOOKUP(A48,Buchwert_je_Aktie!A$3:AJ$103,16,FALSE),""),"")</f>
        <v>3.4437386569872963</v>
      </c>
      <c r="N48" s="79">
        <f>IF(VLOOKUP(A48,Buchwert_je_Aktie!A$3:AJ$103,17,FALSE)&lt;&gt;"",IF(VLOOKUP(A48,Schlußkurse!A$5:AU$105,46,FALSE)&gt;0,VLOOKUP(A48,Schlußkurse!A$5:AU$105,46,FALSE)/VLOOKUP(A48,Buchwert_je_Aktie!A$3:AJ$103,17,FALSE),""),"")</f>
        <v>2.7471566054243217</v>
      </c>
      <c r="O48" s="80">
        <f>IF(VLOOKUP(A48,Buchwert_je_Aktie!A$3:AJ$103,18,FALSE)&lt;&gt;"",IF(VLOOKUP(A48,Schlußkurse!A$5:AU$105,47,FALSE)&gt;0,VLOOKUP(A48,Schlußkurse!A$5:AU$105,47,FALSE)/VLOOKUP(A48,Buchwert_je_Aktie!A$3:AJ$103,18,FALSE),""),"")</f>
        <v>2.5101123595505617</v>
      </c>
      <c r="P48" s="3">
        <f t="shared" si="0"/>
        <v>3.1540638900121309</v>
      </c>
      <c r="Q48" s="3">
        <f ca="1">VLOOKUP(A48,Schlußkurse!A$5:AU$105,35,FALSE)/VLOOKUP(A48,Buchwert_je_Aktie!A$3:AK$103,23,FALSE)</f>
        <v>4.1586673038847541</v>
      </c>
      <c r="R48" s="5">
        <f t="shared" ca="1" si="1"/>
        <v>0.31851080032140988</v>
      </c>
    </row>
    <row r="49" spans="1:18" x14ac:dyDescent="0.25">
      <c r="A49" t="s">
        <v>85</v>
      </c>
      <c r="B49" t="s">
        <v>86</v>
      </c>
      <c r="C49" s="78">
        <f>IF(VLOOKUP(A49,Buchwert_je_Aktie!A$3:AJ$103,6,FALSE)&lt;&gt;"",IF(VLOOKUP(A49,Schlußkurse!A$5:AU$105,35,FALSE)&gt;0,VLOOKUP(A49,Schlußkurse!A$5:AU$105,35,FALSE) /VLOOKUP(A49,Buchwert_je_Aktie!A$3:AJ$103,6,FALSE),""),"")</f>
        <v>1.9818181818181817</v>
      </c>
      <c r="D49" s="79">
        <f>IF(VLOOKUP(A49,Buchwert_je_Aktie!A$3:AJ$103,7,FALSE)&lt;&gt;"",IF(VLOOKUP(A49,Schlußkurse!A$5:AU$105,36,FALSE)&gt;0,VLOOKUP(A49,Schlußkurse!A$5:AU$105,36,FALSE)/VLOOKUP(A49,Buchwert_je_Aktie!A$3:AJ$103,7,FALSE),""),"")</f>
        <v>2.0346666666666668</v>
      </c>
      <c r="E49" s="79">
        <f>IF(VLOOKUP(A49,Buchwert_je_Aktie!A$3:AJ$103,8,FALSE)&lt;&gt;"",IF(VLOOKUP(A49,Schlußkurse!A$5:AU$105,37,FALSE)&gt;0,VLOOKUP(A49,Schlußkurse!A$5:AU$105,37,FALSE)/VLOOKUP(A49,Buchwert_je_Aktie!A$3:AJ$103,8,FALSE),""),"")</f>
        <v>1.7156462585034011</v>
      </c>
      <c r="F49" s="79">
        <f>IF(VLOOKUP(A49,Buchwert_je_Aktie!A$3:AJ$103,9,FALSE)&lt;&gt;"",IF(VLOOKUP(A49,Schlußkurse!A$5:AU$105,38,FALSE)&gt;0,VLOOKUP(A49,Schlußkurse!A$5:AU$105,38,FALSE)/VLOOKUP(A49,Buchwert_je_Aktie!A$3:AJ$103,9,FALSE),""),"")</f>
        <v>1.8128819934179596</v>
      </c>
      <c r="G49" s="79">
        <f>IF(VLOOKUP(A49,Buchwert_je_Aktie!A$3:AJ$103,10,FALSE)&lt;&gt;"",IF(VLOOKUP(A49,Schlußkurse!A$5:AU$105,39,FALSE)&gt;0,VLOOKUP(A49,Schlußkurse!A$5:AU$105,39,FALSE)/VLOOKUP(A49,Buchwert_je_Aktie!A$3:AJ$103,10,FALSE),""),"")</f>
        <v>1.6621653084982537</v>
      </c>
      <c r="H49" s="79">
        <f>IF(VLOOKUP(A49,Buchwert_je_Aktie!A$3:AJ$103,11,FALSE)&lt;&gt;"",IF(VLOOKUP(A49,Schlußkurse!A$5:AU$105,40,FALSE)&gt;0,VLOOKUP(A49,Schlußkurse!A$5:AU$105,40,FALSE)/VLOOKUP(A49,Buchwert_je_Aktie!A$3:AJ$103,11,FALSE),""),"")</f>
        <v>1.3127457783946335</v>
      </c>
      <c r="I49" s="79">
        <f>IF(VLOOKUP(A49,Buchwert_je_Aktie!A$3:AJ$103,12,FALSE)&lt;&gt;"",IF(VLOOKUP(A49,Schlußkurse!A$5:AU$105,41,FALSE)&gt;0,VLOOKUP(A49,Schlußkurse!A$5:AU$105,41,FALSE)/VLOOKUP(A49,Buchwert_je_Aktie!A$3:AJ$103,12,FALSE),""),"")</f>
        <v>1.1411876937753398</v>
      </c>
      <c r="J49" s="79">
        <f>IF(VLOOKUP(A49,Buchwert_je_Aktie!A$3:AJ$103,13,FALSE)&lt;&gt;"",IF(VLOOKUP(A49,Schlußkurse!A$5:AU$105,42,FALSE)&gt;0,VLOOKUP(A49,Schlußkurse!A$5:AU$105,42,FALSE)/VLOOKUP(A49,Buchwert_je_Aktie!A$3:AJ$103,13,FALSE),""),"")</f>
        <v>1.3595061728395061</v>
      </c>
      <c r="K49" s="79">
        <f>IF(VLOOKUP(A49,Buchwert_je_Aktie!A$3:AJ$103,14,FALSE)&lt;&gt;"",IF(VLOOKUP(A49,Schlußkurse!A$5:AU$105,43,FALSE)&gt;0,VLOOKUP(A49,Schlußkurse!A$5:AU$105,43,FALSE)/VLOOKUP(A49,Buchwert_je_Aktie!A$3:AJ$103,14,FALSE),""),"")</f>
        <v>1.2387448840381992</v>
      </c>
      <c r="L49" s="79">
        <f>IF(VLOOKUP(A49,Buchwert_je_Aktie!A$3:AJ$103,15,FALSE)&lt;&gt;"",IF(VLOOKUP(A49,Schlußkurse!A$5:AU$105,44,FALSE)&gt;0,VLOOKUP(A49,Schlußkurse!A$5:AU$105,44,FALSE)/VLOOKUP(A49,Buchwert_je_Aktie!A$3:AJ$103,15,FALSE),""),"")</f>
        <v>1.8463793608912342</v>
      </c>
      <c r="M49" s="79">
        <f>IF(VLOOKUP(A49,Buchwert_je_Aktie!A$3:AJ$103,16,FALSE)&lt;&gt;"",IF(VLOOKUP(A49,Schlußkurse!A$5:AU$105,45,FALSE)&gt;0,VLOOKUP(A49,Schlußkurse!A$5:AU$105,45,FALSE)/VLOOKUP(A49,Buchwert_je_Aktie!A$3:AJ$103,16,FALSE),""),"")</f>
        <v>2.145047531432076</v>
      </c>
      <c r="N49" s="79">
        <f>IF(VLOOKUP(A49,Buchwert_je_Aktie!A$3:AJ$103,17,FALSE)&lt;&gt;"",IF(VLOOKUP(A49,Schlußkurse!A$5:AU$105,46,FALSE)&gt;0,VLOOKUP(A49,Schlußkurse!A$5:AU$105,46,FALSE)/VLOOKUP(A49,Buchwert_je_Aktie!A$3:AJ$103,17,FALSE),""),"")</f>
        <v>2.2063208109719739</v>
      </c>
      <c r="O49" s="80">
        <f>IF(VLOOKUP(A49,Buchwert_je_Aktie!A$3:AJ$103,18,FALSE)&lt;&gt;"",IF(VLOOKUP(A49,Schlußkurse!A$5:AU$105,47,FALSE)&gt;0,VLOOKUP(A49,Schlußkurse!A$5:AU$105,47,FALSE)/VLOOKUP(A49,Buchwert_je_Aktie!A$3:AJ$103,18,FALSE),""),"")</f>
        <v>1.7594254937163374</v>
      </c>
      <c r="P49" s="3">
        <f t="shared" si="0"/>
        <v>1.7594254937163374</v>
      </c>
      <c r="Q49" s="3">
        <f ca="1">VLOOKUP(A49,Schlußkurse!A$5:AU$105,35,FALSE)/VLOOKUP(A49,Buchwert_je_Aktie!A$3:AK$103,23,FALSE)</f>
        <v>2.0619299628420222</v>
      </c>
      <c r="R49" s="5">
        <f t="shared" ca="1" si="1"/>
        <v>0.17193366255408815</v>
      </c>
    </row>
    <row r="50" spans="1:18" x14ac:dyDescent="0.25">
      <c r="A50" t="s">
        <v>87</v>
      </c>
      <c r="B50" t="s">
        <v>88</v>
      </c>
      <c r="C50" s="78">
        <f>IF(VLOOKUP(A50,Buchwert_je_Aktie!A$3:AJ$103,6,FALSE)&lt;&gt;"",IF(VLOOKUP(A50,Schlußkurse!A$5:AU$105,35,FALSE)&gt;0,VLOOKUP(A50,Schlußkurse!A$5:AU$105,35,FALSE) /VLOOKUP(A50,Buchwert_je_Aktie!A$3:AJ$103,6,FALSE),""),"")</f>
        <v>4.7526455026455023</v>
      </c>
      <c r="D50" s="79">
        <f>IF(VLOOKUP(A50,Buchwert_je_Aktie!A$3:AJ$103,7,FALSE)&lt;&gt;"",IF(VLOOKUP(A50,Schlußkurse!A$5:AU$105,36,FALSE)&gt;0,VLOOKUP(A50,Schlußkurse!A$5:AU$105,36,FALSE)/VLOOKUP(A50,Buchwert_je_Aktie!A$3:AJ$103,7,FALSE),""),"")</f>
        <v>5.3626865671641788</v>
      </c>
      <c r="E50" s="79">
        <f>IF(VLOOKUP(A50,Buchwert_je_Aktie!A$3:AJ$103,8,FALSE)&lt;&gt;"",IF(VLOOKUP(A50,Schlußkurse!A$5:AU$105,37,FALSE)&gt;0,VLOOKUP(A50,Schlußkurse!A$5:AU$105,37,FALSE)/VLOOKUP(A50,Buchwert_je_Aktie!A$3:AJ$103,8,FALSE),""),"")</f>
        <v>6.2617449664429534</v>
      </c>
      <c r="F50" s="79">
        <f>IF(VLOOKUP(A50,Buchwert_je_Aktie!A$3:AJ$103,9,FALSE)&lt;&gt;"",IF(VLOOKUP(A50,Schlußkurse!A$5:AU$105,38,FALSE)&gt;0,VLOOKUP(A50,Schlußkurse!A$5:AU$105,38,FALSE)/VLOOKUP(A50,Buchwert_je_Aktie!A$3:AJ$103,9,FALSE),""),"")</f>
        <v>7.580645161290323</v>
      </c>
      <c r="G50" s="79">
        <f>IF(VLOOKUP(A50,Buchwert_je_Aktie!A$3:AJ$103,10,FALSE)&lt;&gt;"",IF(VLOOKUP(A50,Schlußkurse!A$5:AU$105,39,FALSE)&gt;0,VLOOKUP(A50,Schlußkurse!A$5:AU$105,39,FALSE)/VLOOKUP(A50,Buchwert_je_Aktie!A$3:AJ$103,10,FALSE),""),"")</f>
        <v>6.4392156862745109</v>
      </c>
      <c r="H50" s="79">
        <f>IF(VLOOKUP(A50,Buchwert_je_Aktie!A$3:AJ$103,11,FALSE)&lt;&gt;"",IF(VLOOKUP(A50,Schlußkurse!A$5:AU$105,40,FALSE)&gt;0,VLOOKUP(A50,Schlußkurse!A$5:AU$105,40,FALSE)/VLOOKUP(A50,Buchwert_je_Aktie!A$3:AJ$103,11,FALSE),""),"")</f>
        <v>6.2709359605911335</v>
      </c>
      <c r="I50" s="79">
        <f>IF(VLOOKUP(A50,Buchwert_je_Aktie!A$3:AJ$103,12,FALSE)&lt;&gt;"",IF(VLOOKUP(A50,Schlußkurse!A$5:AU$105,41,FALSE)&gt;0,VLOOKUP(A50,Schlußkurse!A$5:AU$105,41,FALSE)/VLOOKUP(A50,Buchwert_je_Aktie!A$3:AJ$103,12,FALSE),""),"")</f>
        <v>5.5789473684210531</v>
      </c>
      <c r="J50" s="79">
        <f>IF(VLOOKUP(A50,Buchwert_je_Aktie!A$3:AJ$103,13,FALSE)&lt;&gt;"",IF(VLOOKUP(A50,Schlußkurse!A$5:AU$105,42,FALSE)&gt;0,VLOOKUP(A50,Schlußkurse!A$5:AU$105,42,FALSE)/VLOOKUP(A50,Buchwert_je_Aktie!A$3:AJ$103,13,FALSE),""),"")</f>
        <v>6.0103448275862066</v>
      </c>
      <c r="K50" s="79">
        <f>IF(VLOOKUP(A50,Buchwert_je_Aktie!A$3:AJ$103,14,FALSE)&lt;&gt;"",IF(VLOOKUP(A50,Schlußkurse!A$5:AU$105,43,FALSE)&gt;0,VLOOKUP(A50,Schlußkurse!A$5:AU$105,43,FALSE)/VLOOKUP(A50,Buchwert_je_Aktie!A$3:AJ$103,14,FALSE),""),"")</f>
        <v>8.1052631578947381</v>
      </c>
      <c r="L50" s="79">
        <f>IF(VLOOKUP(A50,Buchwert_je_Aktie!A$3:AJ$103,15,FALSE)&lt;&gt;"",IF(VLOOKUP(A50,Schlußkurse!A$5:AU$105,44,FALSE)&gt;0,VLOOKUP(A50,Schlußkurse!A$5:AU$105,44,FALSE)/VLOOKUP(A50,Buchwert_je_Aktie!A$3:AJ$103,15,FALSE),""),"")</f>
        <v>8.2959999999999994</v>
      </c>
      <c r="M50" s="79">
        <f>IF(VLOOKUP(A50,Buchwert_je_Aktie!A$3:AJ$103,16,FALSE)&lt;&gt;"",IF(VLOOKUP(A50,Schlußkurse!A$5:AU$105,45,FALSE)&gt;0,VLOOKUP(A50,Schlußkurse!A$5:AU$105,45,FALSE)/VLOOKUP(A50,Buchwert_je_Aktie!A$3:AJ$103,16,FALSE),""),"")</f>
        <v>6.6875</v>
      </c>
      <c r="N50" s="79">
        <f>IF(VLOOKUP(A50,Buchwert_je_Aktie!A$3:AJ$103,17,FALSE)&lt;&gt;"",IF(VLOOKUP(A50,Schlußkurse!A$5:AU$105,46,FALSE)&gt;0,VLOOKUP(A50,Schlußkurse!A$5:AU$105,46,FALSE)/VLOOKUP(A50,Buchwert_je_Aktie!A$3:AJ$103,17,FALSE),""),"")</f>
        <v>5.5608108108108114</v>
      </c>
      <c r="O50" s="80">
        <f>IF(VLOOKUP(A50,Buchwert_je_Aktie!A$3:AJ$103,18,FALSE)&lt;&gt;"",IF(VLOOKUP(A50,Schlußkurse!A$5:AU$105,47,FALSE)&gt;0,VLOOKUP(A50,Schlußkurse!A$5:AU$105,47,FALSE)/VLOOKUP(A50,Buchwert_je_Aktie!A$3:AJ$103,18,FALSE),""),"")</f>
        <v>6.2478991596638656</v>
      </c>
      <c r="P50" s="3">
        <f t="shared" si="0"/>
        <v>6.2617449664429534</v>
      </c>
      <c r="Q50" s="3">
        <f ca="1">VLOOKUP(A50,Schlußkurse!A$5:AU$105,35,FALSE)/VLOOKUP(A50,Buchwert_je_Aktie!A$3:AK$103,23,FALSE)</f>
        <v>5.4581360609666554</v>
      </c>
      <c r="R50" s="5">
        <f t="shared" ca="1" si="1"/>
        <v>-0.12833625607284926</v>
      </c>
    </row>
    <row r="51" spans="1:18" x14ac:dyDescent="0.25">
      <c r="A51" t="s">
        <v>89</v>
      </c>
      <c r="B51" t="s">
        <v>90</v>
      </c>
      <c r="C51" s="78">
        <f>IF(VLOOKUP(A51,Buchwert_je_Aktie!A$3:AJ$103,6,FALSE)&lt;&gt;"",IF(VLOOKUP(A51,Schlußkurse!A$5:AU$105,35,FALSE)&gt;0,VLOOKUP(A51,Schlußkurse!A$5:AU$105,35,FALSE) /VLOOKUP(A51,Buchwert_je_Aktie!A$3:AJ$103,6,FALSE),""),"")</f>
        <v>2.6440609108910893</v>
      </c>
      <c r="D51" s="79">
        <f>IF(VLOOKUP(A51,Buchwert_je_Aktie!A$3:AJ$103,7,FALSE)&lt;&gt;"",IF(VLOOKUP(A51,Schlußkurse!A$5:AU$105,36,FALSE)&gt;0,VLOOKUP(A51,Schlußkurse!A$5:AU$105,36,FALSE)/VLOOKUP(A51,Buchwert_je_Aktie!A$3:AJ$103,7,FALSE),""),"")</f>
        <v>2.7808666666666664</v>
      </c>
      <c r="E51" s="79">
        <f>IF(VLOOKUP(A51,Buchwert_je_Aktie!A$3:AJ$103,8,FALSE)&lt;&gt;"",IF(VLOOKUP(A51,Schlußkurse!A$5:AU$105,37,FALSE)&gt;0,VLOOKUP(A51,Schlußkurse!A$5:AU$105,37,FALSE)/VLOOKUP(A51,Buchwert_je_Aktie!A$3:AJ$103,8,FALSE),""),"")</f>
        <v>2.8316363636363633</v>
      </c>
      <c r="F51" s="79">
        <f>IF(VLOOKUP(A51,Buchwert_je_Aktie!A$3:AJ$103,9,FALSE)&lt;&gt;"",IF(VLOOKUP(A51,Schlußkurse!A$5:AU$105,38,FALSE)&gt;0,VLOOKUP(A51,Schlußkurse!A$5:AU$105,38,FALSE)/VLOOKUP(A51,Buchwert_je_Aktie!A$3:AJ$103,9,FALSE),""),"")</f>
        <v>3.3447186785260485</v>
      </c>
      <c r="G51" s="79">
        <f>IF(VLOOKUP(A51,Buchwert_je_Aktie!A$3:AJ$103,10,FALSE)&lt;&gt;"",IF(VLOOKUP(A51,Schlußkurse!A$5:AU$105,39,FALSE)&gt;0,VLOOKUP(A51,Schlußkurse!A$5:AU$105,39,FALSE)/VLOOKUP(A51,Buchwert_je_Aktie!A$3:AJ$103,10,FALSE),""),"")</f>
        <v>2.5446234642178593</v>
      </c>
      <c r="H51" s="79">
        <f>IF(VLOOKUP(A51,Buchwert_je_Aktie!A$3:AJ$103,11,FALSE)&lt;&gt;"",IF(VLOOKUP(A51,Schlußkurse!A$5:AU$105,40,FALSE)&gt;0,VLOOKUP(A51,Schlußkurse!A$5:AU$105,40,FALSE)/VLOOKUP(A51,Buchwert_je_Aktie!A$3:AJ$103,11,FALSE),""),"")</f>
        <v>2.3485632050431318</v>
      </c>
      <c r="I51" s="79">
        <f>IF(VLOOKUP(A51,Buchwert_je_Aktie!A$3:AJ$103,12,FALSE)&lt;&gt;"",IF(VLOOKUP(A51,Schlußkurse!A$5:AU$105,41,FALSE)&gt;0,VLOOKUP(A51,Schlußkurse!A$5:AU$105,41,FALSE)/VLOOKUP(A51,Buchwert_je_Aktie!A$3:AJ$103,12,FALSE),""),"")</f>
        <v>2.2103710625470989</v>
      </c>
      <c r="J51" s="79">
        <f>IF(VLOOKUP(A51,Buchwert_je_Aktie!A$3:AJ$103,13,FALSE)&lt;&gt;"",IF(VLOOKUP(A51,Schlußkurse!A$5:AU$105,42,FALSE)&gt;0,VLOOKUP(A51,Schlußkurse!A$5:AU$105,42,FALSE)/VLOOKUP(A51,Buchwert_je_Aktie!A$3:AJ$103,13,FALSE),""),"")</f>
        <v>1.2260195383347072</v>
      </c>
      <c r="K51" s="79">
        <f>IF(VLOOKUP(A51,Buchwert_je_Aktie!A$3:AJ$103,14,FALSE)&lt;&gt;"",IF(VLOOKUP(A51,Schlußkurse!A$5:AU$105,43,FALSE)&gt;0,VLOOKUP(A51,Schlußkurse!A$5:AU$105,43,FALSE)/VLOOKUP(A51,Buchwert_je_Aktie!A$3:AJ$103,14,FALSE),""),"")</f>
        <v>2.2589888659793815</v>
      </c>
      <c r="L51" s="79">
        <f>IF(VLOOKUP(A51,Buchwert_je_Aktie!A$3:AJ$103,15,FALSE)&lt;&gt;"",IF(VLOOKUP(A51,Schlußkurse!A$5:AU$105,44,FALSE)&gt;0,VLOOKUP(A51,Schlußkurse!A$5:AU$105,44,FALSE)/VLOOKUP(A51,Buchwert_je_Aktie!A$3:AJ$103,15,FALSE),""),"")</f>
        <v>1.8834407725321887</v>
      </c>
      <c r="M51" s="79">
        <f>IF(VLOOKUP(A51,Buchwert_je_Aktie!A$3:AJ$103,16,FALSE)&lt;&gt;"",IF(VLOOKUP(A51,Schlußkurse!A$5:AU$105,45,FALSE)&gt;0,VLOOKUP(A51,Schlußkurse!A$5:AU$105,45,FALSE)/VLOOKUP(A51,Buchwert_je_Aktie!A$3:AJ$103,16,FALSE),""),"")</f>
        <v>2.062368234064786</v>
      </c>
      <c r="N51" s="79" t="str">
        <f>IF(VLOOKUP(A51,Buchwert_je_Aktie!A$3:AJ$103,17,FALSE)&lt;&gt;"",IF(VLOOKUP(A51,Schlußkurse!A$5:AU$105,46,FALSE)&gt;0,VLOOKUP(A51,Schlußkurse!A$5:AU$105,46,FALSE)/VLOOKUP(A51,Buchwert_je_Aktie!A$3:AJ$103,17,FALSE),""),"")</f>
        <v/>
      </c>
      <c r="O51" s="80" t="str">
        <f>IF(VLOOKUP(A51,Buchwert_je_Aktie!A$3:AJ$103,18,FALSE)&lt;&gt;"",IF(VLOOKUP(A51,Schlußkurse!A$5:AU$105,47,FALSE)&gt;0,VLOOKUP(A51,Schlußkurse!A$5:AU$105,47,FALSE)/VLOOKUP(A51,Buchwert_je_Aktie!A$3:AJ$103,18,FALSE),""),"")</f>
        <v/>
      </c>
      <c r="P51" s="3">
        <f t="shared" si="0"/>
        <v>2.3485632050431318</v>
      </c>
      <c r="Q51" s="3">
        <f ca="1">VLOOKUP(A51,Schlußkurse!A$5:AU$105,35,FALSE)/VLOOKUP(A51,Buchwert_je_Aktie!A$3:AK$103,23,FALSE)</f>
        <v>2.8087546663550311</v>
      </c>
      <c r="R51" s="5">
        <f t="shared" ca="1" si="1"/>
        <v>0.1959459555202594</v>
      </c>
    </row>
    <row r="52" spans="1:18" x14ac:dyDescent="0.25">
      <c r="A52" t="s">
        <v>91</v>
      </c>
      <c r="B52" t="s">
        <v>92</v>
      </c>
      <c r="C52" s="78">
        <f>IF(VLOOKUP(A52,Buchwert_je_Aktie!A$3:AJ$103,6,FALSE)&lt;&gt;"",IF(VLOOKUP(A52,Schlußkurse!A$5:AU$105,35,FALSE)&gt;0,VLOOKUP(A52,Schlußkurse!A$5:AU$105,35,FALSE) /VLOOKUP(A52,Buchwert_je_Aktie!A$3:AJ$103,6,FALSE),""),"")</f>
        <v>2.5663129973474801</v>
      </c>
      <c r="D52" s="79">
        <f>IF(VLOOKUP(A52,Buchwert_je_Aktie!A$3:AJ$103,7,FALSE)&lt;&gt;"",IF(VLOOKUP(A52,Schlußkurse!A$5:AU$105,36,FALSE)&gt;0,VLOOKUP(A52,Schlußkurse!A$5:AU$105,36,FALSE)/VLOOKUP(A52,Buchwert_je_Aktie!A$3:AJ$103,7,FALSE),""),"")</f>
        <v>3.1548913043478257</v>
      </c>
      <c r="E52" s="79">
        <f>IF(VLOOKUP(A52,Buchwert_je_Aktie!A$3:AJ$103,8,FALSE)&lt;&gt;"",IF(VLOOKUP(A52,Schlußkurse!A$5:AU$105,37,FALSE)&gt;0,VLOOKUP(A52,Schlußkurse!A$5:AU$105,37,FALSE)/VLOOKUP(A52,Buchwert_je_Aktie!A$3:AJ$103,8,FALSE),""),"")</f>
        <v>3.1310096153846154</v>
      </c>
      <c r="F52" s="79">
        <f>IF(VLOOKUP(A52,Buchwert_je_Aktie!A$3:AJ$103,9,FALSE)&lt;&gt;"",IF(VLOOKUP(A52,Schlußkurse!A$5:AU$105,38,FALSE)&gt;0,VLOOKUP(A52,Schlußkurse!A$5:AU$105,38,FALSE)/VLOOKUP(A52,Buchwert_je_Aktie!A$3:AJ$103,9,FALSE),""),"")</f>
        <v>4.8986466876971608</v>
      </c>
      <c r="G52" s="79">
        <f>IF(VLOOKUP(A52,Buchwert_je_Aktie!A$3:AJ$103,10,FALSE)&lt;&gt;"",IF(VLOOKUP(A52,Schlußkurse!A$5:AU$105,39,FALSE)&gt;0,VLOOKUP(A52,Schlußkurse!A$5:AU$105,39,FALSE)/VLOOKUP(A52,Buchwert_je_Aktie!A$3:AJ$103,10,FALSE),""),"")</f>
        <v>4.3839999999999995</v>
      </c>
      <c r="H52" s="79">
        <f>IF(VLOOKUP(A52,Buchwert_je_Aktie!A$3:AJ$103,11,FALSE)&lt;&gt;"",IF(VLOOKUP(A52,Schlußkurse!A$5:AU$105,40,FALSE)&gt;0,VLOOKUP(A52,Schlußkurse!A$5:AU$105,40,FALSE)/VLOOKUP(A52,Buchwert_je_Aktie!A$3:AJ$103,11,FALSE),""),"")</f>
        <v>3.834787841191067</v>
      </c>
      <c r="I52" s="79">
        <f>IF(VLOOKUP(A52,Buchwert_je_Aktie!A$3:AJ$103,12,FALSE)&lt;&gt;"",IF(VLOOKUP(A52,Schlußkurse!A$5:AU$105,41,FALSE)&gt;0,VLOOKUP(A52,Schlußkurse!A$5:AU$105,41,FALSE)/VLOOKUP(A52,Buchwert_je_Aktie!A$3:AJ$103,12,FALSE),""),"")</f>
        <v>4.3701096938775512</v>
      </c>
      <c r="J52" s="79">
        <f>IF(VLOOKUP(A52,Buchwert_je_Aktie!A$3:AJ$103,13,FALSE)&lt;&gt;"",IF(VLOOKUP(A52,Schlußkurse!A$5:AU$105,42,FALSE)&gt;0,VLOOKUP(A52,Schlußkurse!A$5:AU$105,42,FALSE)/VLOOKUP(A52,Buchwert_je_Aktie!A$3:AJ$103,13,FALSE),""),"")</f>
        <v>4.6799196556671445</v>
      </c>
      <c r="K52" s="79">
        <f>IF(VLOOKUP(A52,Buchwert_je_Aktie!A$3:AJ$103,14,FALSE)&lt;&gt;"",IF(VLOOKUP(A52,Schlußkurse!A$5:AU$105,43,FALSE)&gt;0,VLOOKUP(A52,Schlußkurse!A$5:AU$105,43,FALSE)/VLOOKUP(A52,Buchwert_je_Aktie!A$3:AJ$103,14,FALSE),""),"")</f>
        <v>4.5148072072072072</v>
      </c>
      <c r="L52" s="79">
        <f>IF(VLOOKUP(A52,Buchwert_je_Aktie!A$3:AJ$103,15,FALSE)&lt;&gt;"",IF(VLOOKUP(A52,Schlußkurse!A$5:AU$105,44,FALSE)&gt;0,VLOOKUP(A52,Schlußkurse!A$5:AU$105,44,FALSE)/VLOOKUP(A52,Buchwert_je_Aktie!A$3:AJ$103,15,FALSE),""),"")</f>
        <v>6.2111776315789484</v>
      </c>
      <c r="M52" s="79">
        <f>IF(VLOOKUP(A52,Buchwert_je_Aktie!A$3:AJ$103,16,FALSE)&lt;&gt;"",IF(VLOOKUP(A52,Schlußkurse!A$5:AU$105,45,FALSE)&gt;0,VLOOKUP(A52,Schlußkurse!A$5:AU$105,45,FALSE)/VLOOKUP(A52,Buchwert_je_Aktie!A$3:AJ$103,16,FALSE),""),"")</f>
        <v>6.8744212121212129</v>
      </c>
      <c r="N52" s="79">
        <f>IF(VLOOKUP(A52,Buchwert_je_Aktie!A$3:AJ$103,17,FALSE)&lt;&gt;"",IF(VLOOKUP(A52,Schlußkurse!A$5:AU$105,46,FALSE)&gt;0,VLOOKUP(A52,Schlußkurse!A$5:AU$105,46,FALSE)/VLOOKUP(A52,Buchwert_je_Aktie!A$3:AJ$103,17,FALSE),""),"")</f>
        <v>7.2052779922779928</v>
      </c>
      <c r="O52" s="80">
        <f>IF(VLOOKUP(A52,Buchwert_je_Aktie!A$3:AJ$103,18,FALSE)&lt;&gt;"",IF(VLOOKUP(A52,Schlußkurse!A$5:AU$105,47,FALSE)&gt;0,VLOOKUP(A52,Schlußkurse!A$5:AU$105,47,FALSE)/VLOOKUP(A52,Buchwert_je_Aktie!A$3:AJ$103,18,FALSE),""),"")</f>
        <v>5.9527937743190664</v>
      </c>
      <c r="P52" s="3">
        <f t="shared" si="0"/>
        <v>4.5148072072072072</v>
      </c>
      <c r="Q52" s="3">
        <f ca="1">VLOOKUP(A52,Schlußkurse!A$5:AU$105,35,FALSE)/VLOOKUP(A52,Buchwert_je_Aktie!A$3:AK$103,23,FALSE)</f>
        <v>3.3678639575060592</v>
      </c>
      <c r="R52" s="5">
        <f t="shared" ca="1" si="1"/>
        <v>-0.25404036032152744</v>
      </c>
    </row>
    <row r="53" spans="1:18" x14ac:dyDescent="0.25">
      <c r="A53" t="s">
        <v>288</v>
      </c>
      <c r="B53" t="s">
        <v>289</v>
      </c>
      <c r="C53" s="78">
        <f>IF(VLOOKUP(A53,Buchwert_je_Aktie!A$3:AJ$103,6,FALSE)&lt;&gt;"",IF(VLOOKUP(A53,Schlußkurse!A$5:AU$105,35,FALSE)&gt;0,VLOOKUP(A53,Schlußkurse!A$5:AU$105,35,FALSE) /VLOOKUP(A53,Buchwert_je_Aktie!A$3:AJ$103,6,FALSE),""),"")</f>
        <v>8.2149122807017552</v>
      </c>
      <c r="D53" s="79">
        <f>IF(VLOOKUP(A53,Buchwert_je_Aktie!A$3:AJ$103,7,FALSE)&lt;&gt;"",IF(VLOOKUP(A53,Schlußkurse!A$5:AU$105,36,FALSE)&gt;0,VLOOKUP(A53,Schlußkurse!A$5:AU$105,36,FALSE)/VLOOKUP(A53,Buchwert_je_Aktie!A$3:AJ$103,7,FALSE),""),"")</f>
        <v>9.3837675350701399</v>
      </c>
      <c r="E53" s="79">
        <f>IF(VLOOKUP(A53,Buchwert_je_Aktie!A$3:AJ$103,8,FALSE)&lt;&gt;"",IF(VLOOKUP(A53,Schlußkurse!A$5:AU$105,37,FALSE)&gt;0,VLOOKUP(A53,Schlußkurse!A$5:AU$105,37,FALSE)/VLOOKUP(A53,Buchwert_je_Aktie!A$3:AJ$103,8,FALSE),""),"")</f>
        <v>8.4879581151832451</v>
      </c>
      <c r="F53" s="79">
        <f>IF(VLOOKUP(A53,Buchwert_je_Aktie!A$3:AJ$103,9,FALSE)&lt;&gt;"",IF(VLOOKUP(A53,Schlußkurse!A$5:AU$105,38,FALSE)&gt;0,VLOOKUP(A53,Schlußkurse!A$5:AU$105,38,FALSE)/VLOOKUP(A53,Buchwert_je_Aktie!A$3:AJ$103,9,FALSE),""),"")</f>
        <v>8.2760595647193576</v>
      </c>
      <c r="G53" s="79">
        <f>IF(VLOOKUP(A53,Buchwert_je_Aktie!A$3:AJ$103,10,FALSE)&lt;&gt;"",IF(VLOOKUP(A53,Schlußkurse!A$5:AU$105,39,FALSE)&gt;0,VLOOKUP(A53,Schlußkurse!A$5:AU$105,39,FALSE)/VLOOKUP(A53,Buchwert_je_Aktie!A$3:AJ$103,10,FALSE),""),"")</f>
        <v>8.279569892473118</v>
      </c>
      <c r="H53" s="79">
        <f>IF(VLOOKUP(A53,Buchwert_je_Aktie!A$3:AJ$103,11,FALSE)&lt;&gt;"",IF(VLOOKUP(A53,Schlußkurse!A$5:AU$105,40,FALSE)&gt;0,VLOOKUP(A53,Schlußkurse!A$5:AU$105,40,FALSE)/VLOOKUP(A53,Buchwert_je_Aktie!A$3:AJ$103,11,FALSE),""),"")</f>
        <v>8.7422512234910279</v>
      </c>
      <c r="I53" s="79">
        <f>IF(VLOOKUP(A53,Buchwert_je_Aktie!A$3:AJ$103,12,FALSE)&lt;&gt;"",IF(VLOOKUP(A53,Schlußkurse!A$5:AU$105,41,FALSE)&gt;0,VLOOKUP(A53,Schlußkurse!A$5:AU$105,41,FALSE)/VLOOKUP(A53,Buchwert_je_Aktie!A$3:AJ$103,12,FALSE),""),"")</f>
        <v>6.512455516014235</v>
      </c>
      <c r="J53" s="79">
        <f>IF(VLOOKUP(A53,Buchwert_je_Aktie!A$3:AJ$103,13,FALSE)&lt;&gt;"",IF(VLOOKUP(A53,Schlußkurse!A$5:AU$105,42,FALSE)&gt;0,VLOOKUP(A53,Schlußkurse!A$5:AU$105,42,FALSE)/VLOOKUP(A53,Buchwert_je_Aktie!A$3:AJ$103,13,FALSE),""),"")</f>
        <v>8.108108108108107</v>
      </c>
      <c r="K53" s="79">
        <f>IF(VLOOKUP(A53,Buchwert_je_Aktie!A$3:AJ$103,14,FALSE)&lt;&gt;"",IF(VLOOKUP(A53,Schlußkurse!A$5:AU$105,43,FALSE)&gt;0,VLOOKUP(A53,Schlußkurse!A$5:AU$105,43,FALSE)/VLOOKUP(A53,Buchwert_je_Aktie!A$3:AJ$103,14,FALSE),""),"")</f>
        <v>10.391959798994975</v>
      </c>
      <c r="L53" s="79">
        <f>IF(VLOOKUP(A53,Buchwert_je_Aktie!A$3:AJ$103,15,FALSE)&lt;&gt;"",IF(VLOOKUP(A53,Schlußkurse!A$5:AU$105,44,FALSE)&gt;0,VLOOKUP(A53,Schlußkurse!A$5:AU$105,44,FALSE)/VLOOKUP(A53,Buchwert_je_Aktie!A$3:AJ$103,15,FALSE),""),"")</f>
        <v>11.876080691642651</v>
      </c>
      <c r="M53" s="79">
        <f>IF(VLOOKUP(A53,Buchwert_je_Aktie!A$3:AJ$103,16,FALSE)&lt;&gt;"",IF(VLOOKUP(A53,Schlußkurse!A$5:AU$105,45,FALSE)&gt;0,VLOOKUP(A53,Schlußkurse!A$5:AU$105,45,FALSE)/VLOOKUP(A53,Buchwert_je_Aktie!A$3:AJ$103,16,FALSE),""),"")</f>
        <v>10.944649446494465</v>
      </c>
      <c r="N53" s="79">
        <f>IF(VLOOKUP(A53,Buchwert_je_Aktie!A$3:AJ$103,17,FALSE)&lt;&gt;"",IF(VLOOKUP(A53,Schlußkurse!A$5:AU$105,46,FALSE)&gt;0,VLOOKUP(A53,Schlußkurse!A$5:AU$105,46,FALSE)/VLOOKUP(A53,Buchwert_je_Aktie!A$3:AJ$103,17,FALSE),""),"")</f>
        <v>10.655021834061134</v>
      </c>
      <c r="O53" s="80">
        <f>IF(VLOOKUP(A53,Buchwert_je_Aktie!A$3:AJ$103,18,FALSE)&lt;&gt;"",IF(VLOOKUP(A53,Schlußkurse!A$5:AU$105,47,FALSE)&gt;0,VLOOKUP(A53,Schlußkurse!A$5:AU$105,47,FALSE)/VLOOKUP(A53,Buchwert_je_Aktie!A$3:AJ$103,18,FALSE),""),"")</f>
        <v>13.248730964467006</v>
      </c>
      <c r="P53" s="3">
        <f t="shared" si="0"/>
        <v>8.7422512234910279</v>
      </c>
      <c r="Q53" s="3">
        <f ca="1">VLOOKUP(A53,Schlußkurse!A$5:AU$105,35,FALSE)/VLOOKUP(A53,Buchwert_je_Aktie!A$3:AK$103,23,FALSE)</f>
        <v>9.5181899798422371</v>
      </c>
      <c r="R53" s="5">
        <f t="shared" ca="1" si="1"/>
        <v>8.8757316223790017E-2</v>
      </c>
    </row>
    <row r="54" spans="1:18" x14ac:dyDescent="0.25">
      <c r="A54" t="s">
        <v>257</v>
      </c>
      <c r="B54" t="s">
        <v>258</v>
      </c>
      <c r="C54" s="78">
        <f>IF(VLOOKUP(A54,Buchwert_je_Aktie!A$3:AJ$103,6,FALSE)&lt;&gt;"",IF(VLOOKUP(A54,Schlußkurse!A$5:AU$105,35,FALSE)&gt;0,VLOOKUP(A54,Schlußkurse!A$5:AU$105,35,FALSE) /VLOOKUP(A54,Buchwert_je_Aktie!A$3:AJ$103,6,FALSE),""),"")</f>
        <v>3.1537500000000001</v>
      </c>
      <c r="D54" s="79">
        <f>IF(VLOOKUP(A54,Buchwert_je_Aktie!A$3:AJ$103,7,FALSE)&lt;&gt;"",IF(VLOOKUP(A54,Schlußkurse!A$5:AU$105,36,FALSE)&gt;0,VLOOKUP(A54,Schlußkurse!A$5:AU$105,36,FALSE)/VLOOKUP(A54,Buchwert_je_Aktie!A$3:AJ$103,7,FALSE),""),"")</f>
        <v>3.3088888888888892</v>
      </c>
      <c r="E54" s="79">
        <f>IF(VLOOKUP(A54,Buchwert_je_Aktie!A$3:AJ$103,8,FALSE)&lt;&gt;"",IF(VLOOKUP(A54,Schlußkurse!A$5:AU$105,37,FALSE)&gt;0,VLOOKUP(A54,Schlußkurse!A$5:AU$105,37,FALSE)/VLOOKUP(A54,Buchwert_je_Aktie!A$3:AJ$103,8,FALSE),""),"")</f>
        <v>2.8009523809523809</v>
      </c>
      <c r="F54" s="79">
        <f>IF(VLOOKUP(A54,Buchwert_je_Aktie!A$3:AJ$103,9,FALSE)&lt;&gt;"",IF(VLOOKUP(A54,Schlußkurse!A$5:AU$105,38,FALSE)&gt;0,VLOOKUP(A54,Schlußkurse!A$5:AU$105,38,FALSE)/VLOOKUP(A54,Buchwert_je_Aktie!A$3:AJ$103,9,FALSE),""),"")</f>
        <v>2.3997944501541624</v>
      </c>
      <c r="G54" s="79">
        <f>IF(VLOOKUP(A54,Buchwert_je_Aktie!A$3:AJ$103,10,FALSE)&lt;&gt;"",IF(VLOOKUP(A54,Schlußkurse!A$5:AU$105,39,FALSE)&gt;0,VLOOKUP(A54,Schlußkurse!A$5:AU$105,39,FALSE)/VLOOKUP(A54,Buchwert_je_Aktie!A$3:AJ$103,10,FALSE),""),"")</f>
        <v>2.0783460282916217</v>
      </c>
      <c r="H54" s="79">
        <f>IF(VLOOKUP(A54,Buchwert_je_Aktie!A$3:AJ$103,11,FALSE)&lt;&gt;"",IF(VLOOKUP(A54,Schlußkurse!A$5:AU$105,40,FALSE)&gt;0,VLOOKUP(A54,Schlußkurse!A$5:AU$105,40,FALSE)/VLOOKUP(A54,Buchwert_je_Aktie!A$3:AJ$103,11,FALSE),""),"")</f>
        <v>2.5303030303030303</v>
      </c>
      <c r="I54" s="79">
        <f>IF(VLOOKUP(A54,Buchwert_je_Aktie!A$3:AJ$103,12,FALSE)&lt;&gt;"",IF(VLOOKUP(A54,Schlußkurse!A$5:AU$105,41,FALSE)&gt;0,VLOOKUP(A54,Schlußkurse!A$5:AU$105,41,FALSE)/VLOOKUP(A54,Buchwert_je_Aktie!A$3:AJ$103,12,FALSE),""),"")</f>
        <v>2.9282841823056298</v>
      </c>
      <c r="J54" s="79">
        <f>IF(VLOOKUP(A54,Buchwert_je_Aktie!A$3:AJ$103,13,FALSE)&lt;&gt;"",IF(VLOOKUP(A54,Schlußkurse!A$5:AU$105,42,FALSE)&gt;0,VLOOKUP(A54,Schlußkurse!A$5:AU$105,42,FALSE)/VLOOKUP(A54,Buchwert_je_Aktie!A$3:AJ$103,13,FALSE),""),"")</f>
        <v>2.4006001500375094</v>
      </c>
      <c r="K54" s="79">
        <f>IF(VLOOKUP(A54,Buchwert_je_Aktie!A$3:AJ$103,14,FALSE)&lt;&gt;"",IF(VLOOKUP(A54,Schlußkurse!A$5:AU$105,43,FALSE)&gt;0,VLOOKUP(A54,Schlußkurse!A$5:AU$105,43,FALSE)/VLOOKUP(A54,Buchwert_je_Aktie!A$3:AJ$103,14,FALSE),""),"")</f>
        <v>4.1324278438030566</v>
      </c>
      <c r="L54" s="79">
        <f>IF(VLOOKUP(A54,Buchwert_je_Aktie!A$3:AJ$103,15,FALSE)&lt;&gt;"",IF(VLOOKUP(A54,Schlußkurse!A$5:AU$105,44,FALSE)&gt;0,VLOOKUP(A54,Schlußkurse!A$5:AU$105,44,FALSE)/VLOOKUP(A54,Buchwert_je_Aktie!A$3:AJ$103,15,FALSE),""),"")</f>
        <v>5.162768031189084</v>
      </c>
      <c r="M54" s="79">
        <f>IF(VLOOKUP(A54,Buchwert_je_Aktie!A$3:AJ$103,16,FALSE)&lt;&gt;"",IF(VLOOKUP(A54,Schlußkurse!A$5:AU$105,45,FALSE)&gt;0,VLOOKUP(A54,Schlußkurse!A$5:AU$105,45,FALSE)/VLOOKUP(A54,Buchwert_je_Aktie!A$3:AJ$103,16,FALSE),""),"")</f>
        <v>5.2208333333333332</v>
      </c>
      <c r="N54" s="79">
        <f>IF(VLOOKUP(A54,Buchwert_je_Aktie!A$3:AJ$103,17,FALSE)&lt;&gt;"",IF(VLOOKUP(A54,Schlußkurse!A$5:AU$105,46,FALSE)&gt;0,VLOOKUP(A54,Schlußkurse!A$5:AU$105,46,FALSE)/VLOOKUP(A54,Buchwert_je_Aktie!A$3:AJ$103,17,FALSE),""),"")</f>
        <v>4.9753694581280792</v>
      </c>
      <c r="O54" s="80">
        <f>IF(VLOOKUP(A54,Buchwert_je_Aktie!A$3:AJ$103,18,FALSE)&lt;&gt;"",IF(VLOOKUP(A54,Schlußkurse!A$5:AU$105,47,FALSE)&gt;0,VLOOKUP(A54,Schlußkurse!A$5:AU$105,47,FALSE)/VLOOKUP(A54,Buchwert_je_Aktie!A$3:AJ$103,18,FALSE),""),"")</f>
        <v>4.9015063731170327</v>
      </c>
      <c r="P54" s="3">
        <f t="shared" si="0"/>
        <v>3.1537500000000001</v>
      </c>
      <c r="Q54" s="3">
        <f ca="1">VLOOKUP(A54,Schlußkurse!A$5:AU$105,35,FALSE)/VLOOKUP(A54,Buchwert_je_Aktie!A$3:AK$103,23,FALSE)</f>
        <v>3.3621321488062188</v>
      </c>
      <c r="R54" s="5">
        <f t="shared" ca="1" si="1"/>
        <v>6.6074403109383617E-2</v>
      </c>
    </row>
    <row r="55" spans="1:18" x14ac:dyDescent="0.25">
      <c r="A55" t="s">
        <v>93</v>
      </c>
      <c r="B55" t="s">
        <v>94</v>
      </c>
      <c r="C55" s="78">
        <f>IF(VLOOKUP(A55,Buchwert_je_Aktie!A$3:AJ$103,6,FALSE)&lt;&gt;"",IF(VLOOKUP(A55,Schlußkurse!A$5:AU$105,35,FALSE)&gt;0,VLOOKUP(A55,Schlußkurse!A$5:AU$105,35,FALSE) /VLOOKUP(A55,Buchwert_je_Aktie!A$3:AJ$103,6,FALSE),""),"")</f>
        <v>55.164835164835168</v>
      </c>
      <c r="D55" s="79">
        <f>IF(VLOOKUP(A55,Buchwert_je_Aktie!A$3:AJ$103,7,FALSE)&lt;&gt;"",IF(VLOOKUP(A55,Schlußkurse!A$5:AU$105,36,FALSE)&gt;0,VLOOKUP(A55,Schlußkurse!A$5:AU$105,36,FALSE)/VLOOKUP(A55,Buchwert_je_Aktie!A$3:AJ$103,7,FALSE),""),"")</f>
        <v>36.115107913669071</v>
      </c>
      <c r="E55" s="79">
        <f>IF(VLOOKUP(A55,Buchwert_je_Aktie!A$3:AJ$103,8,FALSE)&lt;&gt;"",IF(VLOOKUP(A55,Schlußkurse!A$5:AU$105,37,FALSE)&gt;0,VLOOKUP(A55,Schlußkurse!A$5:AU$105,37,FALSE)/VLOOKUP(A55,Buchwert_je_Aktie!A$3:AJ$103,8,FALSE),""),"")</f>
        <v>30.793749999999999</v>
      </c>
      <c r="F55" s="79">
        <f>IF(VLOOKUP(A55,Buchwert_je_Aktie!A$3:AJ$103,9,FALSE)&lt;&gt;"",IF(VLOOKUP(A55,Schlußkurse!A$5:AU$105,38,FALSE)&gt;0,VLOOKUP(A55,Schlußkurse!A$5:AU$105,38,FALSE)/VLOOKUP(A55,Buchwert_je_Aktie!A$3:AJ$103,9,FALSE),""),"")</f>
        <v>25.091503267973856</v>
      </c>
      <c r="G55" s="79">
        <f>IF(VLOOKUP(A55,Buchwert_je_Aktie!A$3:AJ$103,10,FALSE)&lt;&gt;"",IF(VLOOKUP(A55,Schlußkurse!A$5:AU$105,39,FALSE)&gt;0,VLOOKUP(A55,Schlußkurse!A$5:AU$105,39,FALSE)/VLOOKUP(A55,Buchwert_je_Aktie!A$3:AJ$103,10,FALSE),""),"")</f>
        <v>15.188405797101451</v>
      </c>
      <c r="H55" s="79">
        <f>IF(VLOOKUP(A55,Buchwert_je_Aktie!A$3:AJ$103,11,FALSE)&lt;&gt;"",IF(VLOOKUP(A55,Schlußkurse!A$5:AU$105,40,FALSE)&gt;0,VLOOKUP(A55,Schlußkurse!A$5:AU$105,40,FALSE)/VLOOKUP(A55,Buchwert_je_Aktie!A$3:AJ$103,11,FALSE),""),"")</f>
        <v>18.765822784810126</v>
      </c>
      <c r="I55" s="79">
        <f>IF(VLOOKUP(A55,Buchwert_je_Aktie!A$3:AJ$103,12,FALSE)&lt;&gt;"",IF(VLOOKUP(A55,Schlußkurse!A$5:AU$105,41,FALSE)&gt;0,VLOOKUP(A55,Schlußkurse!A$5:AU$105,41,FALSE)/VLOOKUP(A55,Buchwert_je_Aktie!A$3:AJ$103,12,FALSE),""),"")</f>
        <v>13.677777777777777</v>
      </c>
      <c r="J55" s="79">
        <f>IF(VLOOKUP(A55,Buchwert_je_Aktie!A$3:AJ$103,13,FALSE)&lt;&gt;"",IF(VLOOKUP(A55,Schlußkurse!A$5:AU$105,42,FALSE)&gt;0,VLOOKUP(A55,Schlußkurse!A$5:AU$105,42,FALSE)/VLOOKUP(A55,Buchwert_je_Aktie!A$3:AJ$103,13,FALSE),""),"")</f>
        <v>7.8835341365461833</v>
      </c>
      <c r="K55" s="79">
        <f>IF(VLOOKUP(A55,Buchwert_je_Aktie!A$3:AJ$103,14,FALSE)&lt;&gt;"",IF(VLOOKUP(A55,Schlußkurse!A$5:AU$105,43,FALSE)&gt;0,VLOOKUP(A55,Schlußkurse!A$5:AU$105,43,FALSE)/VLOOKUP(A55,Buchwert_je_Aktie!A$3:AJ$103,14,FALSE),""),"")</f>
        <v>4.7571428571428571</v>
      </c>
      <c r="L55" s="79" t="str">
        <f>IF(VLOOKUP(A55,Buchwert_je_Aktie!A$3:AJ$103,15,FALSE)&lt;&gt;"",IF(VLOOKUP(A55,Schlußkurse!A$5:AU$105,44,FALSE)&gt;0,VLOOKUP(A55,Schlußkurse!A$5:AU$105,44,FALSE)/VLOOKUP(A55,Buchwert_je_Aktie!A$3:AJ$103,15,FALSE),""),"")</f>
        <v/>
      </c>
      <c r="M55" s="79" t="str">
        <f>IF(VLOOKUP(A55,Buchwert_je_Aktie!A$3:AJ$103,16,FALSE)&lt;&gt;"",IF(VLOOKUP(A55,Schlußkurse!A$5:AU$105,45,FALSE)&gt;0,VLOOKUP(A55,Schlußkurse!A$5:AU$105,45,FALSE)/VLOOKUP(A55,Buchwert_je_Aktie!A$3:AJ$103,16,FALSE),""),"")</f>
        <v/>
      </c>
      <c r="N55" s="79" t="str">
        <f>IF(VLOOKUP(A55,Buchwert_je_Aktie!A$3:AJ$103,17,FALSE)&lt;&gt;"",IF(VLOOKUP(A55,Schlußkurse!A$5:AU$105,46,FALSE)&gt;0,VLOOKUP(A55,Schlußkurse!A$5:AU$105,46,FALSE)/VLOOKUP(A55,Buchwert_je_Aktie!A$3:AJ$103,17,FALSE),""),"")</f>
        <v/>
      </c>
      <c r="O55" s="80" t="str">
        <f>IF(VLOOKUP(A55,Buchwert_je_Aktie!A$3:AJ$103,18,FALSE)&lt;&gt;"",IF(VLOOKUP(A55,Schlußkurse!A$5:AU$105,47,FALSE)&gt;0,VLOOKUP(A55,Schlußkurse!A$5:AU$105,47,FALSE)/VLOOKUP(A55,Buchwert_je_Aktie!A$3:AJ$103,18,FALSE),""),"")</f>
        <v/>
      </c>
      <c r="P55" s="3">
        <f t="shared" si="0"/>
        <v>18.765822784810126</v>
      </c>
      <c r="Q55" s="3">
        <f ca="1">VLOOKUP(A55,Schlußkurse!A$5:AU$105,35,FALSE)/VLOOKUP(A55,Buchwert_je_Aktie!A$3:AK$103,23,FALSE)</f>
        <v>32.835495475853051</v>
      </c>
      <c r="R55" s="5">
        <f t="shared" ca="1" si="1"/>
        <v>0.74974984323264149</v>
      </c>
    </row>
    <row r="56" spans="1:18" x14ac:dyDescent="0.25">
      <c r="A56" t="s">
        <v>274</v>
      </c>
      <c r="B56" t="s">
        <v>279</v>
      </c>
      <c r="C56" s="78">
        <f>IF(VLOOKUP(A56,Buchwert_je_Aktie!A$3:AJ$103,6,FALSE)&lt;&gt;"",IF(VLOOKUP(A56,Schlußkurse!A$5:AU$105,35,FALSE)&gt;0,VLOOKUP(A56,Schlußkurse!A$5:AU$105,35,FALSE) /VLOOKUP(A56,Buchwert_je_Aktie!A$3:AJ$103,6,FALSE),""),"")</f>
        <v>2.9095375722543353</v>
      </c>
      <c r="D56" s="79">
        <f>IF(VLOOKUP(A56,Buchwert_je_Aktie!A$3:AJ$103,7,FALSE)&lt;&gt;"",IF(VLOOKUP(A56,Schlußkurse!A$5:AU$105,36,FALSE)&gt;0,VLOOKUP(A56,Schlußkurse!A$5:AU$105,36,FALSE)/VLOOKUP(A56,Buchwert_je_Aktie!A$3:AJ$103,7,FALSE),""),"")</f>
        <v>3.0140718562874254</v>
      </c>
      <c r="E56" s="79">
        <f>IF(VLOOKUP(A56,Buchwert_je_Aktie!A$3:AJ$103,8,FALSE)&lt;&gt;"",IF(VLOOKUP(A56,Schlußkurse!A$5:AU$105,37,FALSE)&gt;0,VLOOKUP(A56,Schlußkurse!A$5:AU$105,37,FALSE)/VLOOKUP(A56,Buchwert_je_Aktie!A$3:AJ$103,8,FALSE),""),"")</f>
        <v>2.9542944785276073</v>
      </c>
      <c r="F56" s="79">
        <f>IF(VLOOKUP(A56,Buchwert_je_Aktie!A$3:AJ$103,9,FALSE)&lt;&gt;"",IF(VLOOKUP(A56,Schlußkurse!A$5:AU$105,38,FALSE)&gt;0,VLOOKUP(A56,Schlußkurse!A$5:AU$105,38,FALSE)/VLOOKUP(A56,Buchwert_je_Aktie!A$3:AJ$103,9,FALSE),""),"")</f>
        <v>2.1492492492492494</v>
      </c>
      <c r="G56" s="79">
        <f>IF(VLOOKUP(A56,Buchwert_je_Aktie!A$3:AJ$103,10,FALSE)&lt;&gt;"",IF(VLOOKUP(A56,Schlußkurse!A$5:AU$105,39,FALSE)&gt;0,VLOOKUP(A56,Schlußkurse!A$5:AU$105,39,FALSE)/VLOOKUP(A56,Buchwert_je_Aktie!A$3:AJ$103,10,FALSE),""),"")</f>
        <v>1.5038880248833593</v>
      </c>
      <c r="H56" s="79">
        <f>IF(VLOOKUP(A56,Buchwert_je_Aktie!A$3:AJ$103,11,FALSE)&lt;&gt;"",IF(VLOOKUP(A56,Schlußkurse!A$5:AU$105,40,FALSE)&gt;0,VLOOKUP(A56,Schlußkurse!A$5:AU$105,40,FALSE)/VLOOKUP(A56,Buchwert_je_Aktie!A$3:AJ$103,11,FALSE),""),"")</f>
        <v>1.3318092749836707</v>
      </c>
      <c r="I56" s="79">
        <f>IF(VLOOKUP(A56,Buchwert_je_Aktie!A$3:AJ$103,12,FALSE)&lt;&gt;"",IF(VLOOKUP(A56,Schlußkurse!A$5:AU$105,41,FALSE)&gt;0,VLOOKUP(A56,Schlußkurse!A$5:AU$105,41,FALSE)/VLOOKUP(A56,Buchwert_je_Aktie!A$3:AJ$103,12,FALSE),""),"")</f>
        <v>1.1858799454297408</v>
      </c>
      <c r="J56" s="79">
        <f>IF(VLOOKUP(A56,Buchwert_je_Aktie!A$3:AJ$103,13,FALSE)&lt;&gt;"",IF(VLOOKUP(A56,Schlußkurse!A$5:AU$105,42,FALSE)&gt;0,VLOOKUP(A56,Schlußkurse!A$5:AU$105,42,FALSE)/VLOOKUP(A56,Buchwert_je_Aktie!A$3:AJ$103,13,FALSE),""),"")</f>
        <v>1.1644974692697037</v>
      </c>
      <c r="K56" s="79">
        <f>IF(VLOOKUP(A56,Buchwert_je_Aktie!A$3:AJ$103,14,FALSE)&lt;&gt;"",IF(VLOOKUP(A56,Schlußkurse!A$5:AU$105,43,FALSE)&gt;0,VLOOKUP(A56,Schlußkurse!A$5:AU$105,43,FALSE)/VLOOKUP(A56,Buchwert_je_Aktie!A$3:AJ$103,14,FALSE),""),"")</f>
        <v>1.1174183514774494</v>
      </c>
      <c r="L56" s="79">
        <f>IF(VLOOKUP(A56,Buchwert_je_Aktie!A$3:AJ$103,15,FALSE)&lt;&gt;"",IF(VLOOKUP(A56,Schlußkurse!A$5:AU$105,44,FALSE)&gt;0,VLOOKUP(A56,Schlußkurse!A$5:AU$105,44,FALSE)/VLOOKUP(A56,Buchwert_je_Aktie!A$3:AJ$103,15,FALSE),""),"")</f>
        <v>1.6541822721598001</v>
      </c>
      <c r="M56" s="79">
        <f>IF(VLOOKUP(A56,Buchwert_je_Aktie!A$3:AJ$103,16,FALSE)&lt;&gt;"",IF(VLOOKUP(A56,Schlußkurse!A$5:AU$105,45,FALSE)&gt;0,VLOOKUP(A56,Schlußkurse!A$5:AU$105,45,FALSE)/VLOOKUP(A56,Buchwert_je_Aktie!A$3:AJ$103,16,FALSE),""),"")</f>
        <v>1.4178899082568808</v>
      </c>
      <c r="N56" s="79" t="str">
        <f>IF(VLOOKUP(A56,Buchwert_je_Aktie!A$3:AJ$103,17,FALSE)&lt;&gt;"",IF(VLOOKUP(A56,Schlußkurse!A$5:AU$105,46,FALSE)&gt;0,VLOOKUP(A56,Schlußkurse!A$5:AU$105,46,FALSE)/VLOOKUP(A56,Buchwert_je_Aktie!A$3:AJ$103,17,FALSE),""),"")</f>
        <v/>
      </c>
      <c r="O56" s="80" t="str">
        <f>IF(VLOOKUP(A56,Buchwert_je_Aktie!A$3:AJ$103,18,FALSE)&lt;&gt;"",IF(VLOOKUP(A56,Schlußkurse!A$5:AU$105,47,FALSE)&gt;0,VLOOKUP(A56,Schlußkurse!A$5:AU$105,47,FALSE)/VLOOKUP(A56,Buchwert_je_Aktie!A$3:AJ$103,18,FALSE),""),"")</f>
        <v/>
      </c>
      <c r="P56" s="3">
        <f t="shared" si="0"/>
        <v>1.5038880248833593</v>
      </c>
      <c r="Q56" s="3">
        <f ca="1">VLOOKUP(A56,Schlußkurse!A$5:AU$105,35,FALSE)/VLOOKUP(A56,Buchwert_je_Aktie!A$3:AK$103,23,FALSE)</f>
        <v>3.0625676041103298</v>
      </c>
      <c r="R56" s="5">
        <f t="shared" ca="1" si="1"/>
        <v>1.0364332672626082</v>
      </c>
    </row>
    <row r="57" spans="1:18" x14ac:dyDescent="0.25">
      <c r="A57" t="s">
        <v>291</v>
      </c>
      <c r="B57" t="s">
        <v>292</v>
      </c>
      <c r="C57" s="78">
        <f>IF(VLOOKUP(A57,Buchwert_je_Aktie!A$3:AJ$103,6,FALSE)&lt;&gt;"",IF(VLOOKUP(A57,Schlußkurse!A$5:AU$105,35,FALSE)&gt;0,VLOOKUP(A57,Schlußkurse!A$5:AU$105,35,FALSE) /VLOOKUP(A57,Buchwert_je_Aktie!A$3:AJ$103,6,FALSE),""),"")</f>
        <v>2.217557251908397</v>
      </c>
      <c r="D57" s="79">
        <f>IF(VLOOKUP(A57,Buchwert_je_Aktie!A$3:AJ$103,7,FALSE)&lt;&gt;"",IF(VLOOKUP(A57,Schlußkurse!A$5:AU$105,36,FALSE)&gt;0,VLOOKUP(A57,Schlußkurse!A$5:AU$105,36,FALSE)/VLOOKUP(A57,Buchwert_je_Aktie!A$3:AJ$103,7,FALSE),""),"")</f>
        <v>2.3239999999999998</v>
      </c>
      <c r="E57" s="79">
        <f>IF(VLOOKUP(A57,Buchwert_je_Aktie!A$3:AJ$103,8,FALSE)&lt;&gt;"",IF(VLOOKUP(A57,Schlußkurse!A$5:AU$105,37,FALSE)&gt;0,VLOOKUP(A57,Schlußkurse!A$5:AU$105,37,FALSE)/VLOOKUP(A57,Buchwert_je_Aktie!A$3:AJ$103,8,FALSE),""),"")</f>
        <v>2.3146788990825686</v>
      </c>
      <c r="F57" s="79">
        <f>IF(VLOOKUP(A57,Buchwert_je_Aktie!A$3:AJ$103,9,FALSE)&lt;&gt;"",IF(VLOOKUP(A57,Schlußkurse!A$5:AU$105,38,FALSE)&gt;0,VLOOKUP(A57,Schlußkurse!A$5:AU$105,38,FALSE)/VLOOKUP(A57,Buchwert_je_Aktie!A$3:AJ$103,9,FALSE),""),"")</f>
        <v>2.3054054054054056</v>
      </c>
      <c r="G57" s="79">
        <f>IF(VLOOKUP(A57,Buchwert_je_Aktie!A$3:AJ$103,10,FALSE)&lt;&gt;"",IF(VLOOKUP(A57,Schlußkurse!A$5:AU$105,39,FALSE)&gt;0,VLOOKUP(A57,Schlußkurse!A$5:AU$105,39,FALSE)/VLOOKUP(A57,Buchwert_je_Aktie!A$3:AJ$103,10,FALSE),""),"")</f>
        <v>1.4539653600729261</v>
      </c>
      <c r="H57" s="79">
        <f>IF(VLOOKUP(A57,Buchwert_je_Aktie!A$3:AJ$103,11,FALSE)&lt;&gt;"",IF(VLOOKUP(A57,Schlußkurse!A$5:AU$105,40,FALSE)&gt;0,VLOOKUP(A57,Schlußkurse!A$5:AU$105,40,FALSE)/VLOOKUP(A57,Buchwert_je_Aktie!A$3:AJ$103,11,FALSE),""),"")</f>
        <v>1.6497933884297522</v>
      </c>
      <c r="I57" s="79">
        <f>IF(VLOOKUP(A57,Buchwert_je_Aktie!A$3:AJ$103,12,FALSE)&lt;&gt;"",IF(VLOOKUP(A57,Schlußkurse!A$5:AU$105,41,FALSE)&gt;0,VLOOKUP(A57,Schlußkurse!A$5:AU$105,41,FALSE)/VLOOKUP(A57,Buchwert_je_Aktie!A$3:AJ$103,12,FALSE),""),"")</f>
        <v>2.6547756041426931</v>
      </c>
      <c r="J57" s="79">
        <f>IF(VLOOKUP(A57,Buchwert_je_Aktie!A$3:AJ$103,13,FALSE)&lt;&gt;"",IF(VLOOKUP(A57,Schlußkurse!A$5:AU$105,42,FALSE)&gt;0,VLOOKUP(A57,Schlußkurse!A$5:AU$105,42,FALSE)/VLOOKUP(A57,Buchwert_je_Aktie!A$3:AJ$103,13,FALSE),""),"")</f>
        <v>2.8109833971902938</v>
      </c>
      <c r="K57" s="79">
        <f>IF(VLOOKUP(A57,Buchwert_je_Aktie!A$3:AJ$103,14,FALSE)&lt;&gt;"",IF(VLOOKUP(A57,Schlußkurse!A$5:AU$105,43,FALSE)&gt;0,VLOOKUP(A57,Schlußkurse!A$5:AU$105,43,FALSE)/VLOOKUP(A57,Buchwert_je_Aktie!A$3:AJ$103,14,FALSE),""),"")</f>
        <v>3.2919161676646707</v>
      </c>
      <c r="L57" s="79">
        <f>IF(VLOOKUP(A57,Buchwert_je_Aktie!A$3:AJ$103,15,FALSE)&lt;&gt;"",IF(VLOOKUP(A57,Schlußkurse!A$5:AU$105,44,FALSE)&gt;0,VLOOKUP(A57,Schlußkurse!A$5:AU$105,44,FALSE)/VLOOKUP(A57,Buchwert_je_Aktie!A$3:AJ$103,15,FALSE),""),"")</f>
        <v>4.9588336192109779</v>
      </c>
      <c r="M57" s="79">
        <f>IF(VLOOKUP(A57,Buchwert_je_Aktie!A$3:AJ$103,16,FALSE)&lt;&gt;"",IF(VLOOKUP(A57,Schlußkurse!A$5:AU$105,45,FALSE)&gt;0,VLOOKUP(A57,Schlußkurse!A$5:AU$105,45,FALSE)/VLOOKUP(A57,Buchwert_je_Aktie!A$3:AJ$103,16,FALSE),""),"")</f>
        <v>3.4384615384615382</v>
      </c>
      <c r="N57" s="79">
        <f>IF(VLOOKUP(A57,Buchwert_je_Aktie!A$3:AJ$103,17,FALSE)&lt;&gt;"",IF(VLOOKUP(A57,Schlußkurse!A$5:AU$105,46,FALSE)&gt;0,VLOOKUP(A57,Schlußkurse!A$5:AU$105,46,FALSE)/VLOOKUP(A57,Buchwert_je_Aktie!A$3:AJ$103,17,FALSE),""),"")</f>
        <v>4.848101265822784</v>
      </c>
      <c r="O57" s="80">
        <f>IF(VLOOKUP(A57,Buchwert_je_Aktie!A$3:AJ$103,18,FALSE)&lt;&gt;"",IF(VLOOKUP(A57,Schlußkurse!A$5:AU$105,47,FALSE)&gt;0,VLOOKUP(A57,Schlußkurse!A$5:AU$105,47,FALSE)/VLOOKUP(A57,Buchwert_je_Aktie!A$3:AJ$103,18,FALSE),""),"")</f>
        <v>5.7158469945355197</v>
      </c>
      <c r="P57" s="3">
        <f t="shared" si="0"/>
        <v>2.6547756041426931</v>
      </c>
      <c r="Q57" s="3">
        <f ca="1">VLOOKUP(A57,Schlußkurse!A$5:AU$105,35,FALSE)/VLOOKUP(A57,Buchwert_je_Aktie!A$3:AK$103,23,FALSE)</f>
        <v>2.3990640484492571</v>
      </c>
      <c r="R57" s="5">
        <f t="shared" ca="1" si="1"/>
        <v>-9.632134455899255E-2</v>
      </c>
    </row>
    <row r="58" spans="1:18" x14ac:dyDescent="0.25">
      <c r="A58" t="s">
        <v>272</v>
      </c>
      <c r="B58" t="s">
        <v>277</v>
      </c>
      <c r="C58" s="78">
        <f>IF(VLOOKUP(A58,Buchwert_je_Aktie!A$3:AJ$103,6,FALSE)&lt;&gt;"",IF(VLOOKUP(A58,Schlußkurse!A$5:AU$105,35,FALSE)&gt;0,VLOOKUP(A58,Schlußkurse!A$5:AU$105,35,FALSE) /VLOOKUP(A58,Buchwert_je_Aktie!A$3:AJ$103,6,FALSE),""),"")</f>
        <v>4.945333333333334</v>
      </c>
      <c r="D58" s="79">
        <f>IF(VLOOKUP(A58,Buchwert_je_Aktie!A$3:AJ$103,7,FALSE)&lt;&gt;"",IF(VLOOKUP(A58,Schlußkurse!A$5:AU$105,36,FALSE)&gt;0,VLOOKUP(A58,Schlußkurse!A$5:AU$105,36,FALSE)/VLOOKUP(A58,Buchwert_je_Aktie!A$3:AJ$103,7,FALSE),""),"")</f>
        <v>4.4957575757575761</v>
      </c>
      <c r="E58" s="79">
        <f>IF(VLOOKUP(A58,Buchwert_je_Aktie!A$3:AJ$103,8,FALSE)&lt;&gt;"",IF(VLOOKUP(A58,Schlußkurse!A$5:AU$105,37,FALSE)&gt;0,VLOOKUP(A58,Schlußkurse!A$5:AU$105,37,FALSE)/VLOOKUP(A58,Buchwert_je_Aktie!A$3:AJ$103,8,FALSE),""),"")</f>
        <v>5.134722222222222</v>
      </c>
      <c r="F58" s="79">
        <f>IF(VLOOKUP(A58,Buchwert_je_Aktie!A$3:AJ$103,9,FALSE)&lt;&gt;"",IF(VLOOKUP(A58,Schlußkurse!A$5:AU$105,38,FALSE)&gt;0,VLOOKUP(A58,Schlußkurse!A$5:AU$105,38,FALSE)/VLOOKUP(A58,Buchwert_je_Aktie!A$3:AJ$103,9,FALSE),""),"")</f>
        <v>4.4137228260869561</v>
      </c>
      <c r="G58" s="79">
        <f>IF(VLOOKUP(A58,Buchwert_je_Aktie!A$3:AJ$103,10,FALSE)&lt;&gt;"",IF(VLOOKUP(A58,Schlußkurse!A$5:AU$105,39,FALSE)&gt;0,VLOOKUP(A58,Schlußkurse!A$5:AU$105,39,FALSE)/VLOOKUP(A58,Buchwert_je_Aktie!A$3:AJ$103,10,FALSE),""),"")</f>
        <v>2.5687321530553966</v>
      </c>
      <c r="H58" s="79">
        <f>IF(VLOOKUP(A58,Buchwert_je_Aktie!A$3:AJ$103,11,FALSE)&lt;&gt;"",IF(VLOOKUP(A58,Schlußkurse!A$5:AU$105,40,FALSE)&gt;0,VLOOKUP(A58,Schlußkurse!A$5:AU$105,40,FALSE)/VLOOKUP(A58,Buchwert_je_Aktie!A$3:AJ$103,11,FALSE),""),"")</f>
        <v>4.234967622571693</v>
      </c>
      <c r="I58" s="79">
        <f>IF(VLOOKUP(A58,Buchwert_je_Aktie!A$3:AJ$103,12,FALSE)&lt;&gt;"",IF(VLOOKUP(A58,Schlußkurse!A$5:AU$105,41,FALSE)&gt;0,VLOOKUP(A58,Schlußkurse!A$5:AU$105,41,FALSE)/VLOOKUP(A58,Buchwert_je_Aktie!A$3:AJ$103,12,FALSE),""),"")</f>
        <v>5.3750000000000009</v>
      </c>
      <c r="J58" s="79">
        <f>IF(VLOOKUP(A58,Buchwert_je_Aktie!A$3:AJ$103,13,FALSE)&lt;&gt;"",IF(VLOOKUP(A58,Schlußkurse!A$5:AU$105,42,FALSE)&gt;0,VLOOKUP(A58,Schlußkurse!A$5:AU$105,42,FALSE)/VLOOKUP(A58,Buchwert_je_Aktie!A$3:AJ$103,13,FALSE),""),"")</f>
        <v>3.3303659742828886</v>
      </c>
      <c r="K58" s="79">
        <f>IF(VLOOKUP(A58,Buchwert_je_Aktie!A$3:AJ$103,14,FALSE)&lt;&gt;"",IF(VLOOKUP(A58,Schlußkurse!A$5:AU$105,43,FALSE)&gt;0,VLOOKUP(A58,Schlußkurse!A$5:AU$105,43,FALSE)/VLOOKUP(A58,Buchwert_je_Aktie!A$3:AJ$103,14,FALSE),""),"")</f>
        <v>3.170426065162907</v>
      </c>
      <c r="L58" s="79">
        <f>IF(VLOOKUP(A58,Buchwert_je_Aktie!A$3:AJ$103,15,FALSE)&lt;&gt;"",IF(VLOOKUP(A58,Schlußkurse!A$5:AU$105,44,FALSE)&gt;0,VLOOKUP(A58,Schlußkurse!A$5:AU$105,44,FALSE)/VLOOKUP(A58,Buchwert_je_Aktie!A$3:AJ$103,15,FALSE),""),"")</f>
        <v>5.5810126582278485</v>
      </c>
      <c r="M58" s="79">
        <f>IF(VLOOKUP(A58,Buchwert_je_Aktie!A$3:AJ$103,16,FALSE)&lt;&gt;"",IF(VLOOKUP(A58,Schlußkurse!A$5:AU$105,45,FALSE)&gt;0,VLOOKUP(A58,Schlußkurse!A$5:AU$105,45,FALSE)/VLOOKUP(A58,Buchwert_je_Aktie!A$3:AJ$103,16,FALSE),""),"")</f>
        <v>3.9418416801292402</v>
      </c>
      <c r="N58" s="79">
        <f>IF(VLOOKUP(A58,Buchwert_je_Aktie!A$3:AJ$103,17,FALSE)&lt;&gt;"",IF(VLOOKUP(A58,Schlußkurse!A$5:AU$105,46,FALSE)&gt;0,VLOOKUP(A58,Schlußkurse!A$5:AU$105,46,FALSE)/VLOOKUP(A58,Buchwert_je_Aktie!A$3:AJ$103,17,FALSE),""),"")</f>
        <v>4.1585127201565557</v>
      </c>
      <c r="O58" s="80">
        <f>IF(VLOOKUP(A58,Buchwert_je_Aktie!A$3:AJ$103,18,FALSE)&lt;&gt;"",IF(VLOOKUP(A58,Schlußkurse!A$5:AU$105,47,FALSE)&gt;0,VLOOKUP(A58,Schlußkurse!A$5:AU$105,47,FALSE)/VLOOKUP(A58,Buchwert_je_Aktie!A$3:AJ$103,18,FALSE),""),"")</f>
        <v>5.0619195046439627</v>
      </c>
      <c r="P58" s="3">
        <f t="shared" si="0"/>
        <v>4.4137228260869561</v>
      </c>
      <c r="Q58" s="3">
        <f ca="1">VLOOKUP(A58,Schlußkurse!A$5:AU$105,35,FALSE)/VLOOKUP(A58,Buchwert_je_Aktie!A$3:AK$103,23,FALSE)</f>
        <v>4.9087901180103684</v>
      </c>
      <c r="R58" s="5">
        <f t="shared" ca="1" si="1"/>
        <v>0.11216546924907855</v>
      </c>
    </row>
    <row r="59" spans="1:18" x14ac:dyDescent="0.25">
      <c r="A59" t="s">
        <v>97</v>
      </c>
      <c r="B59" t="s">
        <v>98</v>
      </c>
      <c r="C59" s="78">
        <f>IF(VLOOKUP(A59,Buchwert_je_Aktie!A$3:AJ$103,6,FALSE)&lt;&gt;"",IF(VLOOKUP(A59,Schlußkurse!A$5:AU$105,35,FALSE)&gt;0,VLOOKUP(A59,Schlußkurse!A$5:AU$105,35,FALSE) /VLOOKUP(A59,Buchwert_je_Aktie!A$3:AJ$103,6,FALSE),""),"")</f>
        <v>5.3432692307692307</v>
      </c>
      <c r="D59" s="79">
        <f>IF(VLOOKUP(A59,Buchwert_je_Aktie!A$3:AJ$103,7,FALSE)&lt;&gt;"",IF(VLOOKUP(A59,Schlußkurse!A$5:AU$105,36,FALSE)&gt;0,VLOOKUP(A59,Schlußkurse!A$5:AU$105,36,FALSE)/VLOOKUP(A59,Buchwert_je_Aktie!A$3:AJ$103,7,FALSE),""),"")</f>
        <v>5.501980198019802</v>
      </c>
      <c r="E59" s="79">
        <f>IF(VLOOKUP(A59,Buchwert_je_Aktie!A$3:AJ$103,8,FALSE)&lt;&gt;"",IF(VLOOKUP(A59,Schlußkurse!A$5:AU$105,37,FALSE)&gt;0,VLOOKUP(A59,Schlußkurse!A$5:AU$105,37,FALSE)/VLOOKUP(A59,Buchwert_je_Aktie!A$3:AJ$103,8,FALSE),""),"")</f>
        <v>5.4386138613861386</v>
      </c>
      <c r="F59" s="79">
        <f>IF(VLOOKUP(A59,Buchwert_je_Aktie!A$3:AJ$103,9,FALSE)&lt;&gt;"",IF(VLOOKUP(A59,Schlußkurse!A$5:AU$105,38,FALSE)&gt;0,VLOOKUP(A59,Schlußkurse!A$5:AU$105,38,FALSE)/VLOOKUP(A59,Buchwert_je_Aktie!A$3:AJ$103,9,FALSE),""),"")</f>
        <v>4.4123711340206189</v>
      </c>
      <c r="G59" s="79">
        <f>IF(VLOOKUP(A59,Buchwert_je_Aktie!A$3:AJ$103,10,FALSE)&lt;&gt;"",IF(VLOOKUP(A59,Schlußkurse!A$5:AU$105,39,FALSE)&gt;0,VLOOKUP(A59,Schlußkurse!A$5:AU$105,39,FALSE)/VLOOKUP(A59,Buchwert_je_Aktie!A$3:AJ$103,10,FALSE),""),"")</f>
        <v>3.6815561959654182</v>
      </c>
      <c r="H59" s="79">
        <f>IF(VLOOKUP(A59,Buchwert_je_Aktie!A$3:AJ$103,11,FALSE)&lt;&gt;"",IF(VLOOKUP(A59,Schlußkurse!A$5:AU$105,40,FALSE)&gt;0,VLOOKUP(A59,Schlußkurse!A$5:AU$105,40,FALSE)/VLOOKUP(A59,Buchwert_je_Aktie!A$3:AJ$103,11,FALSE),""),"")</f>
        <v>4.0171717171717169</v>
      </c>
      <c r="I59" s="79">
        <f>IF(VLOOKUP(A59,Buchwert_je_Aktie!A$3:AJ$103,12,FALSE)&lt;&gt;"",IF(VLOOKUP(A59,Schlußkurse!A$5:AU$105,41,FALSE)&gt;0,VLOOKUP(A59,Schlußkurse!A$5:AU$105,41,FALSE)/VLOOKUP(A59,Buchwert_je_Aktie!A$3:AJ$103,12,FALSE),""),"")</f>
        <v>3.6084093211752792</v>
      </c>
      <c r="J59" s="79">
        <f>IF(VLOOKUP(A59,Buchwert_je_Aktie!A$3:AJ$103,13,FALSE)&lt;&gt;"",IF(VLOOKUP(A59,Schlußkurse!A$5:AU$105,42,FALSE)&gt;0,VLOOKUP(A59,Schlußkurse!A$5:AU$105,42,FALSE)/VLOOKUP(A59,Buchwert_je_Aktie!A$3:AJ$103,13,FALSE),""),"")</f>
        <v>3.0831325301204817</v>
      </c>
      <c r="K59" s="79">
        <f>IF(VLOOKUP(A59,Buchwert_je_Aktie!A$3:AJ$103,14,FALSE)&lt;&gt;"",IF(VLOOKUP(A59,Schlußkurse!A$5:AU$105,43,FALSE)&gt;0,VLOOKUP(A59,Schlußkurse!A$5:AU$105,43,FALSE)/VLOOKUP(A59,Buchwert_je_Aktie!A$3:AJ$103,14,FALSE),""),"")</f>
        <v>3.9748427672955975</v>
      </c>
      <c r="L59" s="79">
        <f>IF(VLOOKUP(A59,Buchwert_je_Aktie!A$3:AJ$103,15,FALSE)&lt;&gt;"",IF(VLOOKUP(A59,Schlußkurse!A$5:AU$105,44,FALSE)&gt;0,VLOOKUP(A59,Schlußkurse!A$5:AU$105,44,FALSE)/VLOOKUP(A59,Buchwert_je_Aktie!A$3:AJ$103,15,FALSE),""),"")</f>
        <v>2.9282296650717705</v>
      </c>
      <c r="M59" s="79">
        <f>IF(VLOOKUP(A59,Buchwert_je_Aktie!A$3:AJ$103,16,FALSE)&lt;&gt;"",IF(VLOOKUP(A59,Schlußkurse!A$5:AU$105,45,FALSE)&gt;0,VLOOKUP(A59,Schlußkurse!A$5:AU$105,45,FALSE)/VLOOKUP(A59,Buchwert_je_Aktie!A$3:AJ$103,16,FALSE),""),"")</f>
        <v>3.3177749360613809</v>
      </c>
      <c r="N59" s="79">
        <f>IF(VLOOKUP(A59,Buchwert_je_Aktie!A$3:AJ$103,17,FALSE)&lt;&gt;"",IF(VLOOKUP(A59,Schlußkurse!A$5:AU$105,46,FALSE)&gt;0,VLOOKUP(A59,Schlußkurse!A$5:AU$105,46,FALSE)/VLOOKUP(A59,Buchwert_je_Aktie!A$3:AJ$103,17,FALSE),""),"")</f>
        <v>3.051787916152898</v>
      </c>
      <c r="O59" s="80">
        <f>IF(VLOOKUP(A59,Buchwert_je_Aktie!A$3:AJ$103,18,FALSE)&lt;&gt;"",IF(VLOOKUP(A59,Schlußkurse!A$5:AU$105,47,FALSE)&gt;0,VLOOKUP(A59,Schlußkurse!A$5:AU$105,47,FALSE)/VLOOKUP(A59,Buchwert_je_Aktie!A$3:AJ$103,18,FALSE),""),"")</f>
        <v>2.9941482444733416</v>
      </c>
      <c r="P59" s="3">
        <f t="shared" si="0"/>
        <v>3.6815561959654182</v>
      </c>
      <c r="Q59" s="3">
        <f ca="1">VLOOKUP(A59,Schlußkurse!A$5:AU$105,35,FALSE)/VLOOKUP(A59,Buchwert_je_Aktie!A$3:AK$103,23,FALSE)</f>
        <v>5.501980198019802</v>
      </c>
      <c r="R59" s="5">
        <f t="shared" ca="1" si="1"/>
        <v>0.49447133363042761</v>
      </c>
    </row>
    <row r="60" spans="1:18" x14ac:dyDescent="0.25">
      <c r="A60" t="s">
        <v>259</v>
      </c>
      <c r="B60" t="s">
        <v>260</v>
      </c>
      <c r="C60" s="78">
        <f>IF(VLOOKUP(A60,Buchwert_je_Aktie!A$3:AJ$103,6,FALSE)&lt;&gt;"",IF(VLOOKUP(A60,Schlußkurse!A$5:AU$105,35,FALSE)&gt;0,VLOOKUP(A60,Schlußkurse!A$5:AU$105,35,FALSE) /VLOOKUP(A60,Buchwert_je_Aktie!A$3:AJ$103,6,FALSE),""),"")</f>
        <v>5.7618181818181817</v>
      </c>
      <c r="D60" s="79">
        <f>IF(VLOOKUP(A60,Buchwert_je_Aktie!A$3:AJ$103,7,FALSE)&lt;&gt;"",IF(VLOOKUP(A60,Schlußkurse!A$5:AU$105,36,FALSE)&gt;0,VLOOKUP(A60,Schlußkurse!A$5:AU$105,36,FALSE)/VLOOKUP(A60,Buchwert_je_Aktie!A$3:AJ$103,7,FALSE),""),"")</f>
        <v>6.2752475247524755</v>
      </c>
      <c r="E60" s="79">
        <f>IF(VLOOKUP(A60,Buchwert_je_Aktie!A$3:AJ$103,8,FALSE)&lt;&gt;"",IF(VLOOKUP(A60,Schlußkurse!A$5:AU$105,37,FALSE)&gt;0,VLOOKUP(A60,Schlußkurse!A$5:AU$105,37,FALSE)/VLOOKUP(A60,Buchwert_je_Aktie!A$3:AJ$103,8,FALSE),""),"")</f>
        <v>6.9029535864978895</v>
      </c>
      <c r="F60" s="79">
        <f>IF(VLOOKUP(A60,Buchwert_je_Aktie!A$3:AJ$103,9,FALSE)&lt;&gt;"",IF(VLOOKUP(A60,Schlußkurse!A$5:AU$105,38,FALSE)&gt;0,VLOOKUP(A60,Schlußkurse!A$5:AU$105,38,FALSE)/VLOOKUP(A60,Buchwert_je_Aktie!A$3:AJ$103,9,FALSE),""),"")</f>
        <v>7.7994891443167305</v>
      </c>
      <c r="G60" s="79">
        <f>IF(VLOOKUP(A60,Buchwert_je_Aktie!A$3:AJ$103,10,FALSE)&lt;&gt;"",IF(VLOOKUP(A60,Schlußkurse!A$5:AU$105,39,FALSE)&gt;0,VLOOKUP(A60,Schlußkurse!A$5:AU$105,39,FALSE)/VLOOKUP(A60,Buchwert_je_Aktie!A$3:AJ$103,10,FALSE),""),"")</f>
        <v>5.7164790174002054</v>
      </c>
      <c r="H60" s="79">
        <f>IF(VLOOKUP(A60,Buchwert_je_Aktie!A$3:AJ$103,11,FALSE)&lt;&gt;"",IF(VLOOKUP(A60,Schlußkurse!A$5:AU$105,40,FALSE)&gt;0,VLOOKUP(A60,Schlußkurse!A$5:AU$105,40,FALSE)/VLOOKUP(A60,Buchwert_je_Aktie!A$3:AJ$103,11,FALSE),""),"")</f>
        <v>7.5477611940298504</v>
      </c>
      <c r="I60" s="79">
        <f>IF(VLOOKUP(A60,Buchwert_je_Aktie!A$3:AJ$103,12,FALSE)&lt;&gt;"",IF(VLOOKUP(A60,Schlußkurse!A$5:AU$105,41,FALSE)&gt;0,VLOOKUP(A60,Schlußkurse!A$5:AU$105,41,FALSE)/VLOOKUP(A60,Buchwert_je_Aktie!A$3:AJ$103,12,FALSE),""),"")</f>
        <v>10.361054766734281</v>
      </c>
      <c r="J60" s="79">
        <f>IF(VLOOKUP(A60,Buchwert_je_Aktie!A$3:AJ$103,13,FALSE)&lt;&gt;"",IF(VLOOKUP(A60,Schlußkurse!A$5:AU$105,42,FALSE)&gt;0,VLOOKUP(A60,Schlußkurse!A$5:AU$105,42,FALSE)/VLOOKUP(A60,Buchwert_je_Aktie!A$3:AJ$103,13,FALSE),""),"")</f>
        <v>9.0016920473773272</v>
      </c>
      <c r="K60" s="79">
        <f>IF(VLOOKUP(A60,Buchwert_je_Aktie!A$3:AJ$103,14,FALSE)&lt;&gt;"",IF(VLOOKUP(A60,Schlußkurse!A$5:AU$105,43,FALSE)&gt;0,VLOOKUP(A60,Schlußkurse!A$5:AU$105,43,FALSE)/VLOOKUP(A60,Buchwert_je_Aktie!A$3:AJ$103,14,FALSE),""),"")</f>
        <v>7.3450586264656623</v>
      </c>
      <c r="L60" s="79">
        <f>IF(VLOOKUP(A60,Buchwert_je_Aktie!A$3:AJ$103,15,FALSE)&lt;&gt;"",IF(VLOOKUP(A60,Schlußkurse!A$5:AU$105,44,FALSE)&gt;0,VLOOKUP(A60,Schlußkurse!A$5:AU$105,44,FALSE)/VLOOKUP(A60,Buchwert_je_Aktie!A$3:AJ$103,15,FALSE),""),"")</f>
        <v>13.83377308707124</v>
      </c>
      <c r="M60" s="79">
        <f>IF(VLOOKUP(A60,Buchwert_je_Aktie!A$3:AJ$103,16,FALSE)&lt;&gt;"",IF(VLOOKUP(A60,Schlußkurse!A$5:AU$105,45,FALSE)&gt;0,VLOOKUP(A60,Schlußkurse!A$5:AU$105,45,FALSE)/VLOOKUP(A60,Buchwert_je_Aktie!A$3:AJ$103,16,FALSE),""),"")</f>
        <v>7.7376543209876543</v>
      </c>
      <c r="N60" s="79">
        <f>IF(VLOOKUP(A60,Buchwert_je_Aktie!A$3:AJ$103,17,FALSE)&lt;&gt;"",IF(VLOOKUP(A60,Schlußkurse!A$5:AU$105,46,FALSE)&gt;0,VLOOKUP(A60,Schlußkurse!A$5:AU$105,46,FALSE)/VLOOKUP(A60,Buchwert_je_Aktie!A$3:AJ$103,17,FALSE),""),"")</f>
        <v>8.417307692307693</v>
      </c>
      <c r="O60" s="80" t="str">
        <f>IF(VLOOKUP(A60,Buchwert_je_Aktie!A$3:AJ$103,18,FALSE)&lt;&gt;"",IF(VLOOKUP(A60,Schlußkurse!A$5:AU$105,47,FALSE)&gt;0,VLOOKUP(A60,Schlußkurse!A$5:AU$105,47,FALSE)/VLOOKUP(A60,Buchwert_je_Aktie!A$3:AJ$103,18,FALSE),""),"")</f>
        <v/>
      </c>
      <c r="P60" s="3">
        <f t="shared" si="0"/>
        <v>7.6427077575087523</v>
      </c>
      <c r="Q60" s="3">
        <f ca="1">VLOOKUP(A60,Schlußkurse!A$5:AU$105,35,FALSE)/VLOOKUP(A60,Buchwert_je_Aktie!A$3:AK$103,23,FALSE)</f>
        <v>6.5406886745938015</v>
      </c>
      <c r="R60" s="5">
        <f t="shared" ca="1" si="1"/>
        <v>-0.14419223106264234</v>
      </c>
    </row>
    <row r="61" spans="1:18" x14ac:dyDescent="0.25">
      <c r="A61" t="s">
        <v>99</v>
      </c>
      <c r="B61" t="s">
        <v>100</v>
      </c>
      <c r="C61" s="78">
        <f>IF(VLOOKUP(A61,Buchwert_je_Aktie!A$3:AJ$103,6,FALSE)&lt;&gt;"",IF(VLOOKUP(A61,Schlußkurse!A$5:AU$105,35,FALSE)&gt;0,VLOOKUP(A61,Schlußkurse!A$5:AU$105,35,FALSE) /VLOOKUP(A61,Buchwert_je_Aktie!A$3:AJ$103,6,FALSE),""),"")</f>
        <v>39.68458781362007</v>
      </c>
      <c r="D61" s="79">
        <f>IF(VLOOKUP(A61,Buchwert_je_Aktie!A$3:AJ$103,7,FALSE)&lt;&gt;"",IF(VLOOKUP(A61,Schlußkurse!A$5:AU$105,36,FALSE)&gt;0,VLOOKUP(A61,Schlußkurse!A$5:AU$105,36,FALSE)/VLOOKUP(A61,Buchwert_je_Aktie!A$3:AJ$103,7,FALSE),""),"")</f>
        <v>53.230769230769226</v>
      </c>
      <c r="E61" s="79">
        <f>IF(VLOOKUP(A61,Buchwert_je_Aktie!A$3:AJ$103,8,FALSE)&lt;&gt;"",IF(VLOOKUP(A61,Schlußkurse!A$5:AU$105,37,FALSE)&gt;0,VLOOKUP(A61,Schlußkurse!A$5:AU$105,37,FALSE)/VLOOKUP(A61,Buchwert_je_Aktie!A$3:AJ$103,8,FALSE),""),"")</f>
        <v>76.01315789473685</v>
      </c>
      <c r="F61" s="79">
        <f>IF(VLOOKUP(A61,Buchwert_je_Aktie!A$3:AJ$103,9,FALSE)&lt;&gt;"",IF(VLOOKUP(A61,Schlußkurse!A$5:AU$105,38,FALSE)&gt;0,VLOOKUP(A61,Schlußkurse!A$5:AU$105,38,FALSE)/VLOOKUP(A61,Buchwert_je_Aktie!A$3:AJ$103,9,FALSE),""),"")</f>
        <v>52.23</v>
      </c>
      <c r="G61" s="79">
        <f>IF(VLOOKUP(A61,Buchwert_je_Aktie!A$3:AJ$103,10,FALSE)&lt;&gt;"",IF(VLOOKUP(A61,Schlußkurse!A$5:AU$105,39,FALSE)&gt;0,VLOOKUP(A61,Schlußkurse!A$5:AU$105,39,FALSE)/VLOOKUP(A61,Buchwert_je_Aktie!A$3:AJ$103,10,FALSE),""),"")</f>
        <v>6.6219607843137256</v>
      </c>
      <c r="H61" s="79">
        <f>IF(VLOOKUP(A61,Buchwert_je_Aktie!A$3:AJ$103,11,FALSE)&lt;&gt;"",IF(VLOOKUP(A61,Schlußkurse!A$5:AU$105,40,FALSE)&gt;0,VLOOKUP(A61,Schlußkurse!A$5:AU$105,40,FALSE)/VLOOKUP(A61,Buchwert_je_Aktie!A$3:AJ$103,11,FALSE),""),"")</f>
        <v>5.7423887587822016</v>
      </c>
      <c r="I61" s="79">
        <f>IF(VLOOKUP(A61,Buchwert_je_Aktie!A$3:AJ$103,12,FALSE)&lt;&gt;"",IF(VLOOKUP(A61,Schlußkurse!A$5:AU$105,41,FALSE)&gt;0,VLOOKUP(A61,Schlußkurse!A$5:AU$105,41,FALSE)/VLOOKUP(A61,Buchwert_je_Aktie!A$3:AJ$103,12,FALSE),""),"")</f>
        <v>4.7505651846269785</v>
      </c>
      <c r="J61" s="79">
        <f>IF(VLOOKUP(A61,Buchwert_je_Aktie!A$3:AJ$103,13,FALSE)&lt;&gt;"",IF(VLOOKUP(A61,Schlußkurse!A$5:AU$105,42,FALSE)&gt;0,VLOOKUP(A61,Schlußkurse!A$5:AU$105,42,FALSE)/VLOOKUP(A61,Buchwert_je_Aktie!A$3:AJ$103,13,FALSE),""),"")</f>
        <v>4.3817056396148555</v>
      </c>
      <c r="K61" s="79">
        <f>IF(VLOOKUP(A61,Buchwert_je_Aktie!A$3:AJ$103,14,FALSE)&lt;&gt;"",IF(VLOOKUP(A61,Schlußkurse!A$5:AU$105,43,FALSE)&gt;0,VLOOKUP(A61,Schlußkurse!A$5:AU$105,43,FALSE)/VLOOKUP(A61,Buchwert_je_Aktie!A$3:AJ$103,14,FALSE),""),"")</f>
        <v>4.0600461893764432</v>
      </c>
      <c r="L61" s="79">
        <f>IF(VLOOKUP(A61,Buchwert_je_Aktie!A$3:AJ$103,15,FALSE)&lt;&gt;"",IF(VLOOKUP(A61,Schlußkurse!A$5:AU$105,44,FALSE)&gt;0,VLOOKUP(A61,Schlußkurse!A$5:AU$105,44,FALSE)/VLOOKUP(A61,Buchwert_je_Aktie!A$3:AJ$103,15,FALSE),""),"")</f>
        <v>7.3923240938166312</v>
      </c>
      <c r="M61" s="79">
        <f>IF(VLOOKUP(A61,Buchwert_je_Aktie!A$3:AJ$103,16,FALSE)&lt;&gt;"",IF(VLOOKUP(A61,Schlußkurse!A$5:AU$105,45,FALSE)&gt;0,VLOOKUP(A61,Schlußkurse!A$5:AU$105,45,FALSE)/VLOOKUP(A61,Buchwert_je_Aktie!A$3:AJ$103,16,FALSE),""),"")</f>
        <v>5.4754230459307012</v>
      </c>
      <c r="N61" s="79">
        <f>IF(VLOOKUP(A61,Buchwert_je_Aktie!A$3:AJ$103,17,FALSE)&lt;&gt;"",IF(VLOOKUP(A61,Schlußkurse!A$5:AU$105,46,FALSE)&gt;0,VLOOKUP(A61,Schlußkurse!A$5:AU$105,46,FALSE)/VLOOKUP(A61,Buchwert_je_Aktie!A$3:AJ$103,17,FALSE),""),"")</f>
        <v>4.5328849028400597</v>
      </c>
      <c r="O61" s="80">
        <f>IF(VLOOKUP(A61,Buchwert_je_Aktie!A$3:AJ$103,18,FALSE)&lt;&gt;"",IF(VLOOKUP(A61,Schlußkurse!A$5:AU$105,47,FALSE)&gt;0,VLOOKUP(A61,Schlußkurse!A$5:AU$105,47,FALSE)/VLOOKUP(A61,Buchwert_je_Aktie!A$3:AJ$103,18,FALSE),""),"")</f>
        <v>5.4659468438538212</v>
      </c>
      <c r="P61" s="3">
        <f t="shared" si="0"/>
        <v>5.7423887587822016</v>
      </c>
      <c r="Q61" s="3">
        <f ca="1">VLOOKUP(A61,Schlußkurse!A$5:AU$105,35,FALSE)/VLOOKUP(A61,Buchwert_je_Aktie!A$3:AK$103,23,FALSE)</f>
        <v>64.756953470236539</v>
      </c>
      <c r="R61" s="5">
        <f t="shared" ca="1" si="1"/>
        <v>10.277006171203508</v>
      </c>
    </row>
    <row r="62" spans="1:18" x14ac:dyDescent="0.25">
      <c r="A62" t="s">
        <v>261</v>
      </c>
      <c r="B62" t="s">
        <v>262</v>
      </c>
      <c r="C62" s="78">
        <f>IF(VLOOKUP(A62,Buchwert_je_Aktie!A$3:AJ$103,6,FALSE)&lt;&gt;"",IF(VLOOKUP(A62,Schlußkurse!A$5:AU$105,35,FALSE)&gt;0,VLOOKUP(A62,Schlußkurse!A$5:AU$105,35,FALSE) /VLOOKUP(A62,Buchwert_je_Aktie!A$3:AJ$103,6,FALSE),""),"")</f>
        <v>7.05078125</v>
      </c>
      <c r="D62" s="79">
        <f>IF(VLOOKUP(A62,Buchwert_je_Aktie!A$3:AJ$103,7,FALSE)&lt;&gt;"",IF(VLOOKUP(A62,Schlußkurse!A$5:AU$105,36,FALSE)&gt;0,VLOOKUP(A62,Schlußkurse!A$5:AU$105,36,FALSE)/VLOOKUP(A62,Buchwert_je_Aktie!A$3:AJ$103,7,FALSE),""),"")</f>
        <v>10.655253837072019</v>
      </c>
      <c r="E62" s="79">
        <f>IF(VLOOKUP(A62,Buchwert_je_Aktie!A$3:AJ$103,8,FALSE)&lt;&gt;"",IF(VLOOKUP(A62,Schlußkurse!A$5:AU$105,37,FALSE)&gt;0,VLOOKUP(A62,Schlußkurse!A$5:AU$105,37,FALSE)/VLOOKUP(A62,Buchwert_je_Aktie!A$3:AJ$103,8,FALSE),""),"")</f>
        <v>12.118143459915611</v>
      </c>
      <c r="F62" s="79">
        <f>IF(VLOOKUP(A62,Buchwert_je_Aktie!A$3:AJ$103,9,FALSE)&lt;&gt;"",IF(VLOOKUP(A62,Schlußkurse!A$5:AU$105,38,FALSE)&gt;0,VLOOKUP(A62,Schlußkurse!A$5:AU$105,38,FALSE)/VLOOKUP(A62,Buchwert_je_Aktie!A$3:AJ$103,9,FALSE),""),"")</f>
        <v>14.184380305602719</v>
      </c>
      <c r="G62" s="79">
        <f>IF(VLOOKUP(A62,Buchwert_je_Aktie!A$3:AJ$103,10,FALSE)&lt;&gt;"",IF(VLOOKUP(A62,Schlußkurse!A$5:AU$105,39,FALSE)&gt;0,VLOOKUP(A62,Schlußkurse!A$5:AU$105,39,FALSE)/VLOOKUP(A62,Buchwert_je_Aktie!A$3:AJ$103,10,FALSE),""),"")</f>
        <v>7.8354066985645936</v>
      </c>
      <c r="H62" s="79">
        <f>IF(VLOOKUP(A62,Buchwert_je_Aktie!A$3:AJ$103,11,FALSE)&lt;&gt;"",IF(VLOOKUP(A62,Schlußkurse!A$5:AU$105,40,FALSE)&gt;0,VLOOKUP(A62,Schlußkurse!A$5:AU$105,40,FALSE)/VLOOKUP(A62,Buchwert_je_Aktie!A$3:AJ$103,11,FALSE),""),"")</f>
        <v>6.645632798573974</v>
      </c>
      <c r="I62" s="79">
        <f>IF(VLOOKUP(A62,Buchwert_je_Aktie!A$3:AJ$103,12,FALSE)&lt;&gt;"",IF(VLOOKUP(A62,Schlußkurse!A$5:AU$105,41,FALSE)&gt;0,VLOOKUP(A62,Schlußkurse!A$5:AU$105,41,FALSE)/VLOOKUP(A62,Buchwert_je_Aktie!A$3:AJ$103,12,FALSE),""),"")</f>
        <v>4.8403887688984888</v>
      </c>
      <c r="J62" s="79">
        <f>IF(VLOOKUP(A62,Buchwert_je_Aktie!A$3:AJ$103,13,FALSE)&lt;&gt;"",IF(VLOOKUP(A62,Schlußkurse!A$5:AU$105,42,FALSE)&gt;0,VLOOKUP(A62,Schlußkurse!A$5:AU$105,42,FALSE)/VLOOKUP(A62,Buchwert_je_Aktie!A$3:AJ$103,13,FALSE),""),"")</f>
        <v>6.4316582914572864</v>
      </c>
      <c r="K62" s="79">
        <f>IF(VLOOKUP(A62,Buchwert_je_Aktie!A$3:AJ$103,14,FALSE)&lt;&gt;"",IF(VLOOKUP(A62,Schlußkurse!A$5:AU$105,43,FALSE)&gt;0,VLOOKUP(A62,Schlußkurse!A$5:AU$105,43,FALSE)/VLOOKUP(A62,Buchwert_je_Aktie!A$3:AJ$103,14,FALSE),""),"")</f>
        <v>5.2937037037037031</v>
      </c>
      <c r="L62" s="79" t="str">
        <f>IF(VLOOKUP(A62,Buchwert_je_Aktie!A$3:AJ$103,15,FALSE)&lt;&gt;"",IF(VLOOKUP(A62,Schlußkurse!A$5:AU$105,44,FALSE)&gt;0,VLOOKUP(A62,Schlußkurse!A$5:AU$105,44,FALSE)/VLOOKUP(A62,Buchwert_je_Aktie!A$3:AJ$103,15,FALSE),""),"")</f>
        <v/>
      </c>
      <c r="M62" s="79" t="str">
        <f>IF(VLOOKUP(A62,Buchwert_je_Aktie!A$3:AJ$103,16,FALSE)&lt;&gt;"",IF(VLOOKUP(A62,Schlußkurse!A$5:AU$105,45,FALSE)&gt;0,VLOOKUP(A62,Schlußkurse!A$5:AU$105,45,FALSE)/VLOOKUP(A62,Buchwert_je_Aktie!A$3:AJ$103,16,FALSE),""),"")</f>
        <v/>
      </c>
      <c r="N62" s="79" t="str">
        <f>IF(VLOOKUP(A62,Buchwert_je_Aktie!A$3:AJ$103,17,FALSE)&lt;&gt;"",IF(VLOOKUP(A62,Schlußkurse!A$5:AU$105,46,FALSE)&gt;0,VLOOKUP(A62,Schlußkurse!A$5:AU$105,46,FALSE)/VLOOKUP(A62,Buchwert_je_Aktie!A$3:AJ$103,17,FALSE),""),"")</f>
        <v/>
      </c>
      <c r="O62" s="80" t="str">
        <f>IF(VLOOKUP(A62,Buchwert_je_Aktie!A$3:AJ$103,18,FALSE)&lt;&gt;"",IF(VLOOKUP(A62,Schlußkurse!A$5:AU$105,47,FALSE)&gt;0,VLOOKUP(A62,Schlußkurse!A$5:AU$105,47,FALSE)/VLOOKUP(A62,Buchwert_je_Aktie!A$3:AJ$103,18,FALSE),""),"")</f>
        <v/>
      </c>
      <c r="P62" s="3">
        <f t="shared" si="0"/>
        <v>7.05078125</v>
      </c>
      <c r="Q62" s="3">
        <f ca="1">VLOOKUP(A62,Schlußkurse!A$5:AU$105,35,FALSE)/VLOOKUP(A62,Buchwert_je_Aktie!A$3:AK$103,23,FALSE)</f>
        <v>11.920661011476708</v>
      </c>
      <c r="R62" s="5">
        <f t="shared" ca="1" si="1"/>
        <v>0.69068654788810924</v>
      </c>
    </row>
    <row r="63" spans="1:18" x14ac:dyDescent="0.25">
      <c r="A63" t="s">
        <v>263</v>
      </c>
      <c r="B63" t="s">
        <v>264</v>
      </c>
      <c r="C63" s="78">
        <f>IF(VLOOKUP(A63,Buchwert_je_Aktie!A$3:AJ$103,6,FALSE)&lt;&gt;"",IF(VLOOKUP(A63,Schlußkurse!A$5:AU$105,35,FALSE)&gt;0,VLOOKUP(A63,Schlußkurse!A$5:AU$105,35,FALSE) /VLOOKUP(A63,Buchwert_je_Aktie!A$3:AJ$103,6,FALSE),""),"")</f>
        <v>-30.525568181818183</v>
      </c>
      <c r="D63" s="79">
        <f>IF(VLOOKUP(A63,Buchwert_je_Aktie!A$3:AJ$103,7,FALSE)&lt;&gt;"",IF(VLOOKUP(A63,Schlußkurse!A$5:AU$105,36,FALSE)&gt;0,VLOOKUP(A63,Schlußkurse!A$5:AU$105,36,FALSE)/VLOOKUP(A63,Buchwert_je_Aktie!A$3:AJ$103,7,FALSE),""),"")</f>
        <v>-36.547619047619051</v>
      </c>
      <c r="E63" s="79">
        <f>IF(VLOOKUP(A63,Buchwert_je_Aktie!A$3:AJ$103,8,FALSE)&lt;&gt;"",IF(VLOOKUP(A63,Schlußkurse!A$5:AU$105,37,FALSE)&gt;0,VLOOKUP(A63,Schlußkurse!A$5:AU$105,37,FALSE)/VLOOKUP(A63,Buchwert_je_Aktie!A$3:AJ$103,8,FALSE),""),"")</f>
        <v>-52.933701657458563</v>
      </c>
      <c r="F63" s="79">
        <f>IF(VLOOKUP(A63,Buchwert_je_Aktie!A$3:AJ$103,9,FALSE)&lt;&gt;"",IF(VLOOKUP(A63,Schlußkurse!A$5:AU$105,38,FALSE)&gt;0,VLOOKUP(A63,Schlußkurse!A$5:AU$105,38,FALSE)/VLOOKUP(A63,Buchwert_je_Aktie!A$3:AJ$103,9,FALSE),""),"")</f>
        <v>-85.293478260869563</v>
      </c>
      <c r="G63" s="79">
        <f>IF(VLOOKUP(A63,Buchwert_je_Aktie!A$3:AJ$103,10,FALSE)&lt;&gt;"",IF(VLOOKUP(A63,Schlußkurse!A$5:AU$105,39,FALSE)&gt;0,VLOOKUP(A63,Schlußkurse!A$5:AU$105,39,FALSE)/VLOOKUP(A63,Buchwert_je_Aktie!A$3:AJ$103,10,FALSE),""),"")</f>
        <v>31.848101265822784</v>
      </c>
      <c r="H63" s="79">
        <f>IF(VLOOKUP(A63,Buchwert_je_Aktie!A$3:AJ$103,11,FALSE)&lt;&gt;"",IF(VLOOKUP(A63,Schlußkurse!A$5:AU$105,40,FALSE)&gt;0,VLOOKUP(A63,Schlußkurse!A$5:AU$105,40,FALSE)/VLOOKUP(A63,Buchwert_je_Aktie!A$3:AJ$103,11,FALSE),""),"")</f>
        <v>19.468208092485551</v>
      </c>
      <c r="I63" s="79">
        <f>IF(VLOOKUP(A63,Buchwert_je_Aktie!A$3:AJ$103,12,FALSE)&lt;&gt;"",IF(VLOOKUP(A63,Schlußkurse!A$5:AU$105,41,FALSE)&gt;0,VLOOKUP(A63,Schlußkurse!A$5:AU$105,41,FALSE)/VLOOKUP(A63,Buchwert_je_Aktie!A$3:AJ$103,12,FALSE),""),"")</f>
        <v>-34.921052631578945</v>
      </c>
      <c r="J63" s="79">
        <f>IF(VLOOKUP(A63,Buchwert_je_Aktie!A$3:AJ$103,13,FALSE)&lt;&gt;"",IF(VLOOKUP(A63,Schlußkurse!A$5:AU$105,42,FALSE)&gt;0,VLOOKUP(A63,Schlußkurse!A$5:AU$105,42,FALSE)/VLOOKUP(A63,Buchwert_je_Aktie!A$3:AJ$103,13,FALSE),""),"")</f>
        <v>-20</v>
      </c>
      <c r="K63" s="79">
        <f>IF(VLOOKUP(A63,Buchwert_je_Aktie!A$3:AJ$103,14,FALSE)&lt;&gt;"",IF(VLOOKUP(A63,Schlußkurse!A$5:AU$105,43,FALSE)&gt;0,VLOOKUP(A63,Schlußkurse!A$5:AU$105,43,FALSE)/VLOOKUP(A63,Buchwert_je_Aktie!A$3:AJ$103,14,FALSE),""),"")</f>
        <v>-7.84765625</v>
      </c>
      <c r="L63" s="79">
        <f>IF(VLOOKUP(A63,Buchwert_je_Aktie!A$3:AJ$103,15,FALSE)&lt;&gt;"",IF(VLOOKUP(A63,Schlußkurse!A$5:AU$105,44,FALSE)&gt;0,VLOOKUP(A63,Schlußkurse!A$5:AU$105,44,FALSE)/VLOOKUP(A63,Buchwert_je_Aktie!A$3:AJ$103,15,FALSE),""),"")</f>
        <v>-8.4397163120567367</v>
      </c>
      <c r="M63" s="79">
        <f>IF(VLOOKUP(A63,Buchwert_je_Aktie!A$3:AJ$103,16,FALSE)&lt;&gt;"",IF(VLOOKUP(A63,Schlußkurse!A$5:AU$105,45,FALSE)&gt;0,VLOOKUP(A63,Schlußkurse!A$5:AU$105,45,FALSE)/VLOOKUP(A63,Buchwert_je_Aktie!A$3:AJ$103,16,FALSE),""),"")</f>
        <v>-22.134615384615383</v>
      </c>
      <c r="N63" s="79">
        <f>IF(VLOOKUP(A63,Buchwert_je_Aktie!A$3:AJ$103,17,FALSE)&lt;&gt;"",IF(VLOOKUP(A63,Schlußkurse!A$5:AU$105,46,FALSE)&gt;0,VLOOKUP(A63,Schlußkurse!A$5:AU$105,46,FALSE)/VLOOKUP(A63,Buchwert_je_Aktie!A$3:AJ$103,17,FALSE),""),"")</f>
        <v>103.10000000000001</v>
      </c>
      <c r="O63" s="80" t="str">
        <f>IF(VLOOKUP(A63,Buchwert_je_Aktie!A$3:AJ$103,18,FALSE)&lt;&gt;"",IF(VLOOKUP(A63,Schlußkurse!A$5:AU$105,47,FALSE)&gt;0,VLOOKUP(A63,Schlußkurse!A$5:AU$105,47,FALSE)/VLOOKUP(A63,Buchwert_je_Aktie!A$3:AJ$103,18,FALSE),""),"")</f>
        <v/>
      </c>
      <c r="P63" s="3">
        <f t="shared" si="0"/>
        <v>-21.067307692307693</v>
      </c>
      <c r="Q63" s="3">
        <f ca="1">VLOOKUP(A63,Schlußkurse!A$5:AU$105,35,FALSE)/VLOOKUP(A63,Buchwert_je_Aktie!A$3:AK$103,23,FALSE)</f>
        <v>-48.998049299521199</v>
      </c>
      <c r="R63" s="5">
        <f t="shared" ca="1" si="1"/>
        <v>-1.325786000524968</v>
      </c>
    </row>
    <row r="64" spans="1:18" x14ac:dyDescent="0.25">
      <c r="A64" t="s">
        <v>276</v>
      </c>
      <c r="B64" t="s">
        <v>281</v>
      </c>
      <c r="C64" s="78">
        <f>IF(VLOOKUP(A64,Buchwert_je_Aktie!A$3:AJ$103,6,FALSE)&lt;&gt;"",IF(VLOOKUP(A64,Schlußkurse!A$5:AU$105,35,FALSE)&gt;0,VLOOKUP(A64,Schlußkurse!A$5:AU$105,35,FALSE) /VLOOKUP(A64,Buchwert_je_Aktie!A$3:AJ$103,6,FALSE),""),"")</f>
        <v>2.5134955752212389</v>
      </c>
      <c r="D64" s="79">
        <f>IF(VLOOKUP(A64,Buchwert_je_Aktie!A$3:AJ$103,7,FALSE)&lt;&gt;"",IF(VLOOKUP(A64,Schlußkurse!A$5:AU$105,36,FALSE)&gt;0,VLOOKUP(A64,Schlußkurse!A$5:AU$105,36,FALSE)/VLOOKUP(A64,Buchwert_je_Aktie!A$3:AJ$103,7,FALSE),""),"")</f>
        <v>2.7114558472553698</v>
      </c>
      <c r="E64" s="79">
        <f>IF(VLOOKUP(A64,Buchwert_je_Aktie!A$3:AJ$103,8,FALSE)&lt;&gt;"",IF(VLOOKUP(A64,Schlußkurse!A$5:AU$105,37,FALSE)&gt;0,VLOOKUP(A64,Schlußkurse!A$5:AU$105,37,FALSE)/VLOOKUP(A64,Buchwert_je_Aktie!A$3:AJ$103,8,FALSE),""),"")</f>
        <v>2.724797843665768</v>
      </c>
      <c r="F64" s="79">
        <f>IF(VLOOKUP(A64,Buchwert_je_Aktie!A$3:AJ$103,9,FALSE)&lt;&gt;"",IF(VLOOKUP(A64,Schlußkurse!A$5:AU$105,38,FALSE)&gt;0,VLOOKUP(A64,Schlußkurse!A$5:AU$105,38,FALSE)/VLOOKUP(A64,Buchwert_je_Aktie!A$3:AJ$103,9,FALSE),""),"")</f>
        <v>2.1229207781223569</v>
      </c>
      <c r="G64" s="79">
        <f>IF(VLOOKUP(A64,Buchwert_je_Aktie!A$3:AJ$103,10,FALSE)&lt;&gt;"",IF(VLOOKUP(A64,Schlußkurse!A$5:AU$105,39,FALSE)&gt;0,VLOOKUP(A64,Schlußkurse!A$5:AU$105,39,FALSE)/VLOOKUP(A64,Buchwert_je_Aktie!A$3:AJ$103,10,FALSE),""),"")</f>
        <v>1.6080640379484141</v>
      </c>
      <c r="H64" s="79">
        <f>IF(VLOOKUP(A64,Buchwert_je_Aktie!A$3:AJ$103,11,FALSE)&lt;&gt;"",IF(VLOOKUP(A64,Schlußkurse!A$5:AU$105,40,FALSE)&gt;0,VLOOKUP(A64,Schlußkurse!A$5:AU$105,40,FALSE)/VLOOKUP(A64,Buchwert_je_Aktie!A$3:AJ$103,11,FALSE),""),"")</f>
        <v>1.5507955936352509</v>
      </c>
      <c r="I64" s="79">
        <f>IF(VLOOKUP(A64,Buchwert_je_Aktie!A$3:AJ$103,12,FALSE)&lt;&gt;"",IF(VLOOKUP(A64,Schlußkurse!A$5:AU$105,41,FALSE)&gt;0,VLOOKUP(A64,Schlußkurse!A$5:AU$105,41,FALSE)/VLOOKUP(A64,Buchwert_je_Aktie!A$3:AJ$103,12,FALSE),""),"")</f>
        <v>1.3261109070877708</v>
      </c>
      <c r="J64" s="79">
        <f>IF(VLOOKUP(A64,Buchwert_je_Aktie!A$3:AJ$103,13,FALSE)&lt;&gt;"",IF(VLOOKUP(A64,Schlußkurse!A$5:AU$105,42,FALSE)&gt;0,VLOOKUP(A64,Schlußkurse!A$5:AU$105,42,FALSE)/VLOOKUP(A64,Buchwert_je_Aktie!A$3:AJ$103,13,FALSE),""),"")</f>
        <v>1.2817493692178301</v>
      </c>
      <c r="K64" s="79">
        <f>IF(VLOOKUP(A64,Buchwert_je_Aktie!A$3:AJ$103,14,FALSE)&lt;&gt;"",IF(VLOOKUP(A64,Schlußkurse!A$5:AU$105,43,FALSE)&gt;0,VLOOKUP(A64,Schlußkurse!A$5:AU$105,43,FALSE)/VLOOKUP(A64,Buchwert_je_Aktie!A$3:AJ$103,14,FALSE),""),"")</f>
        <v>1.2925170068027212</v>
      </c>
      <c r="L64" s="79">
        <f>IF(VLOOKUP(A64,Buchwert_je_Aktie!A$3:AJ$103,15,FALSE)&lt;&gt;"",IF(VLOOKUP(A64,Schlußkurse!A$5:AU$105,44,FALSE)&gt;0,VLOOKUP(A64,Schlußkurse!A$5:AU$105,44,FALSE)/VLOOKUP(A64,Buchwert_je_Aktie!A$3:AJ$103,15,FALSE),""),"")</f>
        <v>3.3641618497109826</v>
      </c>
      <c r="M64" s="79">
        <f>IF(VLOOKUP(A64,Buchwert_je_Aktie!A$3:AJ$103,16,FALSE)&lt;&gt;"",IF(VLOOKUP(A64,Schlußkurse!A$5:AU$105,45,FALSE)&gt;0,VLOOKUP(A64,Schlußkurse!A$5:AU$105,45,FALSE)/VLOOKUP(A64,Buchwert_je_Aktie!A$3:AJ$103,16,FALSE),""),"")</f>
        <v>3.360399750156152</v>
      </c>
      <c r="N64" s="79">
        <f>IF(VLOOKUP(A64,Buchwert_je_Aktie!A$3:AJ$103,17,FALSE)&lt;&gt;"",IF(VLOOKUP(A64,Schlußkurse!A$5:AU$105,46,FALSE)&gt;0,VLOOKUP(A64,Schlußkurse!A$5:AU$105,46,FALSE)/VLOOKUP(A64,Buchwert_je_Aktie!A$3:AJ$103,17,FALSE),""),"")</f>
        <v>4.015513897866839</v>
      </c>
      <c r="O64" s="80">
        <f>IF(VLOOKUP(A64,Buchwert_je_Aktie!A$3:AJ$103,18,FALSE)&lt;&gt;"",IF(VLOOKUP(A64,Schlußkurse!A$5:AU$105,47,FALSE)&gt;0,VLOOKUP(A64,Schlußkurse!A$5:AU$105,47,FALSE)/VLOOKUP(A64,Buchwert_je_Aktie!A$3:AJ$103,18,FALSE),""),"")</f>
        <v>3.3759571209800918</v>
      </c>
      <c r="P64" s="3">
        <f t="shared" si="0"/>
        <v>2.5134955752212389</v>
      </c>
      <c r="Q64" s="3">
        <f ca="1">VLOOKUP(A64,Schlußkurse!A$5:AU$105,35,FALSE)/VLOOKUP(A64,Buchwert_je_Aktie!A$3:AK$103,23,FALSE)</f>
        <v>2.9336374591151659</v>
      </c>
      <c r="R64" s="5">
        <f t="shared" ca="1" si="1"/>
        <v>0.16715441556205879</v>
      </c>
    </row>
    <row r="65" spans="1:18" x14ac:dyDescent="0.25">
      <c r="A65" t="s">
        <v>265</v>
      </c>
      <c r="B65" t="s">
        <v>266</v>
      </c>
      <c r="C65" s="78">
        <f>IF(VLOOKUP(A65,Buchwert_je_Aktie!A$3:AJ$103,6,FALSE)&lt;&gt;"",IF(VLOOKUP(A65,Schlußkurse!A$5:AU$105,35,FALSE)&gt;0,VLOOKUP(A65,Schlußkurse!A$5:AU$105,35,FALSE) /VLOOKUP(A65,Buchwert_je_Aktie!A$3:AJ$103,6,FALSE),""),"")</f>
        <v>2.9928888888888889</v>
      </c>
      <c r="D65" s="79">
        <f>IF(VLOOKUP(A65,Buchwert_je_Aktie!A$3:AJ$103,7,FALSE)&lt;&gt;"",IF(VLOOKUP(A65,Schlußkurse!A$5:AU$105,36,FALSE)&gt;0,VLOOKUP(A65,Schlußkurse!A$5:AU$105,36,FALSE)/VLOOKUP(A65,Buchwert_je_Aktie!A$3:AJ$103,7,FALSE),""),"")</f>
        <v>5.6116666666666672</v>
      </c>
      <c r="E65" s="79">
        <f>IF(VLOOKUP(A65,Buchwert_je_Aktie!A$3:AJ$103,8,FALSE)&lt;&gt;"",IF(VLOOKUP(A65,Schlußkurse!A$5:AU$105,37,FALSE)&gt;0,VLOOKUP(A65,Schlußkurse!A$5:AU$105,37,FALSE)/VLOOKUP(A65,Buchwert_je_Aktie!A$3:AJ$103,8,FALSE),""),"")</f>
        <v>4.9574814126394058</v>
      </c>
      <c r="F65" s="79">
        <f>IF(VLOOKUP(A65,Buchwert_je_Aktie!A$3:AJ$103,9,FALSE)&lt;&gt;"",IF(VLOOKUP(A65,Schlußkurse!A$5:AU$105,38,FALSE)&gt;0,VLOOKUP(A65,Schlußkurse!A$5:AU$105,38,FALSE)/VLOOKUP(A65,Buchwert_je_Aktie!A$3:AJ$103,9,FALSE),""),"")</f>
        <v>5.4351535836177476</v>
      </c>
      <c r="G65" s="79">
        <f>IF(VLOOKUP(A65,Buchwert_je_Aktie!A$3:AJ$103,10,FALSE)&lt;&gt;"",IF(VLOOKUP(A65,Schlußkurse!A$5:AU$105,39,FALSE)&gt;0,VLOOKUP(A65,Schlußkurse!A$5:AU$105,39,FALSE)/VLOOKUP(A65,Buchwert_je_Aktie!A$3:AJ$103,10,FALSE),""),"")</f>
        <v>3.8989547038327528</v>
      </c>
      <c r="H65" s="79">
        <f>IF(VLOOKUP(A65,Buchwert_je_Aktie!A$3:AJ$103,11,FALSE)&lt;&gt;"",IF(VLOOKUP(A65,Schlußkurse!A$5:AU$105,40,FALSE)&gt;0,VLOOKUP(A65,Schlußkurse!A$5:AU$105,40,FALSE)/VLOOKUP(A65,Buchwert_je_Aktie!A$3:AJ$103,11,FALSE),""),"")</f>
        <v>2.5152582159624415</v>
      </c>
      <c r="I65" s="79">
        <f>IF(VLOOKUP(A65,Buchwert_je_Aktie!A$3:AJ$103,12,FALSE)&lt;&gt;"",IF(VLOOKUP(A65,Schlußkurse!A$5:AU$105,41,FALSE)&gt;0,VLOOKUP(A65,Schlußkurse!A$5:AU$105,41,FALSE)/VLOOKUP(A65,Buchwert_je_Aktie!A$3:AJ$103,12,FALSE),""),"")</f>
        <v>2.3148379052369079</v>
      </c>
      <c r="J65" s="79">
        <f>IF(VLOOKUP(A65,Buchwert_je_Aktie!A$3:AJ$103,13,FALSE)&lt;&gt;"",IF(VLOOKUP(A65,Schlußkurse!A$5:AU$105,42,FALSE)&gt;0,VLOOKUP(A65,Schlußkurse!A$5:AU$105,42,FALSE)/VLOOKUP(A65,Buchwert_je_Aktie!A$3:AJ$103,13,FALSE),""),"")</f>
        <v>2.3067423230974633</v>
      </c>
      <c r="K65" s="79" t="str">
        <f>IF(VLOOKUP(A65,Buchwert_je_Aktie!A$3:AJ$103,14,FALSE)&lt;&gt;"",IF(VLOOKUP(A65,Schlußkurse!A$5:AU$105,43,FALSE)&gt;0,VLOOKUP(A65,Schlußkurse!A$5:AU$105,43,FALSE)/VLOOKUP(A65,Buchwert_je_Aktie!A$3:AJ$103,14,FALSE),""),"")</f>
        <v/>
      </c>
      <c r="L65" s="79" t="str">
        <f>IF(VLOOKUP(A65,Buchwert_je_Aktie!A$3:AJ$103,15,FALSE)&lt;&gt;"",IF(VLOOKUP(A65,Schlußkurse!A$5:AU$105,44,FALSE)&gt;0,VLOOKUP(A65,Schlußkurse!A$5:AU$105,44,FALSE)/VLOOKUP(A65,Buchwert_je_Aktie!A$3:AJ$103,15,FALSE),""),"")</f>
        <v/>
      </c>
      <c r="M65" s="79" t="str">
        <f>IF(VLOOKUP(A65,Buchwert_je_Aktie!A$3:AJ$103,16,FALSE)&lt;&gt;"",IF(VLOOKUP(A65,Schlußkurse!A$5:AU$105,45,FALSE)&gt;0,VLOOKUP(A65,Schlußkurse!A$5:AU$105,45,FALSE)/VLOOKUP(A65,Buchwert_je_Aktie!A$3:AJ$103,16,FALSE),""),"")</f>
        <v/>
      </c>
      <c r="N65" s="79" t="str">
        <f>IF(VLOOKUP(A65,Buchwert_je_Aktie!A$3:AJ$103,17,FALSE)&lt;&gt;"",IF(VLOOKUP(A65,Schlußkurse!A$5:AU$105,46,FALSE)&gt;0,VLOOKUP(A65,Schlußkurse!A$5:AU$105,46,FALSE)/VLOOKUP(A65,Buchwert_je_Aktie!A$3:AJ$103,17,FALSE),""),"")</f>
        <v/>
      </c>
      <c r="O65" s="80" t="str">
        <f>IF(VLOOKUP(A65,Buchwert_je_Aktie!A$3:AJ$103,18,FALSE)&lt;&gt;"",IF(VLOOKUP(A65,Schlußkurse!A$5:AU$105,47,FALSE)&gt;0,VLOOKUP(A65,Schlußkurse!A$5:AU$105,47,FALSE)/VLOOKUP(A65,Buchwert_je_Aktie!A$3:AJ$103,18,FALSE),""),"")</f>
        <v/>
      </c>
      <c r="P65" s="3">
        <f t="shared" si="0"/>
        <v>3.4459217963608211</v>
      </c>
      <c r="Q65" s="3">
        <f ca="1">VLOOKUP(A65,Schlußkurse!A$5:AU$105,35,FALSE)/VLOOKUP(A65,Buchwert_je_Aktie!A$3:AK$103,23,FALSE)</f>
        <v>5.8588788028189445</v>
      </c>
      <c r="R65" s="5">
        <f t="shared" ca="1" si="1"/>
        <v>0.70023556802896869</v>
      </c>
    </row>
    <row r="66" spans="1:18" x14ac:dyDescent="0.25">
      <c r="C66" s="78" t="e">
        <f>IF(VLOOKUP(A66,Buchwert_je_Aktie!A$3:AJ$103,6,FALSE)&lt;&gt;"",IF(VLOOKUP(A66,Schlußkurse!A$5:AU$105,35,FALSE)&gt;0,VLOOKUP(A66,Schlußkurse!A$5:AU$105,35,FALSE) /VLOOKUP(A66,Buchwert_je_Aktie!A$3:AJ$103,6,FALSE),""),"")</f>
        <v>#N/A</v>
      </c>
      <c r="D66" s="79" t="e">
        <f>IF(VLOOKUP(A66,Buchwert_je_Aktie!A$3:AJ$103,7,FALSE)&lt;&gt;"",IF(VLOOKUP(A66,Schlußkurse!A$5:AU$105,36,FALSE)&gt;0,VLOOKUP(A66,Schlußkurse!A$5:AU$105,36,FALSE)/VLOOKUP(A66,Buchwert_je_Aktie!A$3:AJ$103,7,FALSE),""),"")</f>
        <v>#N/A</v>
      </c>
      <c r="E66" s="79" t="e">
        <f>IF(VLOOKUP(A66,Buchwert_je_Aktie!A$3:AJ$103,8,FALSE)&lt;&gt;"",IF(VLOOKUP(A66,Schlußkurse!A$5:AU$105,37,FALSE)&gt;0,VLOOKUP(A66,Schlußkurse!A$5:AU$105,37,FALSE)/VLOOKUP(A66,Buchwert_je_Aktie!A$3:AJ$103,8,FALSE),""),"")</f>
        <v>#N/A</v>
      </c>
      <c r="F66" s="79" t="e">
        <f>IF(VLOOKUP(A66,Buchwert_je_Aktie!A$3:AJ$103,9,FALSE)&lt;&gt;"",IF(VLOOKUP(A66,Schlußkurse!A$5:AU$105,38,FALSE)&gt;0,VLOOKUP(A66,Schlußkurse!A$5:AU$105,38,FALSE)/VLOOKUP(A66,Buchwert_je_Aktie!A$3:AJ$103,9,FALSE),""),"")</f>
        <v>#N/A</v>
      </c>
      <c r="G66" s="79" t="e">
        <f>IF(VLOOKUP(A66,Buchwert_je_Aktie!A$3:AJ$103,10,FALSE)&lt;&gt;"",IF(VLOOKUP(A66,Schlußkurse!A$5:AU$105,39,FALSE)&gt;0,VLOOKUP(A66,Schlußkurse!A$5:AU$105,39,FALSE)/VLOOKUP(A66,Buchwert_je_Aktie!A$3:AJ$103,10,FALSE),""),"")</f>
        <v>#N/A</v>
      </c>
      <c r="H66" s="79" t="e">
        <f>IF(VLOOKUP(A66,Buchwert_je_Aktie!A$3:AJ$103,11,FALSE)&lt;&gt;"",IF(VLOOKUP(A66,Schlußkurse!A$5:AU$105,40,FALSE)&gt;0,VLOOKUP(A66,Schlußkurse!A$5:AU$105,40,FALSE)/VLOOKUP(A66,Buchwert_je_Aktie!A$3:AJ$103,11,FALSE),""),"")</f>
        <v>#N/A</v>
      </c>
      <c r="I66" s="79" t="e">
        <f>IF(VLOOKUP(A66,Buchwert_je_Aktie!A$3:AJ$103,12,FALSE)&lt;&gt;"",IF(VLOOKUP(A66,Schlußkurse!A$5:AU$105,41,FALSE)&gt;0,VLOOKUP(A66,Schlußkurse!A$5:AU$105,41,FALSE)/VLOOKUP(A66,Buchwert_je_Aktie!A$3:AJ$103,12,FALSE),""),"")</f>
        <v>#N/A</v>
      </c>
      <c r="J66" s="79" t="e">
        <f>IF(VLOOKUP(A66,Buchwert_je_Aktie!A$3:AJ$103,13,FALSE)&lt;&gt;"",IF(VLOOKUP(A66,Schlußkurse!A$5:AU$105,42,FALSE)&gt;0,VLOOKUP(A66,Schlußkurse!A$5:AU$105,42,FALSE)/VLOOKUP(A66,Buchwert_je_Aktie!A$3:AJ$103,13,FALSE),""),"")</f>
        <v>#N/A</v>
      </c>
      <c r="K66" s="79" t="e">
        <f>IF(VLOOKUP(A66,Buchwert_je_Aktie!A$3:AJ$103,14,FALSE)&lt;&gt;"",IF(VLOOKUP(A66,Schlußkurse!A$5:AU$105,43,FALSE)&gt;0,VLOOKUP(A66,Schlußkurse!A$5:AU$105,43,FALSE)/VLOOKUP(A66,Buchwert_je_Aktie!A$3:AJ$103,14,FALSE),""),"")</f>
        <v>#N/A</v>
      </c>
      <c r="L66" s="79" t="e">
        <f>IF(VLOOKUP(A66,Buchwert_je_Aktie!A$3:AJ$103,15,FALSE)&lt;&gt;"",IF(VLOOKUP(A66,Schlußkurse!A$5:AU$105,44,FALSE)&gt;0,VLOOKUP(A66,Schlußkurse!A$5:AU$105,44,FALSE)/VLOOKUP(A66,Buchwert_je_Aktie!A$3:AJ$103,15,FALSE),""),"")</f>
        <v>#N/A</v>
      </c>
      <c r="M66" s="79" t="e">
        <f>IF(VLOOKUP(A66,Buchwert_je_Aktie!A$3:AJ$103,16,FALSE)&lt;&gt;"",IF(VLOOKUP(A66,Schlußkurse!A$5:AU$105,45,FALSE)&gt;0,VLOOKUP(A66,Schlußkurse!A$5:AU$105,45,FALSE)/VLOOKUP(A66,Buchwert_je_Aktie!A$3:AJ$103,16,FALSE),""),"")</f>
        <v>#N/A</v>
      </c>
      <c r="N66" s="79" t="e">
        <f>IF(VLOOKUP(A66,Buchwert_je_Aktie!A$3:AJ$103,17,FALSE)&lt;&gt;"",IF(VLOOKUP(A66,Schlußkurse!A$5:AU$105,46,FALSE)&gt;0,VLOOKUP(A66,Schlußkurse!A$5:AU$105,46,FALSE)/VLOOKUP(A66,Buchwert_je_Aktie!A$3:AJ$103,17,FALSE),""),"")</f>
        <v>#N/A</v>
      </c>
      <c r="O66" s="80" t="e">
        <f>IF(VLOOKUP(A66,Buchwert_je_Aktie!A$3:AJ$103,18,FALSE)&lt;&gt;"",IF(VLOOKUP(A66,Schlußkurse!A$5:AU$105,47,FALSE)&gt;0,VLOOKUP(A66,Schlußkurse!A$5:AU$105,47,FALSE)/VLOOKUP(A66,Buchwert_je_Aktie!A$3:AJ$103,18,FALSE),""),"")</f>
        <v>#N/A</v>
      </c>
      <c r="P66" s="3" t="e">
        <f t="shared" si="0"/>
        <v>#N/A</v>
      </c>
      <c r="Q66" s="3" t="e">
        <f>VLOOKUP(A66,Schlußkurse!A$5:AU$105,35,FALSE)/VLOOKUP(A66,Buchwert_je_Aktie!A$3:AK$103,23,FALSE)</f>
        <v>#N/A</v>
      </c>
      <c r="R66" s="5" t="e">
        <f t="shared" si="1"/>
        <v>#N/A</v>
      </c>
    </row>
    <row r="67" spans="1:18" x14ac:dyDescent="0.25">
      <c r="C67" s="78" t="e">
        <f>IF(VLOOKUP(A67,Buchwert_je_Aktie!A$3:AJ$103,6,FALSE)&lt;&gt;"",IF(VLOOKUP(A67,Schlußkurse!A$5:AU$105,35,FALSE)&gt;0,VLOOKUP(A67,Schlußkurse!A$5:AU$105,35,FALSE) /VLOOKUP(A67,Buchwert_je_Aktie!A$3:AJ$103,6,FALSE),""),"")</f>
        <v>#N/A</v>
      </c>
      <c r="D67" s="79" t="e">
        <f>IF(VLOOKUP(A67,Buchwert_je_Aktie!A$3:AJ$103,7,FALSE)&lt;&gt;"",IF(VLOOKUP(A67,Schlußkurse!A$5:AU$105,36,FALSE)&gt;0,VLOOKUP(A67,Schlußkurse!A$5:AU$105,36,FALSE)/VLOOKUP(A67,Buchwert_je_Aktie!A$3:AJ$103,7,FALSE),""),"")</f>
        <v>#N/A</v>
      </c>
      <c r="E67" s="79" t="e">
        <f>IF(VLOOKUP(A67,Buchwert_je_Aktie!A$3:AJ$103,8,FALSE)&lt;&gt;"",IF(VLOOKUP(A67,Schlußkurse!A$5:AU$105,37,FALSE)&gt;0,VLOOKUP(A67,Schlußkurse!A$5:AU$105,37,FALSE)/VLOOKUP(A67,Buchwert_je_Aktie!A$3:AJ$103,8,FALSE),""),"")</f>
        <v>#N/A</v>
      </c>
      <c r="F67" s="79" t="e">
        <f>IF(VLOOKUP(A67,Buchwert_je_Aktie!A$3:AJ$103,9,FALSE)&lt;&gt;"",IF(VLOOKUP(A67,Schlußkurse!A$5:AU$105,38,FALSE)&gt;0,VLOOKUP(A67,Schlußkurse!A$5:AU$105,38,FALSE)/VLOOKUP(A67,Buchwert_je_Aktie!A$3:AJ$103,9,FALSE),""),"")</f>
        <v>#N/A</v>
      </c>
      <c r="G67" s="79" t="e">
        <f>IF(VLOOKUP(A67,Buchwert_je_Aktie!A$3:AJ$103,10,FALSE)&lt;&gt;"",IF(VLOOKUP(A67,Schlußkurse!A$5:AU$105,39,FALSE)&gt;0,VLOOKUP(A67,Schlußkurse!A$5:AU$105,39,FALSE)/VLOOKUP(A67,Buchwert_je_Aktie!A$3:AJ$103,10,FALSE),""),"")</f>
        <v>#N/A</v>
      </c>
      <c r="H67" s="79" t="e">
        <f>IF(VLOOKUP(A67,Buchwert_je_Aktie!A$3:AJ$103,11,FALSE)&lt;&gt;"",IF(VLOOKUP(A67,Schlußkurse!A$5:AU$105,40,FALSE)&gt;0,VLOOKUP(A67,Schlußkurse!A$5:AU$105,40,FALSE)/VLOOKUP(A67,Buchwert_je_Aktie!A$3:AJ$103,11,FALSE),""),"")</f>
        <v>#N/A</v>
      </c>
      <c r="I67" s="79" t="e">
        <f>IF(VLOOKUP(A67,Buchwert_je_Aktie!A$3:AJ$103,12,FALSE)&lt;&gt;"",IF(VLOOKUP(A67,Schlußkurse!A$5:AU$105,41,FALSE)&gt;0,VLOOKUP(A67,Schlußkurse!A$5:AU$105,41,FALSE)/VLOOKUP(A67,Buchwert_je_Aktie!A$3:AJ$103,12,FALSE),""),"")</f>
        <v>#N/A</v>
      </c>
      <c r="J67" s="79" t="e">
        <f>IF(VLOOKUP(A67,Buchwert_je_Aktie!A$3:AJ$103,13,FALSE)&lt;&gt;"",IF(VLOOKUP(A67,Schlußkurse!A$5:AU$105,42,FALSE)&gt;0,VLOOKUP(A67,Schlußkurse!A$5:AU$105,42,FALSE)/VLOOKUP(A67,Buchwert_je_Aktie!A$3:AJ$103,13,FALSE),""),"")</f>
        <v>#N/A</v>
      </c>
      <c r="K67" s="79" t="e">
        <f>IF(VLOOKUP(A67,Buchwert_je_Aktie!A$3:AJ$103,14,FALSE)&lt;&gt;"",IF(VLOOKUP(A67,Schlußkurse!A$5:AU$105,43,FALSE)&gt;0,VLOOKUP(A67,Schlußkurse!A$5:AU$105,43,FALSE)/VLOOKUP(A67,Buchwert_je_Aktie!A$3:AJ$103,14,FALSE),""),"")</f>
        <v>#N/A</v>
      </c>
      <c r="L67" s="79" t="e">
        <f>IF(VLOOKUP(A67,Buchwert_je_Aktie!A$3:AJ$103,15,FALSE)&lt;&gt;"",IF(VLOOKUP(A67,Schlußkurse!A$5:AU$105,44,FALSE)&gt;0,VLOOKUP(A67,Schlußkurse!A$5:AU$105,44,FALSE)/VLOOKUP(A67,Buchwert_je_Aktie!A$3:AJ$103,15,FALSE),""),"")</f>
        <v>#N/A</v>
      </c>
      <c r="M67" s="79" t="e">
        <f>IF(VLOOKUP(A67,Buchwert_je_Aktie!A$3:AJ$103,16,FALSE)&lt;&gt;"",IF(VLOOKUP(A67,Schlußkurse!A$5:AU$105,45,FALSE)&gt;0,VLOOKUP(A67,Schlußkurse!A$5:AU$105,45,FALSE)/VLOOKUP(A67,Buchwert_je_Aktie!A$3:AJ$103,16,FALSE),""),"")</f>
        <v>#N/A</v>
      </c>
      <c r="N67" s="79" t="e">
        <f>IF(VLOOKUP(A67,Buchwert_je_Aktie!A$3:AJ$103,17,FALSE)&lt;&gt;"",IF(VLOOKUP(A67,Schlußkurse!A$5:AU$105,46,FALSE)&gt;0,VLOOKUP(A67,Schlußkurse!A$5:AU$105,46,FALSE)/VLOOKUP(A67,Buchwert_je_Aktie!A$3:AJ$103,17,FALSE),""),"")</f>
        <v>#N/A</v>
      </c>
      <c r="O67" s="80" t="e">
        <f>IF(VLOOKUP(A67,Buchwert_je_Aktie!A$3:AJ$103,18,FALSE)&lt;&gt;"",IF(VLOOKUP(A67,Schlußkurse!A$5:AU$105,47,FALSE)&gt;0,VLOOKUP(A67,Schlußkurse!A$5:AU$105,47,FALSE)/VLOOKUP(A67,Buchwert_je_Aktie!A$3:AJ$103,18,FALSE),""),"")</f>
        <v>#N/A</v>
      </c>
      <c r="P67" s="3" t="e">
        <f t="shared" si="0"/>
        <v>#N/A</v>
      </c>
      <c r="Q67" s="3" t="e">
        <f>VLOOKUP(A67,Schlußkurse!A$5:AU$105,35,FALSE)/VLOOKUP(A67,Buchwert_je_Aktie!A$3:AK$103,23,FALSE)</f>
        <v>#N/A</v>
      </c>
      <c r="R67" s="5" t="e">
        <f t="shared" si="1"/>
        <v>#N/A</v>
      </c>
    </row>
    <row r="68" spans="1:18" x14ac:dyDescent="0.25">
      <c r="C68" s="78" t="e">
        <f>IF(VLOOKUP(A68,Buchwert_je_Aktie!A$3:AJ$103,6,FALSE)&lt;&gt;"",IF(VLOOKUP(A68,Schlußkurse!A$5:AU$105,35,FALSE)&gt;0,VLOOKUP(A68,Schlußkurse!A$5:AU$105,35,FALSE) /VLOOKUP(A68,Buchwert_je_Aktie!A$3:AJ$103,6,FALSE),""),"")</f>
        <v>#N/A</v>
      </c>
      <c r="D68" s="79" t="e">
        <f>IF(VLOOKUP(A68,Buchwert_je_Aktie!A$3:AJ$103,7,FALSE)&lt;&gt;"",IF(VLOOKUP(A68,Schlußkurse!A$5:AU$105,36,FALSE)&gt;0,VLOOKUP(A68,Schlußkurse!A$5:AU$105,36,FALSE)/VLOOKUP(A68,Buchwert_je_Aktie!A$3:AJ$103,7,FALSE),""),"")</f>
        <v>#N/A</v>
      </c>
      <c r="E68" s="79" t="e">
        <f>IF(VLOOKUP(A68,Buchwert_je_Aktie!A$3:AJ$103,8,FALSE)&lt;&gt;"",IF(VLOOKUP(A68,Schlußkurse!A$5:AU$105,37,FALSE)&gt;0,VLOOKUP(A68,Schlußkurse!A$5:AU$105,37,FALSE)/VLOOKUP(A68,Buchwert_je_Aktie!A$3:AJ$103,8,FALSE),""),"")</f>
        <v>#N/A</v>
      </c>
      <c r="F68" s="79" t="e">
        <f>IF(VLOOKUP(A68,Buchwert_je_Aktie!A$3:AJ$103,9,FALSE)&lt;&gt;"",IF(VLOOKUP(A68,Schlußkurse!A$5:AU$105,38,FALSE)&gt;0,VLOOKUP(A68,Schlußkurse!A$5:AU$105,38,FALSE)/VLOOKUP(A68,Buchwert_je_Aktie!A$3:AJ$103,9,FALSE),""),"")</f>
        <v>#N/A</v>
      </c>
      <c r="G68" s="79" t="e">
        <f>IF(VLOOKUP(A68,Buchwert_je_Aktie!A$3:AJ$103,10,FALSE)&lt;&gt;"",IF(VLOOKUP(A68,Schlußkurse!A$5:AU$105,39,FALSE)&gt;0,VLOOKUP(A68,Schlußkurse!A$5:AU$105,39,FALSE)/VLOOKUP(A68,Buchwert_je_Aktie!A$3:AJ$103,10,FALSE),""),"")</f>
        <v>#N/A</v>
      </c>
      <c r="H68" s="79" t="e">
        <f>IF(VLOOKUP(A68,Buchwert_je_Aktie!A$3:AJ$103,11,FALSE)&lt;&gt;"",IF(VLOOKUP(A68,Schlußkurse!A$5:AU$105,40,FALSE)&gt;0,VLOOKUP(A68,Schlußkurse!A$5:AU$105,40,FALSE)/VLOOKUP(A68,Buchwert_je_Aktie!A$3:AJ$103,11,FALSE),""),"")</f>
        <v>#N/A</v>
      </c>
      <c r="I68" s="79" t="e">
        <f>IF(VLOOKUP(A68,Buchwert_je_Aktie!A$3:AJ$103,12,FALSE)&lt;&gt;"",IF(VLOOKUP(A68,Schlußkurse!A$5:AU$105,41,FALSE)&gt;0,VLOOKUP(A68,Schlußkurse!A$5:AU$105,41,FALSE)/VLOOKUP(A68,Buchwert_je_Aktie!A$3:AJ$103,12,FALSE),""),"")</f>
        <v>#N/A</v>
      </c>
      <c r="J68" s="79" t="e">
        <f>IF(VLOOKUP(A68,Buchwert_je_Aktie!A$3:AJ$103,13,FALSE)&lt;&gt;"",IF(VLOOKUP(A68,Schlußkurse!A$5:AU$105,42,FALSE)&gt;0,VLOOKUP(A68,Schlußkurse!A$5:AU$105,42,FALSE)/VLOOKUP(A68,Buchwert_je_Aktie!A$3:AJ$103,13,FALSE),""),"")</f>
        <v>#N/A</v>
      </c>
      <c r="K68" s="79" t="e">
        <f>IF(VLOOKUP(A68,Buchwert_je_Aktie!A$3:AJ$103,14,FALSE)&lt;&gt;"",IF(VLOOKUP(A68,Schlußkurse!A$5:AU$105,43,FALSE)&gt;0,VLOOKUP(A68,Schlußkurse!A$5:AU$105,43,FALSE)/VLOOKUP(A68,Buchwert_je_Aktie!A$3:AJ$103,14,FALSE),""),"")</f>
        <v>#N/A</v>
      </c>
      <c r="L68" s="79" t="e">
        <f>IF(VLOOKUP(A68,Buchwert_je_Aktie!A$3:AJ$103,15,FALSE)&lt;&gt;"",IF(VLOOKUP(A68,Schlußkurse!A$5:AU$105,44,FALSE)&gt;0,VLOOKUP(A68,Schlußkurse!A$5:AU$105,44,FALSE)/VLOOKUP(A68,Buchwert_je_Aktie!A$3:AJ$103,15,FALSE),""),"")</f>
        <v>#N/A</v>
      </c>
      <c r="M68" s="79" t="e">
        <f>IF(VLOOKUP(A68,Buchwert_je_Aktie!A$3:AJ$103,16,FALSE)&lt;&gt;"",IF(VLOOKUP(A68,Schlußkurse!A$5:AU$105,45,FALSE)&gt;0,VLOOKUP(A68,Schlußkurse!A$5:AU$105,45,FALSE)/VLOOKUP(A68,Buchwert_je_Aktie!A$3:AJ$103,16,FALSE),""),"")</f>
        <v>#N/A</v>
      </c>
      <c r="N68" s="79" t="e">
        <f>IF(VLOOKUP(A68,Buchwert_je_Aktie!A$3:AJ$103,17,FALSE)&lt;&gt;"",IF(VLOOKUP(A68,Schlußkurse!A$5:AU$105,46,FALSE)&gt;0,VLOOKUP(A68,Schlußkurse!A$5:AU$105,46,FALSE)/VLOOKUP(A68,Buchwert_je_Aktie!A$3:AJ$103,17,FALSE),""),"")</f>
        <v>#N/A</v>
      </c>
      <c r="O68" s="80" t="e">
        <f>IF(VLOOKUP(A68,Buchwert_je_Aktie!A$3:AJ$103,18,FALSE)&lt;&gt;"",IF(VLOOKUP(A68,Schlußkurse!A$5:AU$105,47,FALSE)&gt;0,VLOOKUP(A68,Schlußkurse!A$5:AU$105,47,FALSE)/VLOOKUP(A68,Buchwert_je_Aktie!A$3:AJ$103,18,FALSE),""),"")</f>
        <v>#N/A</v>
      </c>
      <c r="P68" s="3" t="e">
        <f t="shared" si="0"/>
        <v>#N/A</v>
      </c>
      <c r="Q68" s="3" t="e">
        <f>VLOOKUP(A68,Schlußkurse!A$5:AU$105,35,FALSE)/VLOOKUP(A68,Buchwert_je_Aktie!A$3:AK$103,23,FALSE)</f>
        <v>#N/A</v>
      </c>
      <c r="R68" s="5" t="e">
        <f t="shared" si="1"/>
        <v>#N/A</v>
      </c>
    </row>
    <row r="69" spans="1:18" x14ac:dyDescent="0.25">
      <c r="C69" s="78" t="e">
        <f>IF(VLOOKUP(A69,Buchwert_je_Aktie!A$3:AJ$103,6,FALSE)&lt;&gt;"",IF(VLOOKUP(A69,Schlußkurse!A$5:AU$105,35,FALSE)&gt;0,VLOOKUP(A69,Schlußkurse!A$5:AU$105,35,FALSE) /VLOOKUP(A69,Buchwert_je_Aktie!A$3:AJ$103,6,FALSE),""),"")</f>
        <v>#N/A</v>
      </c>
      <c r="D69" s="79" t="e">
        <f>IF(VLOOKUP(A69,Buchwert_je_Aktie!A$3:AJ$103,7,FALSE)&lt;&gt;"",IF(VLOOKUP(A69,Schlußkurse!A$5:AU$105,36,FALSE)&gt;0,VLOOKUP(A69,Schlußkurse!A$5:AU$105,36,FALSE)/VLOOKUP(A69,Buchwert_je_Aktie!A$3:AJ$103,7,FALSE),""),"")</f>
        <v>#N/A</v>
      </c>
      <c r="E69" s="79" t="e">
        <f>IF(VLOOKUP(A69,Buchwert_je_Aktie!A$3:AJ$103,8,FALSE)&lt;&gt;"",IF(VLOOKUP(A69,Schlußkurse!A$5:AU$105,37,FALSE)&gt;0,VLOOKUP(A69,Schlußkurse!A$5:AU$105,37,FALSE)/VLOOKUP(A69,Buchwert_je_Aktie!A$3:AJ$103,8,FALSE),""),"")</f>
        <v>#N/A</v>
      </c>
      <c r="F69" s="79" t="e">
        <f>IF(VLOOKUP(A69,Buchwert_je_Aktie!A$3:AJ$103,9,FALSE)&lt;&gt;"",IF(VLOOKUP(A69,Schlußkurse!A$5:AU$105,38,FALSE)&gt;0,VLOOKUP(A69,Schlußkurse!A$5:AU$105,38,FALSE)/VLOOKUP(A69,Buchwert_je_Aktie!A$3:AJ$103,9,FALSE),""),"")</f>
        <v>#N/A</v>
      </c>
      <c r="G69" s="79" t="e">
        <f>IF(VLOOKUP(A69,Buchwert_je_Aktie!A$3:AJ$103,10,FALSE)&lt;&gt;"",IF(VLOOKUP(A69,Schlußkurse!A$5:AU$105,39,FALSE)&gt;0,VLOOKUP(A69,Schlußkurse!A$5:AU$105,39,FALSE)/VLOOKUP(A69,Buchwert_je_Aktie!A$3:AJ$103,10,FALSE),""),"")</f>
        <v>#N/A</v>
      </c>
      <c r="H69" s="79" t="e">
        <f>IF(VLOOKUP(A69,Buchwert_je_Aktie!A$3:AJ$103,11,FALSE)&lt;&gt;"",IF(VLOOKUP(A69,Schlußkurse!A$5:AU$105,40,FALSE)&gt;0,VLOOKUP(A69,Schlußkurse!A$5:AU$105,40,FALSE)/VLOOKUP(A69,Buchwert_je_Aktie!A$3:AJ$103,11,FALSE),""),"")</f>
        <v>#N/A</v>
      </c>
      <c r="I69" s="79" t="e">
        <f>IF(VLOOKUP(A69,Buchwert_je_Aktie!A$3:AJ$103,12,FALSE)&lt;&gt;"",IF(VLOOKUP(A69,Schlußkurse!A$5:AU$105,41,FALSE)&gt;0,VLOOKUP(A69,Schlußkurse!A$5:AU$105,41,FALSE)/VLOOKUP(A69,Buchwert_je_Aktie!A$3:AJ$103,12,FALSE),""),"")</f>
        <v>#N/A</v>
      </c>
      <c r="J69" s="79" t="e">
        <f>IF(VLOOKUP(A69,Buchwert_je_Aktie!A$3:AJ$103,13,FALSE)&lt;&gt;"",IF(VLOOKUP(A69,Schlußkurse!A$5:AU$105,42,FALSE)&gt;0,VLOOKUP(A69,Schlußkurse!A$5:AU$105,42,FALSE)/VLOOKUP(A69,Buchwert_je_Aktie!A$3:AJ$103,13,FALSE),""),"")</f>
        <v>#N/A</v>
      </c>
      <c r="K69" s="79" t="e">
        <f>IF(VLOOKUP(A69,Buchwert_je_Aktie!A$3:AJ$103,14,FALSE)&lt;&gt;"",IF(VLOOKUP(A69,Schlußkurse!A$5:AU$105,43,FALSE)&gt;0,VLOOKUP(A69,Schlußkurse!A$5:AU$105,43,FALSE)/VLOOKUP(A69,Buchwert_je_Aktie!A$3:AJ$103,14,FALSE),""),"")</f>
        <v>#N/A</v>
      </c>
      <c r="L69" s="79" t="e">
        <f>IF(VLOOKUP(A69,Buchwert_je_Aktie!A$3:AJ$103,15,FALSE)&lt;&gt;"",IF(VLOOKUP(A69,Schlußkurse!A$5:AU$105,44,FALSE)&gt;0,VLOOKUP(A69,Schlußkurse!A$5:AU$105,44,FALSE)/VLOOKUP(A69,Buchwert_je_Aktie!A$3:AJ$103,15,FALSE),""),"")</f>
        <v>#N/A</v>
      </c>
      <c r="M69" s="79" t="e">
        <f>IF(VLOOKUP(A69,Buchwert_je_Aktie!A$3:AJ$103,16,FALSE)&lt;&gt;"",IF(VLOOKUP(A69,Schlußkurse!A$5:AU$105,45,FALSE)&gt;0,VLOOKUP(A69,Schlußkurse!A$5:AU$105,45,FALSE)/VLOOKUP(A69,Buchwert_je_Aktie!A$3:AJ$103,16,FALSE),""),"")</f>
        <v>#N/A</v>
      </c>
      <c r="N69" s="79" t="e">
        <f>IF(VLOOKUP(A69,Buchwert_je_Aktie!A$3:AJ$103,17,FALSE)&lt;&gt;"",IF(VLOOKUP(A69,Schlußkurse!A$5:AU$105,46,FALSE)&gt;0,VLOOKUP(A69,Schlußkurse!A$5:AU$105,46,FALSE)/VLOOKUP(A69,Buchwert_je_Aktie!A$3:AJ$103,17,FALSE),""),"")</f>
        <v>#N/A</v>
      </c>
      <c r="O69" s="80" t="e">
        <f>IF(VLOOKUP(A69,Buchwert_je_Aktie!A$3:AJ$103,18,FALSE)&lt;&gt;"",IF(VLOOKUP(A69,Schlußkurse!A$5:AU$105,47,FALSE)&gt;0,VLOOKUP(A69,Schlußkurse!A$5:AU$105,47,FALSE)/VLOOKUP(A69,Buchwert_je_Aktie!A$3:AJ$103,18,FALSE),""),"")</f>
        <v>#N/A</v>
      </c>
      <c r="P69" s="3" t="e">
        <f t="shared" ref="P69:P103" si="2">MEDIAN(C69:O69)</f>
        <v>#N/A</v>
      </c>
      <c r="Q69" s="3" t="e">
        <f>VLOOKUP(A69,Schlußkurse!A$5:AU$105,35,FALSE)/VLOOKUP(A69,Buchwert_je_Aktie!A$3:AK$103,23,FALSE)</f>
        <v>#N/A</v>
      </c>
      <c r="R69" s="5" t="e">
        <f t="shared" ref="R69:R103" si="3">IF(Q69&lt;0,IF(P69&lt;0,((Q69/P69)-1)*-1,(Q69/P69)-1),IF(P69&lt;0,ABS((Q69/P69)-1),(Q69/P69)-1))</f>
        <v>#N/A</v>
      </c>
    </row>
    <row r="70" spans="1:18" x14ac:dyDescent="0.25">
      <c r="C70" s="78" t="e">
        <f>IF(VLOOKUP(A70,Buchwert_je_Aktie!A$3:AJ$103,6,FALSE)&lt;&gt;"",IF(VLOOKUP(A70,Schlußkurse!A$5:AU$105,35,FALSE)&gt;0,VLOOKUP(A70,Schlußkurse!A$5:AU$105,35,FALSE) /VLOOKUP(A70,Buchwert_je_Aktie!A$3:AJ$103,6,FALSE),""),"")</f>
        <v>#N/A</v>
      </c>
      <c r="D70" s="79" t="e">
        <f>IF(VLOOKUP(A70,Buchwert_je_Aktie!A$3:AJ$103,7,FALSE)&lt;&gt;"",IF(VLOOKUP(A70,Schlußkurse!A$5:AU$105,36,FALSE)&gt;0,VLOOKUP(A70,Schlußkurse!A$5:AU$105,36,FALSE)/VLOOKUP(A70,Buchwert_je_Aktie!A$3:AJ$103,7,FALSE),""),"")</f>
        <v>#N/A</v>
      </c>
      <c r="E70" s="79" t="e">
        <f>IF(VLOOKUP(A70,Buchwert_je_Aktie!A$3:AJ$103,8,FALSE)&lt;&gt;"",IF(VLOOKUP(A70,Schlußkurse!A$5:AU$105,37,FALSE)&gt;0,VLOOKUP(A70,Schlußkurse!A$5:AU$105,37,FALSE)/VLOOKUP(A70,Buchwert_je_Aktie!A$3:AJ$103,8,FALSE),""),"")</f>
        <v>#N/A</v>
      </c>
      <c r="F70" s="79" t="e">
        <f>IF(VLOOKUP(A70,Buchwert_je_Aktie!A$3:AJ$103,9,FALSE)&lt;&gt;"",IF(VLOOKUP(A70,Schlußkurse!A$5:AU$105,38,FALSE)&gt;0,VLOOKUP(A70,Schlußkurse!A$5:AU$105,38,FALSE)/VLOOKUP(A70,Buchwert_je_Aktie!A$3:AJ$103,9,FALSE),""),"")</f>
        <v>#N/A</v>
      </c>
      <c r="G70" s="79" t="e">
        <f>IF(VLOOKUP(A70,Buchwert_je_Aktie!A$3:AJ$103,10,FALSE)&lt;&gt;"",IF(VLOOKUP(A70,Schlußkurse!A$5:AU$105,39,FALSE)&gt;0,VLOOKUP(A70,Schlußkurse!A$5:AU$105,39,FALSE)/VLOOKUP(A70,Buchwert_je_Aktie!A$3:AJ$103,10,FALSE),""),"")</f>
        <v>#N/A</v>
      </c>
      <c r="H70" s="79" t="e">
        <f>IF(VLOOKUP(A70,Buchwert_je_Aktie!A$3:AJ$103,11,FALSE)&lt;&gt;"",IF(VLOOKUP(A70,Schlußkurse!A$5:AU$105,40,FALSE)&gt;0,VLOOKUP(A70,Schlußkurse!A$5:AU$105,40,FALSE)/VLOOKUP(A70,Buchwert_je_Aktie!A$3:AJ$103,11,FALSE),""),"")</f>
        <v>#N/A</v>
      </c>
      <c r="I70" s="79" t="e">
        <f>IF(VLOOKUP(A70,Buchwert_je_Aktie!A$3:AJ$103,12,FALSE)&lt;&gt;"",IF(VLOOKUP(A70,Schlußkurse!A$5:AU$105,41,FALSE)&gt;0,VLOOKUP(A70,Schlußkurse!A$5:AU$105,41,FALSE)/VLOOKUP(A70,Buchwert_je_Aktie!A$3:AJ$103,12,FALSE),""),"")</f>
        <v>#N/A</v>
      </c>
      <c r="J70" s="79" t="e">
        <f>IF(VLOOKUP(A70,Buchwert_je_Aktie!A$3:AJ$103,13,FALSE)&lt;&gt;"",IF(VLOOKUP(A70,Schlußkurse!A$5:AU$105,42,FALSE)&gt;0,VLOOKUP(A70,Schlußkurse!A$5:AU$105,42,FALSE)/VLOOKUP(A70,Buchwert_je_Aktie!A$3:AJ$103,13,FALSE),""),"")</f>
        <v>#N/A</v>
      </c>
      <c r="K70" s="79" t="e">
        <f>IF(VLOOKUP(A70,Buchwert_je_Aktie!A$3:AJ$103,14,FALSE)&lt;&gt;"",IF(VLOOKUP(A70,Schlußkurse!A$5:AU$105,43,FALSE)&gt;0,VLOOKUP(A70,Schlußkurse!A$5:AU$105,43,FALSE)/VLOOKUP(A70,Buchwert_je_Aktie!A$3:AJ$103,14,FALSE),""),"")</f>
        <v>#N/A</v>
      </c>
      <c r="L70" s="79" t="e">
        <f>IF(VLOOKUP(A70,Buchwert_je_Aktie!A$3:AJ$103,15,FALSE)&lt;&gt;"",IF(VLOOKUP(A70,Schlußkurse!A$5:AU$105,44,FALSE)&gt;0,VLOOKUP(A70,Schlußkurse!A$5:AU$105,44,FALSE)/VLOOKUP(A70,Buchwert_je_Aktie!A$3:AJ$103,15,FALSE),""),"")</f>
        <v>#N/A</v>
      </c>
      <c r="M70" s="79" t="e">
        <f>IF(VLOOKUP(A70,Buchwert_je_Aktie!A$3:AJ$103,16,FALSE)&lt;&gt;"",IF(VLOOKUP(A70,Schlußkurse!A$5:AU$105,45,FALSE)&gt;0,VLOOKUP(A70,Schlußkurse!A$5:AU$105,45,FALSE)/VLOOKUP(A70,Buchwert_je_Aktie!A$3:AJ$103,16,FALSE),""),"")</f>
        <v>#N/A</v>
      </c>
      <c r="N70" s="79" t="e">
        <f>IF(VLOOKUP(A70,Buchwert_je_Aktie!A$3:AJ$103,17,FALSE)&lt;&gt;"",IF(VLOOKUP(A70,Schlußkurse!A$5:AU$105,46,FALSE)&gt;0,VLOOKUP(A70,Schlußkurse!A$5:AU$105,46,FALSE)/VLOOKUP(A70,Buchwert_je_Aktie!A$3:AJ$103,17,FALSE),""),"")</f>
        <v>#N/A</v>
      </c>
      <c r="O70" s="80" t="e">
        <f>IF(VLOOKUP(A70,Buchwert_je_Aktie!A$3:AJ$103,18,FALSE)&lt;&gt;"",IF(VLOOKUP(A70,Schlußkurse!A$5:AU$105,47,FALSE)&gt;0,VLOOKUP(A70,Schlußkurse!A$5:AU$105,47,FALSE)/VLOOKUP(A70,Buchwert_je_Aktie!A$3:AJ$103,18,FALSE),""),"")</f>
        <v>#N/A</v>
      </c>
      <c r="P70" s="3" t="e">
        <f t="shared" si="2"/>
        <v>#N/A</v>
      </c>
      <c r="Q70" s="3" t="e">
        <f>VLOOKUP(A70,Schlußkurse!A$5:AU$105,35,FALSE)/VLOOKUP(A70,Buchwert_je_Aktie!A$3:AK$103,23,FALSE)</f>
        <v>#N/A</v>
      </c>
      <c r="R70" s="5" t="e">
        <f t="shared" si="3"/>
        <v>#N/A</v>
      </c>
    </row>
    <row r="71" spans="1:18" x14ac:dyDescent="0.25">
      <c r="C71" s="78" t="e">
        <f>IF(VLOOKUP(A71,Buchwert_je_Aktie!A$3:AJ$103,6,FALSE)&lt;&gt;"",IF(VLOOKUP(A71,Schlußkurse!A$5:AU$105,35,FALSE)&gt;0,VLOOKUP(A71,Schlußkurse!A$5:AU$105,35,FALSE) /VLOOKUP(A71,Buchwert_je_Aktie!A$3:AJ$103,6,FALSE),""),"")</f>
        <v>#N/A</v>
      </c>
      <c r="D71" s="79" t="e">
        <f>IF(VLOOKUP(A71,Buchwert_je_Aktie!A$3:AJ$103,7,FALSE)&lt;&gt;"",IF(VLOOKUP(A71,Schlußkurse!A$5:AU$105,36,FALSE)&gt;0,VLOOKUP(A71,Schlußkurse!A$5:AU$105,36,FALSE)/VLOOKUP(A71,Buchwert_je_Aktie!A$3:AJ$103,7,FALSE),""),"")</f>
        <v>#N/A</v>
      </c>
      <c r="E71" s="79" t="e">
        <f>IF(VLOOKUP(A71,Buchwert_je_Aktie!A$3:AJ$103,8,FALSE)&lt;&gt;"",IF(VLOOKUP(A71,Schlußkurse!A$5:AU$105,37,FALSE)&gt;0,VLOOKUP(A71,Schlußkurse!A$5:AU$105,37,FALSE)/VLOOKUP(A71,Buchwert_je_Aktie!A$3:AJ$103,8,FALSE),""),"")</f>
        <v>#N/A</v>
      </c>
      <c r="F71" s="79" t="e">
        <f>IF(VLOOKUP(A71,Buchwert_je_Aktie!A$3:AJ$103,9,FALSE)&lt;&gt;"",IF(VLOOKUP(A71,Schlußkurse!A$5:AU$105,38,FALSE)&gt;0,VLOOKUP(A71,Schlußkurse!A$5:AU$105,38,FALSE)/VLOOKUP(A71,Buchwert_je_Aktie!A$3:AJ$103,9,FALSE),""),"")</f>
        <v>#N/A</v>
      </c>
      <c r="G71" s="79" t="e">
        <f>IF(VLOOKUP(A71,Buchwert_je_Aktie!A$3:AJ$103,10,FALSE)&lt;&gt;"",IF(VLOOKUP(A71,Schlußkurse!A$5:AU$105,39,FALSE)&gt;0,VLOOKUP(A71,Schlußkurse!A$5:AU$105,39,FALSE)/VLOOKUP(A71,Buchwert_je_Aktie!A$3:AJ$103,10,FALSE),""),"")</f>
        <v>#N/A</v>
      </c>
      <c r="H71" s="79" t="e">
        <f>IF(VLOOKUP(A71,Buchwert_je_Aktie!A$3:AJ$103,11,FALSE)&lt;&gt;"",IF(VLOOKUP(A71,Schlußkurse!A$5:AU$105,40,FALSE)&gt;0,VLOOKUP(A71,Schlußkurse!A$5:AU$105,40,FALSE)/VLOOKUP(A71,Buchwert_je_Aktie!A$3:AJ$103,11,FALSE),""),"")</f>
        <v>#N/A</v>
      </c>
      <c r="I71" s="79" t="e">
        <f>IF(VLOOKUP(A71,Buchwert_je_Aktie!A$3:AJ$103,12,FALSE)&lt;&gt;"",IF(VLOOKUP(A71,Schlußkurse!A$5:AU$105,41,FALSE)&gt;0,VLOOKUP(A71,Schlußkurse!A$5:AU$105,41,FALSE)/VLOOKUP(A71,Buchwert_je_Aktie!A$3:AJ$103,12,FALSE),""),"")</f>
        <v>#N/A</v>
      </c>
      <c r="J71" s="79" t="e">
        <f>IF(VLOOKUP(A71,Buchwert_je_Aktie!A$3:AJ$103,13,FALSE)&lt;&gt;"",IF(VLOOKUP(A71,Schlußkurse!A$5:AU$105,42,FALSE)&gt;0,VLOOKUP(A71,Schlußkurse!A$5:AU$105,42,FALSE)/VLOOKUP(A71,Buchwert_je_Aktie!A$3:AJ$103,13,FALSE),""),"")</f>
        <v>#N/A</v>
      </c>
      <c r="K71" s="79" t="e">
        <f>IF(VLOOKUP(A71,Buchwert_je_Aktie!A$3:AJ$103,14,FALSE)&lt;&gt;"",IF(VLOOKUP(A71,Schlußkurse!A$5:AU$105,43,FALSE)&gt;0,VLOOKUP(A71,Schlußkurse!A$5:AU$105,43,FALSE)/VLOOKUP(A71,Buchwert_je_Aktie!A$3:AJ$103,14,FALSE),""),"")</f>
        <v>#N/A</v>
      </c>
      <c r="L71" s="79" t="e">
        <f>IF(VLOOKUP(A71,Buchwert_je_Aktie!A$3:AJ$103,15,FALSE)&lt;&gt;"",IF(VLOOKUP(A71,Schlußkurse!A$5:AU$105,44,FALSE)&gt;0,VLOOKUP(A71,Schlußkurse!A$5:AU$105,44,FALSE)/VLOOKUP(A71,Buchwert_je_Aktie!A$3:AJ$103,15,FALSE),""),"")</f>
        <v>#N/A</v>
      </c>
      <c r="M71" s="79" t="e">
        <f>IF(VLOOKUP(A71,Buchwert_je_Aktie!A$3:AJ$103,16,FALSE)&lt;&gt;"",IF(VLOOKUP(A71,Schlußkurse!A$5:AU$105,45,FALSE)&gt;0,VLOOKUP(A71,Schlußkurse!A$5:AU$105,45,FALSE)/VLOOKUP(A71,Buchwert_je_Aktie!A$3:AJ$103,16,FALSE),""),"")</f>
        <v>#N/A</v>
      </c>
      <c r="N71" s="79" t="e">
        <f>IF(VLOOKUP(A71,Buchwert_je_Aktie!A$3:AJ$103,17,FALSE)&lt;&gt;"",IF(VLOOKUP(A71,Schlußkurse!A$5:AU$105,46,FALSE)&gt;0,VLOOKUP(A71,Schlußkurse!A$5:AU$105,46,FALSE)/VLOOKUP(A71,Buchwert_je_Aktie!A$3:AJ$103,17,FALSE),""),"")</f>
        <v>#N/A</v>
      </c>
      <c r="O71" s="80" t="e">
        <f>IF(VLOOKUP(A71,Buchwert_je_Aktie!A$3:AJ$103,18,FALSE)&lt;&gt;"",IF(VLOOKUP(A71,Schlußkurse!A$5:AU$105,47,FALSE)&gt;0,VLOOKUP(A71,Schlußkurse!A$5:AU$105,47,FALSE)/VLOOKUP(A71,Buchwert_je_Aktie!A$3:AJ$103,18,FALSE),""),"")</f>
        <v>#N/A</v>
      </c>
      <c r="P71" s="3" t="e">
        <f t="shared" si="2"/>
        <v>#N/A</v>
      </c>
      <c r="Q71" s="3" t="e">
        <f>VLOOKUP(A71,Schlußkurse!A$5:AU$105,35,FALSE)/VLOOKUP(A71,Buchwert_je_Aktie!A$3:AK$103,23,FALSE)</f>
        <v>#N/A</v>
      </c>
      <c r="R71" s="5" t="e">
        <f t="shared" si="3"/>
        <v>#N/A</v>
      </c>
    </row>
    <row r="72" spans="1:18" x14ac:dyDescent="0.25">
      <c r="C72" s="78" t="e">
        <f>IF(VLOOKUP(A72,Buchwert_je_Aktie!A$3:AJ$103,6,FALSE)&lt;&gt;"",IF(VLOOKUP(A72,Schlußkurse!A$5:AU$105,35,FALSE)&gt;0,VLOOKUP(A72,Schlußkurse!A$5:AU$105,35,FALSE) /VLOOKUP(A72,Buchwert_je_Aktie!A$3:AJ$103,6,FALSE),""),"")</f>
        <v>#N/A</v>
      </c>
      <c r="D72" s="79" t="e">
        <f>IF(VLOOKUP(A72,Buchwert_je_Aktie!A$3:AJ$103,7,FALSE)&lt;&gt;"",IF(VLOOKUP(A72,Schlußkurse!A$5:AU$105,36,FALSE)&gt;0,VLOOKUP(A72,Schlußkurse!A$5:AU$105,36,FALSE)/VLOOKUP(A72,Buchwert_je_Aktie!A$3:AJ$103,7,FALSE),""),"")</f>
        <v>#N/A</v>
      </c>
      <c r="E72" s="79" t="e">
        <f>IF(VLOOKUP(A72,Buchwert_je_Aktie!A$3:AJ$103,8,FALSE)&lt;&gt;"",IF(VLOOKUP(A72,Schlußkurse!A$5:AU$105,37,FALSE)&gt;0,VLOOKUP(A72,Schlußkurse!A$5:AU$105,37,FALSE)/VLOOKUP(A72,Buchwert_je_Aktie!A$3:AJ$103,8,FALSE),""),"")</f>
        <v>#N/A</v>
      </c>
      <c r="F72" s="79" t="e">
        <f>IF(VLOOKUP(A72,Buchwert_je_Aktie!A$3:AJ$103,9,FALSE)&lt;&gt;"",IF(VLOOKUP(A72,Schlußkurse!A$5:AU$105,38,FALSE)&gt;0,VLOOKUP(A72,Schlußkurse!A$5:AU$105,38,FALSE)/VLOOKUP(A72,Buchwert_je_Aktie!A$3:AJ$103,9,FALSE),""),"")</f>
        <v>#N/A</v>
      </c>
      <c r="G72" s="79" t="e">
        <f>IF(VLOOKUP(A72,Buchwert_je_Aktie!A$3:AJ$103,10,FALSE)&lt;&gt;"",IF(VLOOKUP(A72,Schlußkurse!A$5:AU$105,39,FALSE)&gt;0,VLOOKUP(A72,Schlußkurse!A$5:AU$105,39,FALSE)/VLOOKUP(A72,Buchwert_je_Aktie!A$3:AJ$103,10,FALSE),""),"")</f>
        <v>#N/A</v>
      </c>
      <c r="H72" s="79" t="e">
        <f>IF(VLOOKUP(A72,Buchwert_je_Aktie!A$3:AJ$103,11,FALSE)&lt;&gt;"",IF(VLOOKUP(A72,Schlußkurse!A$5:AU$105,40,FALSE)&gt;0,VLOOKUP(A72,Schlußkurse!A$5:AU$105,40,FALSE)/VLOOKUP(A72,Buchwert_je_Aktie!A$3:AJ$103,11,FALSE),""),"")</f>
        <v>#N/A</v>
      </c>
      <c r="I72" s="79" t="e">
        <f>IF(VLOOKUP(A72,Buchwert_je_Aktie!A$3:AJ$103,12,FALSE)&lt;&gt;"",IF(VLOOKUP(A72,Schlußkurse!A$5:AU$105,41,FALSE)&gt;0,VLOOKUP(A72,Schlußkurse!A$5:AU$105,41,FALSE)/VLOOKUP(A72,Buchwert_je_Aktie!A$3:AJ$103,12,FALSE),""),"")</f>
        <v>#N/A</v>
      </c>
      <c r="J72" s="79" t="e">
        <f>IF(VLOOKUP(A72,Buchwert_je_Aktie!A$3:AJ$103,13,FALSE)&lt;&gt;"",IF(VLOOKUP(A72,Schlußkurse!A$5:AU$105,42,FALSE)&gt;0,VLOOKUP(A72,Schlußkurse!A$5:AU$105,42,FALSE)/VLOOKUP(A72,Buchwert_je_Aktie!A$3:AJ$103,13,FALSE),""),"")</f>
        <v>#N/A</v>
      </c>
      <c r="K72" s="79" t="e">
        <f>IF(VLOOKUP(A72,Buchwert_je_Aktie!A$3:AJ$103,14,FALSE)&lt;&gt;"",IF(VLOOKUP(A72,Schlußkurse!A$5:AU$105,43,FALSE)&gt;0,VLOOKUP(A72,Schlußkurse!A$5:AU$105,43,FALSE)/VLOOKUP(A72,Buchwert_je_Aktie!A$3:AJ$103,14,FALSE),""),"")</f>
        <v>#N/A</v>
      </c>
      <c r="L72" s="79" t="e">
        <f>IF(VLOOKUP(A72,Buchwert_je_Aktie!A$3:AJ$103,15,FALSE)&lt;&gt;"",IF(VLOOKUP(A72,Schlußkurse!A$5:AU$105,44,FALSE)&gt;0,VLOOKUP(A72,Schlußkurse!A$5:AU$105,44,FALSE)/VLOOKUP(A72,Buchwert_je_Aktie!A$3:AJ$103,15,FALSE),""),"")</f>
        <v>#N/A</v>
      </c>
      <c r="M72" s="79" t="e">
        <f>IF(VLOOKUP(A72,Buchwert_je_Aktie!A$3:AJ$103,16,FALSE)&lt;&gt;"",IF(VLOOKUP(A72,Schlußkurse!A$5:AU$105,45,FALSE)&gt;0,VLOOKUP(A72,Schlußkurse!A$5:AU$105,45,FALSE)/VLOOKUP(A72,Buchwert_je_Aktie!A$3:AJ$103,16,FALSE),""),"")</f>
        <v>#N/A</v>
      </c>
      <c r="N72" s="79" t="e">
        <f>IF(VLOOKUP(A72,Buchwert_je_Aktie!A$3:AJ$103,17,FALSE)&lt;&gt;"",IF(VLOOKUP(A72,Schlußkurse!A$5:AU$105,46,FALSE)&gt;0,VLOOKUP(A72,Schlußkurse!A$5:AU$105,46,FALSE)/VLOOKUP(A72,Buchwert_je_Aktie!A$3:AJ$103,17,FALSE),""),"")</f>
        <v>#N/A</v>
      </c>
      <c r="O72" s="80" t="e">
        <f>IF(VLOOKUP(A72,Buchwert_je_Aktie!A$3:AJ$103,18,FALSE)&lt;&gt;"",IF(VLOOKUP(A72,Schlußkurse!A$5:AU$105,47,FALSE)&gt;0,VLOOKUP(A72,Schlußkurse!A$5:AU$105,47,FALSE)/VLOOKUP(A72,Buchwert_je_Aktie!A$3:AJ$103,18,FALSE),""),"")</f>
        <v>#N/A</v>
      </c>
      <c r="P72" s="3" t="e">
        <f t="shared" si="2"/>
        <v>#N/A</v>
      </c>
      <c r="Q72" s="3" t="e">
        <f>VLOOKUP(A72,Schlußkurse!A$5:AU$105,35,FALSE)/VLOOKUP(A72,Buchwert_je_Aktie!A$3:AK$103,23,FALSE)</f>
        <v>#N/A</v>
      </c>
      <c r="R72" s="5" t="e">
        <f t="shared" si="3"/>
        <v>#N/A</v>
      </c>
    </row>
    <row r="73" spans="1:18" x14ac:dyDescent="0.25">
      <c r="C73" s="78" t="e">
        <f>IF(VLOOKUP(A73,Buchwert_je_Aktie!A$3:AJ$103,6,FALSE)&lt;&gt;"",IF(VLOOKUP(A73,Schlußkurse!A$5:AU$105,35,FALSE)&gt;0,VLOOKUP(A73,Schlußkurse!A$5:AU$105,35,FALSE) /VLOOKUP(A73,Buchwert_je_Aktie!A$3:AJ$103,6,FALSE),""),"")</f>
        <v>#N/A</v>
      </c>
      <c r="D73" s="79" t="e">
        <f>IF(VLOOKUP(A73,Buchwert_je_Aktie!A$3:AJ$103,7,FALSE)&lt;&gt;"",IF(VLOOKUP(A73,Schlußkurse!A$5:AU$105,36,FALSE)&gt;0,VLOOKUP(A73,Schlußkurse!A$5:AU$105,36,FALSE)/VLOOKUP(A73,Buchwert_je_Aktie!A$3:AJ$103,7,FALSE),""),"")</f>
        <v>#N/A</v>
      </c>
      <c r="E73" s="79" t="e">
        <f>IF(VLOOKUP(A73,Buchwert_je_Aktie!A$3:AJ$103,8,FALSE)&lt;&gt;"",IF(VLOOKUP(A73,Schlußkurse!A$5:AU$105,37,FALSE)&gt;0,VLOOKUP(A73,Schlußkurse!A$5:AU$105,37,FALSE)/VLOOKUP(A73,Buchwert_je_Aktie!A$3:AJ$103,8,FALSE),""),"")</f>
        <v>#N/A</v>
      </c>
      <c r="F73" s="79" t="e">
        <f>IF(VLOOKUP(A73,Buchwert_je_Aktie!A$3:AJ$103,9,FALSE)&lt;&gt;"",IF(VLOOKUP(A73,Schlußkurse!A$5:AU$105,38,FALSE)&gt;0,VLOOKUP(A73,Schlußkurse!A$5:AU$105,38,FALSE)/VLOOKUP(A73,Buchwert_je_Aktie!A$3:AJ$103,9,FALSE),""),"")</f>
        <v>#N/A</v>
      </c>
      <c r="G73" s="79" t="e">
        <f>IF(VLOOKUP(A73,Buchwert_je_Aktie!A$3:AJ$103,10,FALSE)&lt;&gt;"",IF(VLOOKUP(A73,Schlußkurse!A$5:AU$105,39,FALSE)&gt;0,VLOOKUP(A73,Schlußkurse!A$5:AU$105,39,FALSE)/VLOOKUP(A73,Buchwert_je_Aktie!A$3:AJ$103,10,FALSE),""),"")</f>
        <v>#N/A</v>
      </c>
      <c r="H73" s="79" t="e">
        <f>IF(VLOOKUP(A73,Buchwert_je_Aktie!A$3:AJ$103,11,FALSE)&lt;&gt;"",IF(VLOOKUP(A73,Schlußkurse!A$5:AU$105,40,FALSE)&gt;0,VLOOKUP(A73,Schlußkurse!A$5:AU$105,40,FALSE)/VLOOKUP(A73,Buchwert_je_Aktie!A$3:AJ$103,11,FALSE),""),"")</f>
        <v>#N/A</v>
      </c>
      <c r="I73" s="79" t="e">
        <f>IF(VLOOKUP(A73,Buchwert_je_Aktie!A$3:AJ$103,12,FALSE)&lt;&gt;"",IF(VLOOKUP(A73,Schlußkurse!A$5:AU$105,41,FALSE)&gt;0,VLOOKUP(A73,Schlußkurse!A$5:AU$105,41,FALSE)/VLOOKUP(A73,Buchwert_je_Aktie!A$3:AJ$103,12,FALSE),""),"")</f>
        <v>#N/A</v>
      </c>
      <c r="J73" s="79" t="e">
        <f>IF(VLOOKUP(A73,Buchwert_je_Aktie!A$3:AJ$103,13,FALSE)&lt;&gt;"",IF(VLOOKUP(A73,Schlußkurse!A$5:AU$105,42,FALSE)&gt;0,VLOOKUP(A73,Schlußkurse!A$5:AU$105,42,FALSE)/VLOOKUP(A73,Buchwert_je_Aktie!A$3:AJ$103,13,FALSE),""),"")</f>
        <v>#N/A</v>
      </c>
      <c r="K73" s="79" t="e">
        <f>IF(VLOOKUP(A73,Buchwert_je_Aktie!A$3:AJ$103,14,FALSE)&lt;&gt;"",IF(VLOOKUP(A73,Schlußkurse!A$5:AU$105,43,FALSE)&gt;0,VLOOKUP(A73,Schlußkurse!A$5:AU$105,43,FALSE)/VLOOKUP(A73,Buchwert_je_Aktie!A$3:AJ$103,14,FALSE),""),"")</f>
        <v>#N/A</v>
      </c>
      <c r="L73" s="79" t="e">
        <f>IF(VLOOKUP(A73,Buchwert_je_Aktie!A$3:AJ$103,15,FALSE)&lt;&gt;"",IF(VLOOKUP(A73,Schlußkurse!A$5:AU$105,44,FALSE)&gt;0,VLOOKUP(A73,Schlußkurse!A$5:AU$105,44,FALSE)/VLOOKUP(A73,Buchwert_je_Aktie!A$3:AJ$103,15,FALSE),""),"")</f>
        <v>#N/A</v>
      </c>
      <c r="M73" s="79" t="e">
        <f>IF(VLOOKUP(A73,Buchwert_je_Aktie!A$3:AJ$103,16,FALSE)&lt;&gt;"",IF(VLOOKUP(A73,Schlußkurse!A$5:AU$105,45,FALSE)&gt;0,VLOOKUP(A73,Schlußkurse!A$5:AU$105,45,FALSE)/VLOOKUP(A73,Buchwert_je_Aktie!A$3:AJ$103,16,FALSE),""),"")</f>
        <v>#N/A</v>
      </c>
      <c r="N73" s="79" t="e">
        <f>IF(VLOOKUP(A73,Buchwert_je_Aktie!A$3:AJ$103,17,FALSE)&lt;&gt;"",IF(VLOOKUP(A73,Schlußkurse!A$5:AU$105,46,FALSE)&gt;0,VLOOKUP(A73,Schlußkurse!A$5:AU$105,46,FALSE)/VLOOKUP(A73,Buchwert_je_Aktie!A$3:AJ$103,17,FALSE),""),"")</f>
        <v>#N/A</v>
      </c>
      <c r="O73" s="80" t="e">
        <f>IF(VLOOKUP(A73,Buchwert_je_Aktie!A$3:AJ$103,18,FALSE)&lt;&gt;"",IF(VLOOKUP(A73,Schlußkurse!A$5:AU$105,47,FALSE)&gt;0,VLOOKUP(A73,Schlußkurse!A$5:AU$105,47,FALSE)/VLOOKUP(A73,Buchwert_je_Aktie!A$3:AJ$103,18,FALSE),""),"")</f>
        <v>#N/A</v>
      </c>
      <c r="P73" s="3" t="e">
        <f t="shared" si="2"/>
        <v>#N/A</v>
      </c>
      <c r="Q73" s="3" t="e">
        <f>VLOOKUP(A73,Schlußkurse!A$5:AU$105,35,FALSE)/VLOOKUP(A73,Buchwert_je_Aktie!A$3:AK$103,23,FALSE)</f>
        <v>#N/A</v>
      </c>
      <c r="R73" s="5" t="e">
        <f t="shared" si="3"/>
        <v>#N/A</v>
      </c>
    </row>
    <row r="74" spans="1:18" x14ac:dyDescent="0.25">
      <c r="C74" s="78" t="e">
        <f>IF(VLOOKUP(A74,Buchwert_je_Aktie!A$3:AJ$103,6,FALSE)&lt;&gt;"",IF(VLOOKUP(A74,Schlußkurse!A$5:AU$105,35,FALSE)&gt;0,VLOOKUP(A74,Schlußkurse!A$5:AU$105,35,FALSE) /VLOOKUP(A74,Buchwert_je_Aktie!A$3:AJ$103,6,FALSE),""),"")</f>
        <v>#N/A</v>
      </c>
      <c r="D74" s="79" t="e">
        <f>IF(VLOOKUP(A74,Buchwert_je_Aktie!A$3:AJ$103,7,FALSE)&lt;&gt;"",IF(VLOOKUP(A74,Schlußkurse!A$5:AU$105,36,FALSE)&gt;0,VLOOKUP(A74,Schlußkurse!A$5:AU$105,36,FALSE)/VLOOKUP(A74,Buchwert_je_Aktie!A$3:AJ$103,7,FALSE),""),"")</f>
        <v>#N/A</v>
      </c>
      <c r="E74" s="79" t="e">
        <f>IF(VLOOKUP(A74,Buchwert_je_Aktie!A$3:AJ$103,8,FALSE)&lt;&gt;"",IF(VLOOKUP(A74,Schlußkurse!A$5:AU$105,37,FALSE)&gt;0,VLOOKUP(A74,Schlußkurse!A$5:AU$105,37,FALSE)/VLOOKUP(A74,Buchwert_je_Aktie!A$3:AJ$103,8,FALSE),""),"")</f>
        <v>#N/A</v>
      </c>
      <c r="F74" s="79" t="e">
        <f>IF(VLOOKUP(A74,Buchwert_je_Aktie!A$3:AJ$103,9,FALSE)&lt;&gt;"",IF(VLOOKUP(A74,Schlußkurse!A$5:AU$105,38,FALSE)&gt;0,VLOOKUP(A74,Schlußkurse!A$5:AU$105,38,FALSE)/VLOOKUP(A74,Buchwert_je_Aktie!A$3:AJ$103,9,FALSE),""),"")</f>
        <v>#N/A</v>
      </c>
      <c r="G74" s="79" t="e">
        <f>IF(VLOOKUP(A74,Buchwert_je_Aktie!A$3:AJ$103,10,FALSE)&lt;&gt;"",IF(VLOOKUP(A74,Schlußkurse!A$5:AU$105,39,FALSE)&gt;0,VLOOKUP(A74,Schlußkurse!A$5:AU$105,39,FALSE)/VLOOKUP(A74,Buchwert_je_Aktie!A$3:AJ$103,10,FALSE),""),"")</f>
        <v>#N/A</v>
      </c>
      <c r="H74" s="79" t="e">
        <f>IF(VLOOKUP(A74,Buchwert_je_Aktie!A$3:AJ$103,11,FALSE)&lt;&gt;"",IF(VLOOKUP(A74,Schlußkurse!A$5:AU$105,40,FALSE)&gt;0,VLOOKUP(A74,Schlußkurse!A$5:AU$105,40,FALSE)/VLOOKUP(A74,Buchwert_je_Aktie!A$3:AJ$103,11,FALSE),""),"")</f>
        <v>#N/A</v>
      </c>
      <c r="I74" s="79" t="e">
        <f>IF(VLOOKUP(A74,Buchwert_je_Aktie!A$3:AJ$103,12,FALSE)&lt;&gt;"",IF(VLOOKUP(A74,Schlußkurse!A$5:AU$105,41,FALSE)&gt;0,VLOOKUP(A74,Schlußkurse!A$5:AU$105,41,FALSE)/VLOOKUP(A74,Buchwert_je_Aktie!A$3:AJ$103,12,FALSE),""),"")</f>
        <v>#N/A</v>
      </c>
      <c r="J74" s="79" t="e">
        <f>IF(VLOOKUP(A74,Buchwert_je_Aktie!A$3:AJ$103,13,FALSE)&lt;&gt;"",IF(VLOOKUP(A74,Schlußkurse!A$5:AU$105,42,FALSE)&gt;0,VLOOKUP(A74,Schlußkurse!A$5:AU$105,42,FALSE)/VLOOKUP(A74,Buchwert_je_Aktie!A$3:AJ$103,13,FALSE),""),"")</f>
        <v>#N/A</v>
      </c>
      <c r="K74" s="79" t="e">
        <f>IF(VLOOKUP(A74,Buchwert_je_Aktie!A$3:AJ$103,14,FALSE)&lt;&gt;"",IF(VLOOKUP(A74,Schlußkurse!A$5:AU$105,43,FALSE)&gt;0,VLOOKUP(A74,Schlußkurse!A$5:AU$105,43,FALSE)/VLOOKUP(A74,Buchwert_je_Aktie!A$3:AJ$103,14,FALSE),""),"")</f>
        <v>#N/A</v>
      </c>
      <c r="L74" s="79" t="e">
        <f>IF(VLOOKUP(A74,Buchwert_je_Aktie!A$3:AJ$103,15,FALSE)&lt;&gt;"",IF(VLOOKUP(A74,Schlußkurse!A$5:AU$105,44,FALSE)&gt;0,VLOOKUP(A74,Schlußkurse!A$5:AU$105,44,FALSE)/VLOOKUP(A74,Buchwert_je_Aktie!A$3:AJ$103,15,FALSE),""),"")</f>
        <v>#N/A</v>
      </c>
      <c r="M74" s="79" t="e">
        <f>IF(VLOOKUP(A74,Buchwert_je_Aktie!A$3:AJ$103,16,FALSE)&lt;&gt;"",IF(VLOOKUP(A74,Schlußkurse!A$5:AU$105,45,FALSE)&gt;0,VLOOKUP(A74,Schlußkurse!A$5:AU$105,45,FALSE)/VLOOKUP(A74,Buchwert_je_Aktie!A$3:AJ$103,16,FALSE),""),"")</f>
        <v>#N/A</v>
      </c>
      <c r="N74" s="79" t="e">
        <f>IF(VLOOKUP(A74,Buchwert_je_Aktie!A$3:AJ$103,17,FALSE)&lt;&gt;"",IF(VLOOKUP(A74,Schlußkurse!A$5:AU$105,46,FALSE)&gt;0,VLOOKUP(A74,Schlußkurse!A$5:AU$105,46,FALSE)/VLOOKUP(A74,Buchwert_je_Aktie!A$3:AJ$103,17,FALSE),""),"")</f>
        <v>#N/A</v>
      </c>
      <c r="O74" s="80" t="e">
        <f>IF(VLOOKUP(A74,Buchwert_je_Aktie!A$3:AJ$103,18,FALSE)&lt;&gt;"",IF(VLOOKUP(A74,Schlußkurse!A$5:AU$105,47,FALSE)&gt;0,VLOOKUP(A74,Schlußkurse!A$5:AU$105,47,FALSE)/VLOOKUP(A74,Buchwert_je_Aktie!A$3:AJ$103,18,FALSE),""),"")</f>
        <v>#N/A</v>
      </c>
      <c r="P74" s="3" t="e">
        <f t="shared" si="2"/>
        <v>#N/A</v>
      </c>
      <c r="Q74" s="3" t="e">
        <f>VLOOKUP(A74,Schlußkurse!A$5:AU$105,35,FALSE)/VLOOKUP(A74,Buchwert_je_Aktie!A$3:AK$103,23,FALSE)</f>
        <v>#N/A</v>
      </c>
      <c r="R74" s="5" t="e">
        <f t="shared" si="3"/>
        <v>#N/A</v>
      </c>
    </row>
    <row r="75" spans="1:18" x14ac:dyDescent="0.25">
      <c r="C75" s="78" t="e">
        <f>IF(VLOOKUP(A75,Buchwert_je_Aktie!A$3:AJ$103,6,FALSE)&lt;&gt;"",IF(VLOOKUP(A75,Schlußkurse!A$5:AU$105,35,FALSE)&gt;0,VLOOKUP(A75,Schlußkurse!A$5:AU$105,35,FALSE) /VLOOKUP(A75,Buchwert_je_Aktie!A$3:AJ$103,6,FALSE),""),"")</f>
        <v>#N/A</v>
      </c>
      <c r="D75" s="79" t="e">
        <f>IF(VLOOKUP(A75,Buchwert_je_Aktie!A$3:AJ$103,7,FALSE)&lt;&gt;"",IF(VLOOKUP(A75,Schlußkurse!A$5:AU$105,36,FALSE)&gt;0,VLOOKUP(A75,Schlußkurse!A$5:AU$105,36,FALSE)/VLOOKUP(A75,Buchwert_je_Aktie!A$3:AJ$103,7,FALSE),""),"")</f>
        <v>#N/A</v>
      </c>
      <c r="E75" s="79" t="e">
        <f>IF(VLOOKUP(A75,Buchwert_je_Aktie!A$3:AJ$103,8,FALSE)&lt;&gt;"",IF(VLOOKUP(A75,Schlußkurse!A$5:AU$105,37,FALSE)&gt;0,VLOOKUP(A75,Schlußkurse!A$5:AU$105,37,FALSE)/VLOOKUP(A75,Buchwert_je_Aktie!A$3:AJ$103,8,FALSE),""),"")</f>
        <v>#N/A</v>
      </c>
      <c r="F75" s="79" t="e">
        <f>IF(VLOOKUP(A75,Buchwert_je_Aktie!A$3:AJ$103,9,FALSE)&lt;&gt;"",IF(VLOOKUP(A75,Schlußkurse!A$5:AU$105,38,FALSE)&gt;0,VLOOKUP(A75,Schlußkurse!A$5:AU$105,38,FALSE)/VLOOKUP(A75,Buchwert_je_Aktie!A$3:AJ$103,9,FALSE),""),"")</f>
        <v>#N/A</v>
      </c>
      <c r="G75" s="79" t="e">
        <f>IF(VLOOKUP(A75,Buchwert_je_Aktie!A$3:AJ$103,10,FALSE)&lt;&gt;"",IF(VLOOKUP(A75,Schlußkurse!A$5:AU$105,39,FALSE)&gt;0,VLOOKUP(A75,Schlußkurse!A$5:AU$105,39,FALSE)/VLOOKUP(A75,Buchwert_je_Aktie!A$3:AJ$103,10,FALSE),""),"")</f>
        <v>#N/A</v>
      </c>
      <c r="H75" s="79" t="e">
        <f>IF(VLOOKUP(A75,Buchwert_je_Aktie!A$3:AJ$103,11,FALSE)&lt;&gt;"",IF(VLOOKUP(A75,Schlußkurse!A$5:AU$105,40,FALSE)&gt;0,VLOOKUP(A75,Schlußkurse!A$5:AU$105,40,FALSE)/VLOOKUP(A75,Buchwert_je_Aktie!A$3:AJ$103,11,FALSE),""),"")</f>
        <v>#N/A</v>
      </c>
      <c r="I75" s="79" t="e">
        <f>IF(VLOOKUP(A75,Buchwert_je_Aktie!A$3:AJ$103,12,FALSE)&lt;&gt;"",IF(VLOOKUP(A75,Schlußkurse!A$5:AU$105,41,FALSE)&gt;0,VLOOKUP(A75,Schlußkurse!A$5:AU$105,41,FALSE)/VLOOKUP(A75,Buchwert_je_Aktie!A$3:AJ$103,12,FALSE),""),"")</f>
        <v>#N/A</v>
      </c>
      <c r="J75" s="79" t="e">
        <f>IF(VLOOKUP(A75,Buchwert_je_Aktie!A$3:AJ$103,13,FALSE)&lt;&gt;"",IF(VLOOKUP(A75,Schlußkurse!A$5:AU$105,42,FALSE)&gt;0,VLOOKUP(A75,Schlußkurse!A$5:AU$105,42,FALSE)/VLOOKUP(A75,Buchwert_je_Aktie!A$3:AJ$103,13,FALSE),""),"")</f>
        <v>#N/A</v>
      </c>
      <c r="K75" s="79" t="e">
        <f>IF(VLOOKUP(A75,Buchwert_je_Aktie!A$3:AJ$103,14,FALSE)&lt;&gt;"",IF(VLOOKUP(A75,Schlußkurse!A$5:AU$105,43,FALSE)&gt;0,VLOOKUP(A75,Schlußkurse!A$5:AU$105,43,FALSE)/VLOOKUP(A75,Buchwert_je_Aktie!A$3:AJ$103,14,FALSE),""),"")</f>
        <v>#N/A</v>
      </c>
      <c r="L75" s="79" t="e">
        <f>IF(VLOOKUP(A75,Buchwert_je_Aktie!A$3:AJ$103,15,FALSE)&lt;&gt;"",IF(VLOOKUP(A75,Schlußkurse!A$5:AU$105,44,FALSE)&gt;0,VLOOKUP(A75,Schlußkurse!A$5:AU$105,44,FALSE)/VLOOKUP(A75,Buchwert_je_Aktie!A$3:AJ$103,15,FALSE),""),"")</f>
        <v>#N/A</v>
      </c>
      <c r="M75" s="79" t="e">
        <f>IF(VLOOKUP(A75,Buchwert_je_Aktie!A$3:AJ$103,16,FALSE)&lt;&gt;"",IF(VLOOKUP(A75,Schlußkurse!A$5:AU$105,45,FALSE)&gt;0,VLOOKUP(A75,Schlußkurse!A$5:AU$105,45,FALSE)/VLOOKUP(A75,Buchwert_je_Aktie!A$3:AJ$103,16,FALSE),""),"")</f>
        <v>#N/A</v>
      </c>
      <c r="N75" s="79" t="e">
        <f>IF(VLOOKUP(A75,Buchwert_je_Aktie!A$3:AJ$103,17,FALSE)&lt;&gt;"",IF(VLOOKUP(A75,Schlußkurse!A$5:AU$105,46,FALSE)&gt;0,VLOOKUP(A75,Schlußkurse!A$5:AU$105,46,FALSE)/VLOOKUP(A75,Buchwert_je_Aktie!A$3:AJ$103,17,FALSE),""),"")</f>
        <v>#N/A</v>
      </c>
      <c r="O75" s="80" t="e">
        <f>IF(VLOOKUP(A75,Buchwert_je_Aktie!A$3:AJ$103,18,FALSE)&lt;&gt;"",IF(VLOOKUP(A75,Schlußkurse!A$5:AU$105,47,FALSE)&gt;0,VLOOKUP(A75,Schlußkurse!A$5:AU$105,47,FALSE)/VLOOKUP(A75,Buchwert_je_Aktie!A$3:AJ$103,18,FALSE),""),"")</f>
        <v>#N/A</v>
      </c>
      <c r="P75" s="3" t="e">
        <f t="shared" si="2"/>
        <v>#N/A</v>
      </c>
      <c r="Q75" s="3" t="e">
        <f>VLOOKUP(A75,Schlußkurse!A$5:AU$105,35,FALSE)/VLOOKUP(A75,Buchwert_je_Aktie!A$3:AK$103,23,FALSE)</f>
        <v>#N/A</v>
      </c>
      <c r="R75" s="5" t="e">
        <f t="shared" si="3"/>
        <v>#N/A</v>
      </c>
    </row>
    <row r="76" spans="1:18" x14ac:dyDescent="0.25">
      <c r="C76" s="78" t="e">
        <f>IF(VLOOKUP(A76,Buchwert_je_Aktie!A$3:AJ$103,6,FALSE)&lt;&gt;"",IF(VLOOKUP(A76,Schlußkurse!A$5:AU$105,35,FALSE)&gt;0,VLOOKUP(A76,Schlußkurse!A$5:AU$105,35,FALSE) /VLOOKUP(A76,Buchwert_je_Aktie!A$3:AJ$103,6,FALSE),""),"")</f>
        <v>#N/A</v>
      </c>
      <c r="D76" s="79" t="e">
        <f>IF(VLOOKUP(A76,Buchwert_je_Aktie!A$3:AJ$103,7,FALSE)&lt;&gt;"",IF(VLOOKUP(A76,Schlußkurse!A$5:AU$105,36,FALSE)&gt;0,VLOOKUP(A76,Schlußkurse!A$5:AU$105,36,FALSE)/VLOOKUP(A76,Buchwert_je_Aktie!A$3:AJ$103,7,FALSE),""),"")</f>
        <v>#N/A</v>
      </c>
      <c r="E76" s="79" t="e">
        <f>IF(VLOOKUP(A76,Buchwert_je_Aktie!A$3:AJ$103,8,FALSE)&lt;&gt;"",IF(VLOOKUP(A76,Schlußkurse!A$5:AU$105,37,FALSE)&gt;0,VLOOKUP(A76,Schlußkurse!A$5:AU$105,37,FALSE)/VLOOKUP(A76,Buchwert_je_Aktie!A$3:AJ$103,8,FALSE),""),"")</f>
        <v>#N/A</v>
      </c>
      <c r="F76" s="79" t="e">
        <f>IF(VLOOKUP(A76,Buchwert_je_Aktie!A$3:AJ$103,9,FALSE)&lt;&gt;"",IF(VLOOKUP(A76,Schlußkurse!A$5:AU$105,38,FALSE)&gt;0,VLOOKUP(A76,Schlußkurse!A$5:AU$105,38,FALSE)/VLOOKUP(A76,Buchwert_je_Aktie!A$3:AJ$103,9,FALSE),""),"")</f>
        <v>#N/A</v>
      </c>
      <c r="G76" s="79" t="e">
        <f>IF(VLOOKUP(A76,Buchwert_je_Aktie!A$3:AJ$103,10,FALSE)&lt;&gt;"",IF(VLOOKUP(A76,Schlußkurse!A$5:AU$105,39,FALSE)&gt;0,VLOOKUP(A76,Schlußkurse!A$5:AU$105,39,FALSE)/VLOOKUP(A76,Buchwert_je_Aktie!A$3:AJ$103,10,FALSE),""),"")</f>
        <v>#N/A</v>
      </c>
      <c r="H76" s="79" t="e">
        <f>IF(VLOOKUP(A76,Buchwert_je_Aktie!A$3:AJ$103,11,FALSE)&lt;&gt;"",IF(VLOOKUP(A76,Schlußkurse!A$5:AU$105,40,FALSE)&gt;0,VLOOKUP(A76,Schlußkurse!A$5:AU$105,40,FALSE)/VLOOKUP(A76,Buchwert_je_Aktie!A$3:AJ$103,11,FALSE),""),"")</f>
        <v>#N/A</v>
      </c>
      <c r="I76" s="79" t="e">
        <f>IF(VLOOKUP(A76,Buchwert_je_Aktie!A$3:AJ$103,12,FALSE)&lt;&gt;"",IF(VLOOKUP(A76,Schlußkurse!A$5:AU$105,41,FALSE)&gt;0,VLOOKUP(A76,Schlußkurse!A$5:AU$105,41,FALSE)/VLOOKUP(A76,Buchwert_je_Aktie!A$3:AJ$103,12,FALSE),""),"")</f>
        <v>#N/A</v>
      </c>
      <c r="J76" s="79" t="e">
        <f>IF(VLOOKUP(A76,Buchwert_je_Aktie!A$3:AJ$103,13,FALSE)&lt;&gt;"",IF(VLOOKUP(A76,Schlußkurse!A$5:AU$105,42,FALSE)&gt;0,VLOOKUP(A76,Schlußkurse!A$5:AU$105,42,FALSE)/VLOOKUP(A76,Buchwert_je_Aktie!A$3:AJ$103,13,FALSE),""),"")</f>
        <v>#N/A</v>
      </c>
      <c r="K76" s="79" t="e">
        <f>IF(VLOOKUP(A76,Buchwert_je_Aktie!A$3:AJ$103,14,FALSE)&lt;&gt;"",IF(VLOOKUP(A76,Schlußkurse!A$5:AU$105,43,FALSE)&gt;0,VLOOKUP(A76,Schlußkurse!A$5:AU$105,43,FALSE)/VLOOKUP(A76,Buchwert_je_Aktie!A$3:AJ$103,14,FALSE),""),"")</f>
        <v>#N/A</v>
      </c>
      <c r="L76" s="79" t="e">
        <f>IF(VLOOKUP(A76,Buchwert_je_Aktie!A$3:AJ$103,15,FALSE)&lt;&gt;"",IF(VLOOKUP(A76,Schlußkurse!A$5:AU$105,44,FALSE)&gt;0,VLOOKUP(A76,Schlußkurse!A$5:AU$105,44,FALSE)/VLOOKUP(A76,Buchwert_je_Aktie!A$3:AJ$103,15,FALSE),""),"")</f>
        <v>#N/A</v>
      </c>
      <c r="M76" s="79" t="e">
        <f>IF(VLOOKUP(A76,Buchwert_je_Aktie!A$3:AJ$103,16,FALSE)&lt;&gt;"",IF(VLOOKUP(A76,Schlußkurse!A$5:AU$105,45,FALSE)&gt;0,VLOOKUP(A76,Schlußkurse!A$5:AU$105,45,FALSE)/VLOOKUP(A76,Buchwert_je_Aktie!A$3:AJ$103,16,FALSE),""),"")</f>
        <v>#N/A</v>
      </c>
      <c r="N76" s="79" t="e">
        <f>IF(VLOOKUP(A76,Buchwert_je_Aktie!A$3:AJ$103,17,FALSE)&lt;&gt;"",IF(VLOOKUP(A76,Schlußkurse!A$5:AU$105,46,FALSE)&gt;0,VLOOKUP(A76,Schlußkurse!A$5:AU$105,46,FALSE)/VLOOKUP(A76,Buchwert_je_Aktie!A$3:AJ$103,17,FALSE),""),"")</f>
        <v>#N/A</v>
      </c>
      <c r="O76" s="80" t="e">
        <f>IF(VLOOKUP(A76,Buchwert_je_Aktie!A$3:AJ$103,18,FALSE)&lt;&gt;"",IF(VLOOKUP(A76,Schlußkurse!A$5:AU$105,47,FALSE)&gt;0,VLOOKUP(A76,Schlußkurse!A$5:AU$105,47,FALSE)/VLOOKUP(A76,Buchwert_je_Aktie!A$3:AJ$103,18,FALSE),""),"")</f>
        <v>#N/A</v>
      </c>
      <c r="P76" s="3" t="e">
        <f t="shared" si="2"/>
        <v>#N/A</v>
      </c>
      <c r="Q76" s="3" t="e">
        <f>VLOOKUP(A76,Schlußkurse!A$5:AU$105,35,FALSE)/VLOOKUP(A76,Buchwert_je_Aktie!A$3:AK$103,23,FALSE)</f>
        <v>#N/A</v>
      </c>
      <c r="R76" s="5" t="e">
        <f t="shared" si="3"/>
        <v>#N/A</v>
      </c>
    </row>
    <row r="77" spans="1:18" x14ac:dyDescent="0.25">
      <c r="C77" s="78" t="e">
        <f>IF(VLOOKUP(A77,Buchwert_je_Aktie!A$3:AJ$103,6,FALSE)&lt;&gt;"",IF(VLOOKUP(A77,Schlußkurse!A$5:AU$105,35,FALSE)&gt;0,VLOOKUP(A77,Schlußkurse!A$5:AU$105,35,FALSE) /VLOOKUP(A77,Buchwert_je_Aktie!A$3:AJ$103,6,FALSE),""),"")</f>
        <v>#N/A</v>
      </c>
      <c r="D77" s="79" t="e">
        <f>IF(VLOOKUP(A77,Buchwert_je_Aktie!A$3:AJ$103,7,FALSE)&lt;&gt;"",IF(VLOOKUP(A77,Schlußkurse!A$5:AU$105,36,FALSE)&gt;0,VLOOKUP(A77,Schlußkurse!A$5:AU$105,36,FALSE)/VLOOKUP(A77,Buchwert_je_Aktie!A$3:AJ$103,7,FALSE),""),"")</f>
        <v>#N/A</v>
      </c>
      <c r="E77" s="79" t="e">
        <f>IF(VLOOKUP(A77,Buchwert_je_Aktie!A$3:AJ$103,8,FALSE)&lt;&gt;"",IF(VLOOKUP(A77,Schlußkurse!A$5:AU$105,37,FALSE)&gt;0,VLOOKUP(A77,Schlußkurse!A$5:AU$105,37,FALSE)/VLOOKUP(A77,Buchwert_je_Aktie!A$3:AJ$103,8,FALSE),""),"")</f>
        <v>#N/A</v>
      </c>
      <c r="F77" s="79" t="e">
        <f>IF(VLOOKUP(A77,Buchwert_je_Aktie!A$3:AJ$103,9,FALSE)&lt;&gt;"",IF(VLOOKUP(A77,Schlußkurse!A$5:AU$105,38,FALSE)&gt;0,VLOOKUP(A77,Schlußkurse!A$5:AU$105,38,FALSE)/VLOOKUP(A77,Buchwert_je_Aktie!A$3:AJ$103,9,FALSE),""),"")</f>
        <v>#N/A</v>
      </c>
      <c r="G77" s="79" t="e">
        <f>IF(VLOOKUP(A77,Buchwert_je_Aktie!A$3:AJ$103,10,FALSE)&lt;&gt;"",IF(VLOOKUP(A77,Schlußkurse!A$5:AU$105,39,FALSE)&gt;0,VLOOKUP(A77,Schlußkurse!A$5:AU$105,39,FALSE)/VLOOKUP(A77,Buchwert_je_Aktie!A$3:AJ$103,10,FALSE),""),"")</f>
        <v>#N/A</v>
      </c>
      <c r="H77" s="79" t="e">
        <f>IF(VLOOKUP(A77,Buchwert_je_Aktie!A$3:AJ$103,11,FALSE)&lt;&gt;"",IF(VLOOKUP(A77,Schlußkurse!A$5:AU$105,40,FALSE)&gt;0,VLOOKUP(A77,Schlußkurse!A$5:AU$105,40,FALSE)/VLOOKUP(A77,Buchwert_je_Aktie!A$3:AJ$103,11,FALSE),""),"")</f>
        <v>#N/A</v>
      </c>
      <c r="I77" s="79" t="e">
        <f>IF(VLOOKUP(A77,Buchwert_je_Aktie!A$3:AJ$103,12,FALSE)&lt;&gt;"",IF(VLOOKUP(A77,Schlußkurse!A$5:AU$105,41,FALSE)&gt;0,VLOOKUP(A77,Schlußkurse!A$5:AU$105,41,FALSE)/VLOOKUP(A77,Buchwert_je_Aktie!A$3:AJ$103,12,FALSE),""),"")</f>
        <v>#N/A</v>
      </c>
      <c r="J77" s="79" t="e">
        <f>IF(VLOOKUP(A77,Buchwert_je_Aktie!A$3:AJ$103,13,FALSE)&lt;&gt;"",IF(VLOOKUP(A77,Schlußkurse!A$5:AU$105,42,FALSE)&gt;0,VLOOKUP(A77,Schlußkurse!A$5:AU$105,42,FALSE)/VLOOKUP(A77,Buchwert_je_Aktie!A$3:AJ$103,13,FALSE),""),"")</f>
        <v>#N/A</v>
      </c>
      <c r="K77" s="79" t="e">
        <f>IF(VLOOKUP(A77,Buchwert_je_Aktie!A$3:AJ$103,14,FALSE)&lt;&gt;"",IF(VLOOKUP(A77,Schlußkurse!A$5:AU$105,43,FALSE)&gt;0,VLOOKUP(A77,Schlußkurse!A$5:AU$105,43,FALSE)/VLOOKUP(A77,Buchwert_je_Aktie!A$3:AJ$103,14,FALSE),""),"")</f>
        <v>#N/A</v>
      </c>
      <c r="L77" s="79" t="e">
        <f>IF(VLOOKUP(A77,Buchwert_je_Aktie!A$3:AJ$103,15,FALSE)&lt;&gt;"",IF(VLOOKUP(A77,Schlußkurse!A$5:AU$105,44,FALSE)&gt;0,VLOOKUP(A77,Schlußkurse!A$5:AU$105,44,FALSE)/VLOOKUP(A77,Buchwert_je_Aktie!A$3:AJ$103,15,FALSE),""),"")</f>
        <v>#N/A</v>
      </c>
      <c r="M77" s="79" t="e">
        <f>IF(VLOOKUP(A77,Buchwert_je_Aktie!A$3:AJ$103,16,FALSE)&lt;&gt;"",IF(VLOOKUP(A77,Schlußkurse!A$5:AU$105,45,FALSE)&gt;0,VLOOKUP(A77,Schlußkurse!A$5:AU$105,45,FALSE)/VLOOKUP(A77,Buchwert_je_Aktie!A$3:AJ$103,16,FALSE),""),"")</f>
        <v>#N/A</v>
      </c>
      <c r="N77" s="79" t="e">
        <f>IF(VLOOKUP(A77,Buchwert_je_Aktie!A$3:AJ$103,17,FALSE)&lt;&gt;"",IF(VLOOKUP(A77,Schlußkurse!A$5:AU$105,46,FALSE)&gt;0,VLOOKUP(A77,Schlußkurse!A$5:AU$105,46,FALSE)/VLOOKUP(A77,Buchwert_je_Aktie!A$3:AJ$103,17,FALSE),""),"")</f>
        <v>#N/A</v>
      </c>
      <c r="O77" s="80" t="e">
        <f>IF(VLOOKUP(A77,Buchwert_je_Aktie!A$3:AJ$103,18,FALSE)&lt;&gt;"",IF(VLOOKUP(A77,Schlußkurse!A$5:AU$105,47,FALSE)&gt;0,VLOOKUP(A77,Schlußkurse!A$5:AU$105,47,FALSE)/VLOOKUP(A77,Buchwert_je_Aktie!A$3:AJ$103,18,FALSE),""),"")</f>
        <v>#N/A</v>
      </c>
      <c r="P77" s="3" t="e">
        <f t="shared" si="2"/>
        <v>#N/A</v>
      </c>
      <c r="Q77" s="3" t="e">
        <f>VLOOKUP(A77,Schlußkurse!A$5:AU$105,35,FALSE)/VLOOKUP(A77,Buchwert_je_Aktie!A$3:AK$103,23,FALSE)</f>
        <v>#N/A</v>
      </c>
      <c r="R77" s="5" t="e">
        <f t="shared" si="3"/>
        <v>#N/A</v>
      </c>
    </row>
    <row r="78" spans="1:18" x14ac:dyDescent="0.25">
      <c r="C78" s="78" t="e">
        <f>IF(VLOOKUP(A78,Buchwert_je_Aktie!A$3:AJ$103,6,FALSE)&lt;&gt;"",IF(VLOOKUP(A78,Schlußkurse!A$5:AU$105,35,FALSE)&gt;0,VLOOKUP(A78,Schlußkurse!A$5:AU$105,35,FALSE) /VLOOKUP(A78,Buchwert_je_Aktie!A$3:AJ$103,6,FALSE),""),"")</f>
        <v>#N/A</v>
      </c>
      <c r="D78" s="79" t="e">
        <f>IF(VLOOKUP(A78,Buchwert_je_Aktie!A$3:AJ$103,7,FALSE)&lt;&gt;"",IF(VLOOKUP(A78,Schlußkurse!A$5:AU$105,36,FALSE)&gt;0,VLOOKUP(A78,Schlußkurse!A$5:AU$105,36,FALSE)/VLOOKUP(A78,Buchwert_je_Aktie!A$3:AJ$103,7,FALSE),""),"")</f>
        <v>#N/A</v>
      </c>
      <c r="E78" s="79" t="e">
        <f>IF(VLOOKUP(A78,Buchwert_je_Aktie!A$3:AJ$103,8,FALSE)&lt;&gt;"",IF(VLOOKUP(A78,Schlußkurse!A$5:AU$105,37,FALSE)&gt;0,VLOOKUP(A78,Schlußkurse!A$5:AU$105,37,FALSE)/VLOOKUP(A78,Buchwert_je_Aktie!A$3:AJ$103,8,FALSE),""),"")</f>
        <v>#N/A</v>
      </c>
      <c r="F78" s="79" t="e">
        <f>IF(VLOOKUP(A78,Buchwert_je_Aktie!A$3:AJ$103,9,FALSE)&lt;&gt;"",IF(VLOOKUP(A78,Schlußkurse!A$5:AU$105,38,FALSE)&gt;0,VLOOKUP(A78,Schlußkurse!A$5:AU$105,38,FALSE)/VLOOKUP(A78,Buchwert_je_Aktie!A$3:AJ$103,9,FALSE),""),"")</f>
        <v>#N/A</v>
      </c>
      <c r="G78" s="79" t="e">
        <f>IF(VLOOKUP(A78,Buchwert_je_Aktie!A$3:AJ$103,10,FALSE)&lt;&gt;"",IF(VLOOKUP(A78,Schlußkurse!A$5:AU$105,39,FALSE)&gt;0,VLOOKUP(A78,Schlußkurse!A$5:AU$105,39,FALSE)/VLOOKUP(A78,Buchwert_je_Aktie!A$3:AJ$103,10,FALSE),""),"")</f>
        <v>#N/A</v>
      </c>
      <c r="H78" s="79" t="e">
        <f>IF(VLOOKUP(A78,Buchwert_je_Aktie!A$3:AJ$103,11,FALSE)&lt;&gt;"",IF(VLOOKUP(A78,Schlußkurse!A$5:AU$105,40,FALSE)&gt;0,VLOOKUP(A78,Schlußkurse!A$5:AU$105,40,FALSE)/VLOOKUP(A78,Buchwert_je_Aktie!A$3:AJ$103,11,FALSE),""),"")</f>
        <v>#N/A</v>
      </c>
      <c r="I78" s="79" t="e">
        <f>IF(VLOOKUP(A78,Buchwert_je_Aktie!A$3:AJ$103,12,FALSE)&lt;&gt;"",IF(VLOOKUP(A78,Schlußkurse!A$5:AU$105,41,FALSE)&gt;0,VLOOKUP(A78,Schlußkurse!A$5:AU$105,41,FALSE)/VLOOKUP(A78,Buchwert_je_Aktie!A$3:AJ$103,12,FALSE),""),"")</f>
        <v>#N/A</v>
      </c>
      <c r="J78" s="79" t="e">
        <f>IF(VLOOKUP(A78,Buchwert_je_Aktie!A$3:AJ$103,13,FALSE)&lt;&gt;"",IF(VLOOKUP(A78,Schlußkurse!A$5:AU$105,42,FALSE)&gt;0,VLOOKUP(A78,Schlußkurse!A$5:AU$105,42,FALSE)/VLOOKUP(A78,Buchwert_je_Aktie!A$3:AJ$103,13,FALSE),""),"")</f>
        <v>#N/A</v>
      </c>
      <c r="K78" s="79" t="e">
        <f>IF(VLOOKUP(A78,Buchwert_je_Aktie!A$3:AJ$103,14,FALSE)&lt;&gt;"",IF(VLOOKUP(A78,Schlußkurse!A$5:AU$105,43,FALSE)&gt;0,VLOOKUP(A78,Schlußkurse!A$5:AU$105,43,FALSE)/VLOOKUP(A78,Buchwert_je_Aktie!A$3:AJ$103,14,FALSE),""),"")</f>
        <v>#N/A</v>
      </c>
      <c r="L78" s="79" t="e">
        <f>IF(VLOOKUP(A78,Buchwert_je_Aktie!A$3:AJ$103,15,FALSE)&lt;&gt;"",IF(VLOOKUP(A78,Schlußkurse!A$5:AU$105,44,FALSE)&gt;0,VLOOKUP(A78,Schlußkurse!A$5:AU$105,44,FALSE)/VLOOKUP(A78,Buchwert_je_Aktie!A$3:AJ$103,15,FALSE),""),"")</f>
        <v>#N/A</v>
      </c>
      <c r="M78" s="79" t="e">
        <f>IF(VLOOKUP(A78,Buchwert_je_Aktie!A$3:AJ$103,16,FALSE)&lt;&gt;"",IF(VLOOKUP(A78,Schlußkurse!A$5:AU$105,45,FALSE)&gt;0,VLOOKUP(A78,Schlußkurse!A$5:AU$105,45,FALSE)/VLOOKUP(A78,Buchwert_je_Aktie!A$3:AJ$103,16,FALSE),""),"")</f>
        <v>#N/A</v>
      </c>
      <c r="N78" s="79" t="e">
        <f>IF(VLOOKUP(A78,Buchwert_je_Aktie!A$3:AJ$103,17,FALSE)&lt;&gt;"",IF(VLOOKUP(A78,Schlußkurse!A$5:AU$105,46,FALSE)&gt;0,VLOOKUP(A78,Schlußkurse!A$5:AU$105,46,FALSE)/VLOOKUP(A78,Buchwert_je_Aktie!A$3:AJ$103,17,FALSE),""),"")</f>
        <v>#N/A</v>
      </c>
      <c r="O78" s="80" t="e">
        <f>IF(VLOOKUP(A78,Buchwert_je_Aktie!A$3:AJ$103,18,FALSE)&lt;&gt;"",IF(VLOOKUP(A78,Schlußkurse!A$5:AU$105,47,FALSE)&gt;0,VLOOKUP(A78,Schlußkurse!A$5:AU$105,47,FALSE)/VLOOKUP(A78,Buchwert_je_Aktie!A$3:AJ$103,18,FALSE),""),"")</f>
        <v>#N/A</v>
      </c>
      <c r="P78" s="3" t="e">
        <f t="shared" si="2"/>
        <v>#N/A</v>
      </c>
      <c r="Q78" s="3" t="e">
        <f>VLOOKUP(A78,Schlußkurse!A$5:AU$105,35,FALSE)/VLOOKUP(A78,Buchwert_je_Aktie!A$3:AK$103,23,FALSE)</f>
        <v>#N/A</v>
      </c>
      <c r="R78" s="5" t="e">
        <f t="shared" si="3"/>
        <v>#N/A</v>
      </c>
    </row>
    <row r="79" spans="1:18" x14ac:dyDescent="0.25">
      <c r="C79" s="78" t="e">
        <f>IF(VLOOKUP(A79,Buchwert_je_Aktie!A$3:AJ$103,6,FALSE)&lt;&gt;"",IF(VLOOKUP(A79,Schlußkurse!A$5:AU$105,35,FALSE)&gt;0,VLOOKUP(A79,Schlußkurse!A$5:AU$105,35,FALSE) /VLOOKUP(A79,Buchwert_je_Aktie!A$3:AJ$103,6,FALSE),""),"")</f>
        <v>#N/A</v>
      </c>
      <c r="D79" s="79" t="e">
        <f>IF(VLOOKUP(A79,Buchwert_je_Aktie!A$3:AJ$103,7,FALSE)&lt;&gt;"",IF(VLOOKUP(A79,Schlußkurse!A$5:AU$105,36,FALSE)&gt;0,VLOOKUP(A79,Schlußkurse!A$5:AU$105,36,FALSE)/VLOOKUP(A79,Buchwert_je_Aktie!A$3:AJ$103,7,FALSE),""),"")</f>
        <v>#N/A</v>
      </c>
      <c r="E79" s="79" t="e">
        <f>IF(VLOOKUP(A79,Buchwert_je_Aktie!A$3:AJ$103,8,FALSE)&lt;&gt;"",IF(VLOOKUP(A79,Schlußkurse!A$5:AU$105,37,FALSE)&gt;0,VLOOKUP(A79,Schlußkurse!A$5:AU$105,37,FALSE)/VLOOKUP(A79,Buchwert_je_Aktie!A$3:AJ$103,8,FALSE),""),"")</f>
        <v>#N/A</v>
      </c>
      <c r="F79" s="79" t="e">
        <f>IF(VLOOKUP(A79,Buchwert_je_Aktie!A$3:AJ$103,9,FALSE)&lt;&gt;"",IF(VLOOKUP(A79,Schlußkurse!A$5:AU$105,38,FALSE)&gt;0,VLOOKUP(A79,Schlußkurse!A$5:AU$105,38,FALSE)/VLOOKUP(A79,Buchwert_je_Aktie!A$3:AJ$103,9,FALSE),""),"")</f>
        <v>#N/A</v>
      </c>
      <c r="G79" s="79" t="e">
        <f>IF(VLOOKUP(A79,Buchwert_je_Aktie!A$3:AJ$103,10,FALSE)&lt;&gt;"",IF(VLOOKUP(A79,Schlußkurse!A$5:AU$105,39,FALSE)&gt;0,VLOOKUP(A79,Schlußkurse!A$5:AU$105,39,FALSE)/VLOOKUP(A79,Buchwert_je_Aktie!A$3:AJ$103,10,FALSE),""),"")</f>
        <v>#N/A</v>
      </c>
      <c r="H79" s="79" t="e">
        <f>IF(VLOOKUP(A79,Buchwert_je_Aktie!A$3:AJ$103,11,FALSE)&lt;&gt;"",IF(VLOOKUP(A79,Schlußkurse!A$5:AU$105,40,FALSE)&gt;0,VLOOKUP(A79,Schlußkurse!A$5:AU$105,40,FALSE)/VLOOKUP(A79,Buchwert_je_Aktie!A$3:AJ$103,11,FALSE),""),"")</f>
        <v>#N/A</v>
      </c>
      <c r="I79" s="79" t="e">
        <f>IF(VLOOKUP(A79,Buchwert_je_Aktie!A$3:AJ$103,12,FALSE)&lt;&gt;"",IF(VLOOKUP(A79,Schlußkurse!A$5:AU$105,41,FALSE)&gt;0,VLOOKUP(A79,Schlußkurse!A$5:AU$105,41,FALSE)/VLOOKUP(A79,Buchwert_je_Aktie!A$3:AJ$103,12,FALSE),""),"")</f>
        <v>#N/A</v>
      </c>
      <c r="J79" s="79" t="e">
        <f>IF(VLOOKUP(A79,Buchwert_je_Aktie!A$3:AJ$103,13,FALSE)&lt;&gt;"",IF(VLOOKUP(A79,Schlußkurse!A$5:AU$105,42,FALSE)&gt;0,VLOOKUP(A79,Schlußkurse!A$5:AU$105,42,FALSE)/VLOOKUP(A79,Buchwert_je_Aktie!A$3:AJ$103,13,FALSE),""),"")</f>
        <v>#N/A</v>
      </c>
      <c r="K79" s="79" t="e">
        <f>IF(VLOOKUP(A79,Buchwert_je_Aktie!A$3:AJ$103,14,FALSE)&lt;&gt;"",IF(VLOOKUP(A79,Schlußkurse!A$5:AU$105,43,FALSE)&gt;0,VLOOKUP(A79,Schlußkurse!A$5:AU$105,43,FALSE)/VLOOKUP(A79,Buchwert_je_Aktie!A$3:AJ$103,14,FALSE),""),"")</f>
        <v>#N/A</v>
      </c>
      <c r="L79" s="79" t="e">
        <f>IF(VLOOKUP(A79,Buchwert_je_Aktie!A$3:AJ$103,15,FALSE)&lt;&gt;"",IF(VLOOKUP(A79,Schlußkurse!A$5:AU$105,44,FALSE)&gt;0,VLOOKUP(A79,Schlußkurse!A$5:AU$105,44,FALSE)/VLOOKUP(A79,Buchwert_je_Aktie!A$3:AJ$103,15,FALSE),""),"")</f>
        <v>#N/A</v>
      </c>
      <c r="M79" s="79" t="e">
        <f>IF(VLOOKUP(A79,Buchwert_je_Aktie!A$3:AJ$103,16,FALSE)&lt;&gt;"",IF(VLOOKUP(A79,Schlußkurse!A$5:AU$105,45,FALSE)&gt;0,VLOOKUP(A79,Schlußkurse!A$5:AU$105,45,FALSE)/VLOOKUP(A79,Buchwert_je_Aktie!A$3:AJ$103,16,FALSE),""),"")</f>
        <v>#N/A</v>
      </c>
      <c r="N79" s="79" t="e">
        <f>IF(VLOOKUP(A79,Buchwert_je_Aktie!A$3:AJ$103,17,FALSE)&lt;&gt;"",IF(VLOOKUP(A79,Schlußkurse!A$5:AU$105,46,FALSE)&gt;0,VLOOKUP(A79,Schlußkurse!A$5:AU$105,46,FALSE)/VLOOKUP(A79,Buchwert_je_Aktie!A$3:AJ$103,17,FALSE),""),"")</f>
        <v>#N/A</v>
      </c>
      <c r="O79" s="80" t="e">
        <f>IF(VLOOKUP(A79,Buchwert_je_Aktie!A$3:AJ$103,18,FALSE)&lt;&gt;"",IF(VLOOKUP(A79,Schlußkurse!A$5:AU$105,47,FALSE)&gt;0,VLOOKUP(A79,Schlußkurse!A$5:AU$105,47,FALSE)/VLOOKUP(A79,Buchwert_je_Aktie!A$3:AJ$103,18,FALSE),""),"")</f>
        <v>#N/A</v>
      </c>
      <c r="P79" s="3" t="e">
        <f t="shared" si="2"/>
        <v>#N/A</v>
      </c>
      <c r="Q79" s="3" t="e">
        <f>VLOOKUP(A79,Schlußkurse!A$5:AU$105,35,FALSE)/VLOOKUP(A79,Buchwert_je_Aktie!A$3:AK$103,23,FALSE)</f>
        <v>#N/A</v>
      </c>
      <c r="R79" s="5" t="e">
        <f t="shared" si="3"/>
        <v>#N/A</v>
      </c>
    </row>
    <row r="80" spans="1:18" x14ac:dyDescent="0.25">
      <c r="C80" s="78" t="e">
        <f>IF(VLOOKUP(A80,Buchwert_je_Aktie!A$3:AJ$103,6,FALSE)&lt;&gt;"",IF(VLOOKUP(A80,Schlußkurse!A$5:AU$105,35,FALSE)&gt;0,VLOOKUP(A80,Schlußkurse!A$5:AU$105,35,FALSE) /VLOOKUP(A80,Buchwert_je_Aktie!A$3:AJ$103,6,FALSE),""),"")</f>
        <v>#N/A</v>
      </c>
      <c r="D80" s="79" t="e">
        <f>IF(VLOOKUP(A80,Buchwert_je_Aktie!A$3:AJ$103,7,FALSE)&lt;&gt;"",IF(VLOOKUP(A80,Schlußkurse!A$5:AU$105,36,FALSE)&gt;0,VLOOKUP(A80,Schlußkurse!A$5:AU$105,36,FALSE)/VLOOKUP(A80,Buchwert_je_Aktie!A$3:AJ$103,7,FALSE),""),"")</f>
        <v>#N/A</v>
      </c>
      <c r="E80" s="79" t="e">
        <f>IF(VLOOKUP(A80,Buchwert_je_Aktie!A$3:AJ$103,8,FALSE)&lt;&gt;"",IF(VLOOKUP(A80,Schlußkurse!A$5:AU$105,37,FALSE)&gt;0,VLOOKUP(A80,Schlußkurse!A$5:AU$105,37,FALSE)/VLOOKUP(A80,Buchwert_je_Aktie!A$3:AJ$103,8,FALSE),""),"")</f>
        <v>#N/A</v>
      </c>
      <c r="F80" s="79" t="e">
        <f>IF(VLOOKUP(A80,Buchwert_je_Aktie!A$3:AJ$103,9,FALSE)&lt;&gt;"",IF(VLOOKUP(A80,Schlußkurse!A$5:AU$105,38,FALSE)&gt;0,VLOOKUP(A80,Schlußkurse!A$5:AU$105,38,FALSE)/VLOOKUP(A80,Buchwert_je_Aktie!A$3:AJ$103,9,FALSE),""),"")</f>
        <v>#N/A</v>
      </c>
      <c r="G80" s="79" t="e">
        <f>IF(VLOOKUP(A80,Buchwert_je_Aktie!A$3:AJ$103,10,FALSE)&lt;&gt;"",IF(VLOOKUP(A80,Schlußkurse!A$5:AU$105,39,FALSE)&gt;0,VLOOKUP(A80,Schlußkurse!A$5:AU$105,39,FALSE)/VLOOKUP(A80,Buchwert_je_Aktie!A$3:AJ$103,10,FALSE),""),"")</f>
        <v>#N/A</v>
      </c>
      <c r="H80" s="79" t="e">
        <f>IF(VLOOKUP(A80,Buchwert_je_Aktie!A$3:AJ$103,11,FALSE)&lt;&gt;"",IF(VLOOKUP(A80,Schlußkurse!A$5:AU$105,40,FALSE)&gt;0,VLOOKUP(A80,Schlußkurse!A$5:AU$105,40,FALSE)/VLOOKUP(A80,Buchwert_je_Aktie!A$3:AJ$103,11,FALSE),""),"")</f>
        <v>#N/A</v>
      </c>
      <c r="I80" s="79" t="e">
        <f>IF(VLOOKUP(A80,Buchwert_je_Aktie!A$3:AJ$103,12,FALSE)&lt;&gt;"",IF(VLOOKUP(A80,Schlußkurse!A$5:AU$105,41,FALSE)&gt;0,VLOOKUP(A80,Schlußkurse!A$5:AU$105,41,FALSE)/VLOOKUP(A80,Buchwert_je_Aktie!A$3:AJ$103,12,FALSE),""),"")</f>
        <v>#N/A</v>
      </c>
      <c r="J80" s="79" t="e">
        <f>IF(VLOOKUP(A80,Buchwert_je_Aktie!A$3:AJ$103,13,FALSE)&lt;&gt;"",IF(VLOOKUP(A80,Schlußkurse!A$5:AU$105,42,FALSE)&gt;0,VLOOKUP(A80,Schlußkurse!A$5:AU$105,42,FALSE)/VLOOKUP(A80,Buchwert_je_Aktie!A$3:AJ$103,13,FALSE),""),"")</f>
        <v>#N/A</v>
      </c>
      <c r="K80" s="79" t="e">
        <f>IF(VLOOKUP(A80,Buchwert_je_Aktie!A$3:AJ$103,14,FALSE)&lt;&gt;"",IF(VLOOKUP(A80,Schlußkurse!A$5:AU$105,43,FALSE)&gt;0,VLOOKUP(A80,Schlußkurse!A$5:AU$105,43,FALSE)/VLOOKUP(A80,Buchwert_je_Aktie!A$3:AJ$103,14,FALSE),""),"")</f>
        <v>#N/A</v>
      </c>
      <c r="L80" s="79" t="e">
        <f>IF(VLOOKUP(A80,Buchwert_je_Aktie!A$3:AJ$103,15,FALSE)&lt;&gt;"",IF(VLOOKUP(A80,Schlußkurse!A$5:AU$105,44,FALSE)&gt;0,VLOOKUP(A80,Schlußkurse!A$5:AU$105,44,FALSE)/VLOOKUP(A80,Buchwert_je_Aktie!A$3:AJ$103,15,FALSE),""),"")</f>
        <v>#N/A</v>
      </c>
      <c r="M80" s="79" t="e">
        <f>IF(VLOOKUP(A80,Buchwert_je_Aktie!A$3:AJ$103,16,FALSE)&lt;&gt;"",IF(VLOOKUP(A80,Schlußkurse!A$5:AU$105,45,FALSE)&gt;0,VLOOKUP(A80,Schlußkurse!A$5:AU$105,45,FALSE)/VLOOKUP(A80,Buchwert_je_Aktie!A$3:AJ$103,16,FALSE),""),"")</f>
        <v>#N/A</v>
      </c>
      <c r="N80" s="79" t="e">
        <f>IF(VLOOKUP(A80,Buchwert_je_Aktie!A$3:AJ$103,17,FALSE)&lt;&gt;"",IF(VLOOKUP(A80,Schlußkurse!A$5:AU$105,46,FALSE)&gt;0,VLOOKUP(A80,Schlußkurse!A$5:AU$105,46,FALSE)/VLOOKUP(A80,Buchwert_je_Aktie!A$3:AJ$103,17,FALSE),""),"")</f>
        <v>#N/A</v>
      </c>
      <c r="O80" s="80" t="e">
        <f>IF(VLOOKUP(A80,Buchwert_je_Aktie!A$3:AJ$103,18,FALSE)&lt;&gt;"",IF(VLOOKUP(A80,Schlußkurse!A$5:AU$105,47,FALSE)&gt;0,VLOOKUP(A80,Schlußkurse!A$5:AU$105,47,FALSE)/VLOOKUP(A80,Buchwert_je_Aktie!A$3:AJ$103,18,FALSE),""),"")</f>
        <v>#N/A</v>
      </c>
      <c r="P80" s="3" t="e">
        <f t="shared" si="2"/>
        <v>#N/A</v>
      </c>
      <c r="Q80" s="3" t="e">
        <f>VLOOKUP(A80,Schlußkurse!A$5:AU$105,35,FALSE)/VLOOKUP(A80,Buchwert_je_Aktie!A$3:AK$103,23,FALSE)</f>
        <v>#N/A</v>
      </c>
      <c r="R80" s="5" t="e">
        <f t="shared" si="3"/>
        <v>#N/A</v>
      </c>
    </row>
    <row r="81" spans="3:18" x14ac:dyDescent="0.25">
      <c r="C81" s="78" t="e">
        <f>IF(VLOOKUP(A81,Buchwert_je_Aktie!A$3:AJ$103,6,FALSE)&lt;&gt;"",IF(VLOOKUP(A81,Schlußkurse!A$5:AU$105,35,FALSE)&gt;0,VLOOKUP(A81,Schlußkurse!A$5:AU$105,35,FALSE) /VLOOKUP(A81,Buchwert_je_Aktie!A$3:AJ$103,6,FALSE),""),"")</f>
        <v>#N/A</v>
      </c>
      <c r="D81" s="79" t="e">
        <f>IF(VLOOKUP(A81,Buchwert_je_Aktie!A$3:AJ$103,7,FALSE)&lt;&gt;"",IF(VLOOKUP(A81,Schlußkurse!A$5:AU$105,36,FALSE)&gt;0,VLOOKUP(A81,Schlußkurse!A$5:AU$105,36,FALSE)/VLOOKUP(A81,Buchwert_je_Aktie!A$3:AJ$103,7,FALSE),""),"")</f>
        <v>#N/A</v>
      </c>
      <c r="E81" s="79" t="e">
        <f>IF(VLOOKUP(A81,Buchwert_je_Aktie!A$3:AJ$103,8,FALSE)&lt;&gt;"",IF(VLOOKUP(A81,Schlußkurse!A$5:AU$105,37,FALSE)&gt;0,VLOOKUP(A81,Schlußkurse!A$5:AU$105,37,FALSE)/VLOOKUP(A81,Buchwert_je_Aktie!A$3:AJ$103,8,FALSE),""),"")</f>
        <v>#N/A</v>
      </c>
      <c r="F81" s="79" t="e">
        <f>IF(VLOOKUP(A81,Buchwert_je_Aktie!A$3:AJ$103,9,FALSE)&lt;&gt;"",IF(VLOOKUP(A81,Schlußkurse!A$5:AU$105,38,FALSE)&gt;0,VLOOKUP(A81,Schlußkurse!A$5:AU$105,38,FALSE)/VLOOKUP(A81,Buchwert_je_Aktie!A$3:AJ$103,9,FALSE),""),"")</f>
        <v>#N/A</v>
      </c>
      <c r="G81" s="79" t="e">
        <f>IF(VLOOKUP(A81,Buchwert_je_Aktie!A$3:AJ$103,10,FALSE)&lt;&gt;"",IF(VLOOKUP(A81,Schlußkurse!A$5:AU$105,39,FALSE)&gt;0,VLOOKUP(A81,Schlußkurse!A$5:AU$105,39,FALSE)/VLOOKUP(A81,Buchwert_je_Aktie!A$3:AJ$103,10,FALSE),""),"")</f>
        <v>#N/A</v>
      </c>
      <c r="H81" s="79" t="e">
        <f>IF(VLOOKUP(A81,Buchwert_je_Aktie!A$3:AJ$103,11,FALSE)&lt;&gt;"",IF(VLOOKUP(A81,Schlußkurse!A$5:AU$105,40,FALSE)&gt;0,VLOOKUP(A81,Schlußkurse!A$5:AU$105,40,FALSE)/VLOOKUP(A81,Buchwert_je_Aktie!A$3:AJ$103,11,FALSE),""),"")</f>
        <v>#N/A</v>
      </c>
      <c r="I81" s="79" t="e">
        <f>IF(VLOOKUP(A81,Buchwert_je_Aktie!A$3:AJ$103,12,FALSE)&lt;&gt;"",IF(VLOOKUP(A81,Schlußkurse!A$5:AU$105,41,FALSE)&gt;0,VLOOKUP(A81,Schlußkurse!A$5:AU$105,41,FALSE)/VLOOKUP(A81,Buchwert_je_Aktie!A$3:AJ$103,12,FALSE),""),"")</f>
        <v>#N/A</v>
      </c>
      <c r="J81" s="79" t="e">
        <f>IF(VLOOKUP(A81,Buchwert_je_Aktie!A$3:AJ$103,13,FALSE)&lt;&gt;"",IF(VLOOKUP(A81,Schlußkurse!A$5:AU$105,42,FALSE)&gt;0,VLOOKUP(A81,Schlußkurse!A$5:AU$105,42,FALSE)/VLOOKUP(A81,Buchwert_je_Aktie!A$3:AJ$103,13,FALSE),""),"")</f>
        <v>#N/A</v>
      </c>
      <c r="K81" s="79" t="e">
        <f>IF(VLOOKUP(A81,Buchwert_je_Aktie!A$3:AJ$103,14,FALSE)&lt;&gt;"",IF(VLOOKUP(A81,Schlußkurse!A$5:AU$105,43,FALSE)&gt;0,VLOOKUP(A81,Schlußkurse!A$5:AU$105,43,FALSE)/VLOOKUP(A81,Buchwert_je_Aktie!A$3:AJ$103,14,FALSE),""),"")</f>
        <v>#N/A</v>
      </c>
      <c r="L81" s="79" t="e">
        <f>IF(VLOOKUP(A81,Buchwert_je_Aktie!A$3:AJ$103,15,FALSE)&lt;&gt;"",IF(VLOOKUP(A81,Schlußkurse!A$5:AU$105,44,FALSE)&gt;0,VLOOKUP(A81,Schlußkurse!A$5:AU$105,44,FALSE)/VLOOKUP(A81,Buchwert_je_Aktie!A$3:AJ$103,15,FALSE),""),"")</f>
        <v>#N/A</v>
      </c>
      <c r="M81" s="79" t="e">
        <f>IF(VLOOKUP(A81,Buchwert_je_Aktie!A$3:AJ$103,16,FALSE)&lt;&gt;"",IF(VLOOKUP(A81,Schlußkurse!A$5:AU$105,45,FALSE)&gt;0,VLOOKUP(A81,Schlußkurse!A$5:AU$105,45,FALSE)/VLOOKUP(A81,Buchwert_je_Aktie!A$3:AJ$103,16,FALSE),""),"")</f>
        <v>#N/A</v>
      </c>
      <c r="N81" s="79" t="e">
        <f>IF(VLOOKUP(A81,Buchwert_je_Aktie!A$3:AJ$103,17,FALSE)&lt;&gt;"",IF(VLOOKUP(A81,Schlußkurse!A$5:AU$105,46,FALSE)&gt;0,VLOOKUP(A81,Schlußkurse!A$5:AU$105,46,FALSE)/VLOOKUP(A81,Buchwert_je_Aktie!A$3:AJ$103,17,FALSE),""),"")</f>
        <v>#N/A</v>
      </c>
      <c r="O81" s="80" t="e">
        <f>IF(VLOOKUP(A81,Buchwert_je_Aktie!A$3:AJ$103,18,FALSE)&lt;&gt;"",IF(VLOOKUP(A81,Schlußkurse!A$5:AU$105,47,FALSE)&gt;0,VLOOKUP(A81,Schlußkurse!A$5:AU$105,47,FALSE)/VLOOKUP(A81,Buchwert_je_Aktie!A$3:AJ$103,18,FALSE),""),"")</f>
        <v>#N/A</v>
      </c>
      <c r="P81" s="3" t="e">
        <f t="shared" si="2"/>
        <v>#N/A</v>
      </c>
      <c r="Q81" s="3" t="e">
        <f>VLOOKUP(A81,Schlußkurse!A$5:AU$105,35,FALSE)/VLOOKUP(A81,Buchwert_je_Aktie!A$3:AK$103,23,FALSE)</f>
        <v>#N/A</v>
      </c>
      <c r="R81" s="5" t="e">
        <f t="shared" si="3"/>
        <v>#N/A</v>
      </c>
    </row>
    <row r="82" spans="3:18" x14ac:dyDescent="0.25">
      <c r="C82" s="78" t="e">
        <f>IF(VLOOKUP(A82,Buchwert_je_Aktie!A$3:AJ$103,6,FALSE)&lt;&gt;"",IF(VLOOKUP(A82,Schlußkurse!A$5:AU$105,35,FALSE)&gt;0,VLOOKUP(A82,Schlußkurse!A$5:AU$105,35,FALSE) /VLOOKUP(A82,Buchwert_je_Aktie!A$3:AJ$103,6,FALSE),""),"")</f>
        <v>#N/A</v>
      </c>
      <c r="D82" s="79" t="e">
        <f>IF(VLOOKUP(A82,Buchwert_je_Aktie!A$3:AJ$103,7,FALSE)&lt;&gt;"",IF(VLOOKUP(A82,Schlußkurse!A$5:AU$105,36,FALSE)&gt;0,VLOOKUP(A82,Schlußkurse!A$5:AU$105,36,FALSE)/VLOOKUP(A82,Buchwert_je_Aktie!A$3:AJ$103,7,FALSE),""),"")</f>
        <v>#N/A</v>
      </c>
      <c r="E82" s="79" t="e">
        <f>IF(VLOOKUP(A82,Buchwert_je_Aktie!A$3:AJ$103,8,FALSE)&lt;&gt;"",IF(VLOOKUP(A82,Schlußkurse!A$5:AU$105,37,FALSE)&gt;0,VLOOKUP(A82,Schlußkurse!A$5:AU$105,37,FALSE)/VLOOKUP(A82,Buchwert_je_Aktie!A$3:AJ$103,8,FALSE),""),"")</f>
        <v>#N/A</v>
      </c>
      <c r="F82" s="79" t="e">
        <f>IF(VLOOKUP(A82,Buchwert_je_Aktie!A$3:AJ$103,9,FALSE)&lt;&gt;"",IF(VLOOKUP(A82,Schlußkurse!A$5:AU$105,38,FALSE)&gt;0,VLOOKUP(A82,Schlußkurse!A$5:AU$105,38,FALSE)/VLOOKUP(A82,Buchwert_je_Aktie!A$3:AJ$103,9,FALSE),""),"")</f>
        <v>#N/A</v>
      </c>
      <c r="G82" s="79" t="e">
        <f>IF(VLOOKUP(A82,Buchwert_je_Aktie!A$3:AJ$103,10,FALSE)&lt;&gt;"",IF(VLOOKUP(A82,Schlußkurse!A$5:AU$105,39,FALSE)&gt;0,VLOOKUP(A82,Schlußkurse!A$5:AU$105,39,FALSE)/VLOOKUP(A82,Buchwert_je_Aktie!A$3:AJ$103,10,FALSE),""),"")</f>
        <v>#N/A</v>
      </c>
      <c r="H82" s="79" t="e">
        <f>IF(VLOOKUP(A82,Buchwert_je_Aktie!A$3:AJ$103,11,FALSE)&lt;&gt;"",IF(VLOOKUP(A82,Schlußkurse!A$5:AU$105,40,FALSE)&gt;0,VLOOKUP(A82,Schlußkurse!A$5:AU$105,40,FALSE)/VLOOKUP(A82,Buchwert_je_Aktie!A$3:AJ$103,11,FALSE),""),"")</f>
        <v>#N/A</v>
      </c>
      <c r="I82" s="79" t="e">
        <f>IF(VLOOKUP(A82,Buchwert_je_Aktie!A$3:AJ$103,12,FALSE)&lt;&gt;"",IF(VLOOKUP(A82,Schlußkurse!A$5:AU$105,41,FALSE)&gt;0,VLOOKUP(A82,Schlußkurse!A$5:AU$105,41,FALSE)/VLOOKUP(A82,Buchwert_je_Aktie!A$3:AJ$103,12,FALSE),""),"")</f>
        <v>#N/A</v>
      </c>
      <c r="J82" s="79" t="e">
        <f>IF(VLOOKUP(A82,Buchwert_je_Aktie!A$3:AJ$103,13,FALSE)&lt;&gt;"",IF(VLOOKUP(A82,Schlußkurse!A$5:AU$105,42,FALSE)&gt;0,VLOOKUP(A82,Schlußkurse!A$5:AU$105,42,FALSE)/VLOOKUP(A82,Buchwert_je_Aktie!A$3:AJ$103,13,FALSE),""),"")</f>
        <v>#N/A</v>
      </c>
      <c r="K82" s="79" t="e">
        <f>IF(VLOOKUP(A82,Buchwert_je_Aktie!A$3:AJ$103,14,FALSE)&lt;&gt;"",IF(VLOOKUP(A82,Schlußkurse!A$5:AU$105,43,FALSE)&gt;0,VLOOKUP(A82,Schlußkurse!A$5:AU$105,43,FALSE)/VLOOKUP(A82,Buchwert_je_Aktie!A$3:AJ$103,14,FALSE),""),"")</f>
        <v>#N/A</v>
      </c>
      <c r="L82" s="79" t="e">
        <f>IF(VLOOKUP(A82,Buchwert_je_Aktie!A$3:AJ$103,15,FALSE)&lt;&gt;"",IF(VLOOKUP(A82,Schlußkurse!A$5:AU$105,44,FALSE)&gt;0,VLOOKUP(A82,Schlußkurse!A$5:AU$105,44,FALSE)/VLOOKUP(A82,Buchwert_je_Aktie!A$3:AJ$103,15,FALSE),""),"")</f>
        <v>#N/A</v>
      </c>
      <c r="M82" s="79" t="e">
        <f>IF(VLOOKUP(A82,Buchwert_je_Aktie!A$3:AJ$103,16,FALSE)&lt;&gt;"",IF(VLOOKUP(A82,Schlußkurse!A$5:AU$105,45,FALSE)&gt;0,VLOOKUP(A82,Schlußkurse!A$5:AU$105,45,FALSE)/VLOOKUP(A82,Buchwert_je_Aktie!A$3:AJ$103,16,FALSE),""),"")</f>
        <v>#N/A</v>
      </c>
      <c r="N82" s="79" t="e">
        <f>IF(VLOOKUP(A82,Buchwert_je_Aktie!A$3:AJ$103,17,FALSE)&lt;&gt;"",IF(VLOOKUP(A82,Schlußkurse!A$5:AU$105,46,FALSE)&gt;0,VLOOKUP(A82,Schlußkurse!A$5:AU$105,46,FALSE)/VLOOKUP(A82,Buchwert_je_Aktie!A$3:AJ$103,17,FALSE),""),"")</f>
        <v>#N/A</v>
      </c>
      <c r="O82" s="80" t="e">
        <f>IF(VLOOKUP(A82,Buchwert_je_Aktie!A$3:AJ$103,18,FALSE)&lt;&gt;"",IF(VLOOKUP(A82,Schlußkurse!A$5:AU$105,47,FALSE)&gt;0,VLOOKUP(A82,Schlußkurse!A$5:AU$105,47,FALSE)/VLOOKUP(A82,Buchwert_je_Aktie!A$3:AJ$103,18,FALSE),""),"")</f>
        <v>#N/A</v>
      </c>
      <c r="P82" s="3" t="e">
        <f t="shared" si="2"/>
        <v>#N/A</v>
      </c>
      <c r="Q82" s="3" t="e">
        <f>VLOOKUP(A82,Schlußkurse!A$5:AU$105,35,FALSE)/VLOOKUP(A82,Buchwert_je_Aktie!A$3:AK$103,23,FALSE)</f>
        <v>#N/A</v>
      </c>
      <c r="R82" s="5" t="e">
        <f t="shared" si="3"/>
        <v>#N/A</v>
      </c>
    </row>
    <row r="83" spans="3:18" x14ac:dyDescent="0.25">
      <c r="C83" s="78" t="e">
        <f>IF(VLOOKUP(A83,Buchwert_je_Aktie!A$3:AJ$103,6,FALSE)&lt;&gt;"",IF(VLOOKUP(A83,Schlußkurse!A$5:AU$105,35,FALSE)&gt;0,VLOOKUP(A83,Schlußkurse!A$5:AU$105,35,FALSE) /VLOOKUP(A83,Buchwert_je_Aktie!A$3:AJ$103,6,FALSE),""),"")</f>
        <v>#N/A</v>
      </c>
      <c r="D83" s="79" t="e">
        <f>IF(VLOOKUP(A83,Buchwert_je_Aktie!A$3:AJ$103,7,FALSE)&lt;&gt;"",IF(VLOOKUP(A83,Schlußkurse!A$5:AU$105,36,FALSE)&gt;0,VLOOKUP(A83,Schlußkurse!A$5:AU$105,36,FALSE)/VLOOKUP(A83,Buchwert_je_Aktie!A$3:AJ$103,7,FALSE),""),"")</f>
        <v>#N/A</v>
      </c>
      <c r="E83" s="79" t="e">
        <f>IF(VLOOKUP(A83,Buchwert_je_Aktie!A$3:AJ$103,8,FALSE)&lt;&gt;"",IF(VLOOKUP(A83,Schlußkurse!A$5:AU$105,37,FALSE)&gt;0,VLOOKUP(A83,Schlußkurse!A$5:AU$105,37,FALSE)/VLOOKUP(A83,Buchwert_je_Aktie!A$3:AJ$103,8,FALSE),""),"")</f>
        <v>#N/A</v>
      </c>
      <c r="F83" s="79" t="e">
        <f>IF(VLOOKUP(A83,Buchwert_je_Aktie!A$3:AJ$103,9,FALSE)&lt;&gt;"",IF(VLOOKUP(A83,Schlußkurse!A$5:AU$105,38,FALSE)&gt;0,VLOOKUP(A83,Schlußkurse!A$5:AU$105,38,FALSE)/VLOOKUP(A83,Buchwert_je_Aktie!A$3:AJ$103,9,FALSE),""),"")</f>
        <v>#N/A</v>
      </c>
      <c r="G83" s="79" t="e">
        <f>IF(VLOOKUP(A83,Buchwert_je_Aktie!A$3:AJ$103,10,FALSE)&lt;&gt;"",IF(VLOOKUP(A83,Schlußkurse!A$5:AU$105,39,FALSE)&gt;0,VLOOKUP(A83,Schlußkurse!A$5:AU$105,39,FALSE)/VLOOKUP(A83,Buchwert_je_Aktie!A$3:AJ$103,10,FALSE),""),"")</f>
        <v>#N/A</v>
      </c>
      <c r="H83" s="79" t="e">
        <f>IF(VLOOKUP(A83,Buchwert_je_Aktie!A$3:AJ$103,11,FALSE)&lt;&gt;"",IF(VLOOKUP(A83,Schlußkurse!A$5:AU$105,40,FALSE)&gt;0,VLOOKUP(A83,Schlußkurse!A$5:AU$105,40,FALSE)/VLOOKUP(A83,Buchwert_je_Aktie!A$3:AJ$103,11,FALSE),""),"")</f>
        <v>#N/A</v>
      </c>
      <c r="I83" s="79" t="e">
        <f>IF(VLOOKUP(A83,Buchwert_je_Aktie!A$3:AJ$103,12,FALSE)&lt;&gt;"",IF(VLOOKUP(A83,Schlußkurse!A$5:AU$105,41,FALSE)&gt;0,VLOOKUP(A83,Schlußkurse!A$5:AU$105,41,FALSE)/VLOOKUP(A83,Buchwert_je_Aktie!A$3:AJ$103,12,FALSE),""),"")</f>
        <v>#N/A</v>
      </c>
      <c r="J83" s="79" t="e">
        <f>IF(VLOOKUP(A83,Buchwert_je_Aktie!A$3:AJ$103,13,FALSE)&lt;&gt;"",IF(VLOOKUP(A83,Schlußkurse!A$5:AU$105,42,FALSE)&gt;0,VLOOKUP(A83,Schlußkurse!A$5:AU$105,42,FALSE)/VLOOKUP(A83,Buchwert_je_Aktie!A$3:AJ$103,13,FALSE),""),"")</f>
        <v>#N/A</v>
      </c>
      <c r="K83" s="79" t="e">
        <f>IF(VLOOKUP(A83,Buchwert_je_Aktie!A$3:AJ$103,14,FALSE)&lt;&gt;"",IF(VLOOKUP(A83,Schlußkurse!A$5:AU$105,43,FALSE)&gt;0,VLOOKUP(A83,Schlußkurse!A$5:AU$105,43,FALSE)/VLOOKUP(A83,Buchwert_je_Aktie!A$3:AJ$103,14,FALSE),""),"")</f>
        <v>#N/A</v>
      </c>
      <c r="L83" s="79" t="e">
        <f>IF(VLOOKUP(A83,Buchwert_je_Aktie!A$3:AJ$103,15,FALSE)&lt;&gt;"",IF(VLOOKUP(A83,Schlußkurse!A$5:AU$105,44,FALSE)&gt;0,VLOOKUP(A83,Schlußkurse!A$5:AU$105,44,FALSE)/VLOOKUP(A83,Buchwert_je_Aktie!A$3:AJ$103,15,FALSE),""),"")</f>
        <v>#N/A</v>
      </c>
      <c r="M83" s="79" t="e">
        <f>IF(VLOOKUP(A83,Buchwert_je_Aktie!A$3:AJ$103,16,FALSE)&lt;&gt;"",IF(VLOOKUP(A83,Schlußkurse!A$5:AU$105,45,FALSE)&gt;0,VLOOKUP(A83,Schlußkurse!A$5:AU$105,45,FALSE)/VLOOKUP(A83,Buchwert_je_Aktie!A$3:AJ$103,16,FALSE),""),"")</f>
        <v>#N/A</v>
      </c>
      <c r="N83" s="79" t="e">
        <f>IF(VLOOKUP(A83,Buchwert_je_Aktie!A$3:AJ$103,17,FALSE)&lt;&gt;"",IF(VLOOKUP(A83,Schlußkurse!A$5:AU$105,46,FALSE)&gt;0,VLOOKUP(A83,Schlußkurse!A$5:AU$105,46,FALSE)/VLOOKUP(A83,Buchwert_je_Aktie!A$3:AJ$103,17,FALSE),""),"")</f>
        <v>#N/A</v>
      </c>
      <c r="O83" s="80" t="e">
        <f>IF(VLOOKUP(A83,Buchwert_je_Aktie!A$3:AJ$103,18,FALSE)&lt;&gt;"",IF(VLOOKUP(A83,Schlußkurse!A$5:AU$105,47,FALSE)&gt;0,VLOOKUP(A83,Schlußkurse!A$5:AU$105,47,FALSE)/VLOOKUP(A83,Buchwert_je_Aktie!A$3:AJ$103,18,FALSE),""),"")</f>
        <v>#N/A</v>
      </c>
      <c r="P83" s="3" t="e">
        <f t="shared" si="2"/>
        <v>#N/A</v>
      </c>
      <c r="Q83" s="3" t="e">
        <f>VLOOKUP(A83,Schlußkurse!A$5:AU$105,35,FALSE)/VLOOKUP(A83,Buchwert_je_Aktie!A$3:AK$103,23,FALSE)</f>
        <v>#N/A</v>
      </c>
      <c r="R83" s="5" t="e">
        <f t="shared" si="3"/>
        <v>#N/A</v>
      </c>
    </row>
    <row r="84" spans="3:18" x14ac:dyDescent="0.25">
      <c r="C84" s="78" t="e">
        <f>IF(VLOOKUP(A84,Buchwert_je_Aktie!A$3:AJ$103,6,FALSE)&lt;&gt;"",IF(VLOOKUP(A84,Schlußkurse!A$5:AU$105,35,FALSE)&gt;0,VLOOKUP(A84,Schlußkurse!A$5:AU$105,35,FALSE) /VLOOKUP(A84,Buchwert_je_Aktie!A$3:AJ$103,6,FALSE),""),"")</f>
        <v>#N/A</v>
      </c>
      <c r="D84" s="79" t="e">
        <f>IF(VLOOKUP(A84,Buchwert_je_Aktie!A$3:AJ$103,7,FALSE)&lt;&gt;"",IF(VLOOKUP(A84,Schlußkurse!A$5:AU$105,36,FALSE)&gt;0,VLOOKUP(A84,Schlußkurse!A$5:AU$105,36,FALSE)/VLOOKUP(A84,Buchwert_je_Aktie!A$3:AJ$103,7,FALSE),""),"")</f>
        <v>#N/A</v>
      </c>
      <c r="E84" s="79" t="e">
        <f>IF(VLOOKUP(A84,Buchwert_je_Aktie!A$3:AJ$103,8,FALSE)&lt;&gt;"",IF(VLOOKUP(A84,Schlußkurse!A$5:AU$105,37,FALSE)&gt;0,VLOOKUP(A84,Schlußkurse!A$5:AU$105,37,FALSE)/VLOOKUP(A84,Buchwert_je_Aktie!A$3:AJ$103,8,FALSE),""),"")</f>
        <v>#N/A</v>
      </c>
      <c r="F84" s="79" t="e">
        <f>IF(VLOOKUP(A84,Buchwert_je_Aktie!A$3:AJ$103,9,FALSE)&lt;&gt;"",IF(VLOOKUP(A84,Schlußkurse!A$5:AU$105,38,FALSE)&gt;0,VLOOKUP(A84,Schlußkurse!A$5:AU$105,38,FALSE)/VLOOKUP(A84,Buchwert_je_Aktie!A$3:AJ$103,9,FALSE),""),"")</f>
        <v>#N/A</v>
      </c>
      <c r="G84" s="79" t="e">
        <f>IF(VLOOKUP(A84,Buchwert_je_Aktie!A$3:AJ$103,10,FALSE)&lt;&gt;"",IF(VLOOKUP(A84,Schlußkurse!A$5:AU$105,39,FALSE)&gt;0,VLOOKUP(A84,Schlußkurse!A$5:AU$105,39,FALSE)/VLOOKUP(A84,Buchwert_je_Aktie!A$3:AJ$103,10,FALSE),""),"")</f>
        <v>#N/A</v>
      </c>
      <c r="H84" s="79" t="e">
        <f>IF(VLOOKUP(A84,Buchwert_je_Aktie!A$3:AJ$103,11,FALSE)&lt;&gt;"",IF(VLOOKUP(A84,Schlußkurse!A$5:AU$105,40,FALSE)&gt;0,VLOOKUP(A84,Schlußkurse!A$5:AU$105,40,FALSE)/VLOOKUP(A84,Buchwert_je_Aktie!A$3:AJ$103,11,FALSE),""),"")</f>
        <v>#N/A</v>
      </c>
      <c r="I84" s="79" t="e">
        <f>IF(VLOOKUP(A84,Buchwert_je_Aktie!A$3:AJ$103,12,FALSE)&lt;&gt;"",IF(VLOOKUP(A84,Schlußkurse!A$5:AU$105,41,FALSE)&gt;0,VLOOKUP(A84,Schlußkurse!A$5:AU$105,41,FALSE)/VLOOKUP(A84,Buchwert_je_Aktie!A$3:AJ$103,12,FALSE),""),"")</f>
        <v>#N/A</v>
      </c>
      <c r="J84" s="79" t="e">
        <f>IF(VLOOKUP(A84,Buchwert_je_Aktie!A$3:AJ$103,13,FALSE)&lt;&gt;"",IF(VLOOKUP(A84,Schlußkurse!A$5:AU$105,42,FALSE)&gt;0,VLOOKUP(A84,Schlußkurse!A$5:AU$105,42,FALSE)/VLOOKUP(A84,Buchwert_je_Aktie!A$3:AJ$103,13,FALSE),""),"")</f>
        <v>#N/A</v>
      </c>
      <c r="K84" s="79" t="e">
        <f>IF(VLOOKUP(A84,Buchwert_je_Aktie!A$3:AJ$103,14,FALSE)&lt;&gt;"",IF(VLOOKUP(A84,Schlußkurse!A$5:AU$105,43,FALSE)&gt;0,VLOOKUP(A84,Schlußkurse!A$5:AU$105,43,FALSE)/VLOOKUP(A84,Buchwert_je_Aktie!A$3:AJ$103,14,FALSE),""),"")</f>
        <v>#N/A</v>
      </c>
      <c r="L84" s="79" t="e">
        <f>IF(VLOOKUP(A84,Buchwert_je_Aktie!A$3:AJ$103,15,FALSE)&lt;&gt;"",IF(VLOOKUP(A84,Schlußkurse!A$5:AU$105,44,FALSE)&gt;0,VLOOKUP(A84,Schlußkurse!A$5:AU$105,44,FALSE)/VLOOKUP(A84,Buchwert_je_Aktie!A$3:AJ$103,15,FALSE),""),"")</f>
        <v>#N/A</v>
      </c>
      <c r="M84" s="79" t="e">
        <f>IF(VLOOKUP(A84,Buchwert_je_Aktie!A$3:AJ$103,16,FALSE)&lt;&gt;"",IF(VLOOKUP(A84,Schlußkurse!A$5:AU$105,45,FALSE)&gt;0,VLOOKUP(A84,Schlußkurse!A$5:AU$105,45,FALSE)/VLOOKUP(A84,Buchwert_je_Aktie!A$3:AJ$103,16,FALSE),""),"")</f>
        <v>#N/A</v>
      </c>
      <c r="N84" s="79" t="e">
        <f>IF(VLOOKUP(A84,Buchwert_je_Aktie!A$3:AJ$103,17,FALSE)&lt;&gt;"",IF(VLOOKUP(A84,Schlußkurse!A$5:AU$105,46,FALSE)&gt;0,VLOOKUP(A84,Schlußkurse!A$5:AU$105,46,FALSE)/VLOOKUP(A84,Buchwert_je_Aktie!A$3:AJ$103,17,FALSE),""),"")</f>
        <v>#N/A</v>
      </c>
      <c r="O84" s="80" t="e">
        <f>IF(VLOOKUP(A84,Buchwert_je_Aktie!A$3:AJ$103,18,FALSE)&lt;&gt;"",IF(VLOOKUP(A84,Schlußkurse!A$5:AU$105,47,FALSE)&gt;0,VLOOKUP(A84,Schlußkurse!A$5:AU$105,47,FALSE)/VLOOKUP(A84,Buchwert_je_Aktie!A$3:AJ$103,18,FALSE),""),"")</f>
        <v>#N/A</v>
      </c>
      <c r="P84" s="3" t="e">
        <f t="shared" si="2"/>
        <v>#N/A</v>
      </c>
      <c r="Q84" s="3" t="e">
        <f>VLOOKUP(A84,Schlußkurse!A$5:AU$105,35,FALSE)/VLOOKUP(A84,Buchwert_je_Aktie!A$3:AK$103,23,FALSE)</f>
        <v>#N/A</v>
      </c>
      <c r="R84" s="5" t="e">
        <f t="shared" si="3"/>
        <v>#N/A</v>
      </c>
    </row>
    <row r="85" spans="3:18" x14ac:dyDescent="0.25">
      <c r="C85" s="78" t="e">
        <f>IF(VLOOKUP(A85,Buchwert_je_Aktie!A$3:AJ$103,6,FALSE)&lt;&gt;"",IF(VLOOKUP(A85,Schlußkurse!A$5:AU$105,35,FALSE)&gt;0,VLOOKUP(A85,Schlußkurse!A$5:AU$105,35,FALSE) /VLOOKUP(A85,Buchwert_je_Aktie!A$3:AJ$103,6,FALSE),""),"")</f>
        <v>#N/A</v>
      </c>
      <c r="D85" s="79" t="e">
        <f>IF(VLOOKUP(A85,Buchwert_je_Aktie!A$3:AJ$103,7,FALSE)&lt;&gt;"",IF(VLOOKUP(A85,Schlußkurse!A$5:AU$105,36,FALSE)&gt;0,VLOOKUP(A85,Schlußkurse!A$5:AU$105,36,FALSE)/VLOOKUP(A85,Buchwert_je_Aktie!A$3:AJ$103,7,FALSE),""),"")</f>
        <v>#N/A</v>
      </c>
      <c r="E85" s="79" t="e">
        <f>IF(VLOOKUP(A85,Buchwert_je_Aktie!A$3:AJ$103,8,FALSE)&lt;&gt;"",IF(VLOOKUP(A85,Schlußkurse!A$5:AU$105,37,FALSE)&gt;0,VLOOKUP(A85,Schlußkurse!A$5:AU$105,37,FALSE)/VLOOKUP(A85,Buchwert_je_Aktie!A$3:AJ$103,8,FALSE),""),"")</f>
        <v>#N/A</v>
      </c>
      <c r="F85" s="79" t="e">
        <f>IF(VLOOKUP(A85,Buchwert_je_Aktie!A$3:AJ$103,9,FALSE)&lt;&gt;"",IF(VLOOKUP(A85,Schlußkurse!A$5:AU$105,38,FALSE)&gt;0,VLOOKUP(A85,Schlußkurse!A$5:AU$105,38,FALSE)/VLOOKUP(A85,Buchwert_je_Aktie!A$3:AJ$103,9,FALSE),""),"")</f>
        <v>#N/A</v>
      </c>
      <c r="G85" s="79" t="e">
        <f>IF(VLOOKUP(A85,Buchwert_je_Aktie!A$3:AJ$103,10,FALSE)&lt;&gt;"",IF(VLOOKUP(A85,Schlußkurse!A$5:AU$105,39,FALSE)&gt;0,VLOOKUP(A85,Schlußkurse!A$5:AU$105,39,FALSE)/VLOOKUP(A85,Buchwert_je_Aktie!A$3:AJ$103,10,FALSE),""),"")</f>
        <v>#N/A</v>
      </c>
      <c r="H85" s="79" t="e">
        <f>IF(VLOOKUP(A85,Buchwert_je_Aktie!A$3:AJ$103,11,FALSE)&lt;&gt;"",IF(VLOOKUP(A85,Schlußkurse!A$5:AU$105,40,FALSE)&gt;0,VLOOKUP(A85,Schlußkurse!A$5:AU$105,40,FALSE)/VLOOKUP(A85,Buchwert_je_Aktie!A$3:AJ$103,11,FALSE),""),"")</f>
        <v>#N/A</v>
      </c>
      <c r="I85" s="79" t="e">
        <f>IF(VLOOKUP(A85,Buchwert_je_Aktie!A$3:AJ$103,12,FALSE)&lt;&gt;"",IF(VLOOKUP(A85,Schlußkurse!A$5:AU$105,41,FALSE)&gt;0,VLOOKUP(A85,Schlußkurse!A$5:AU$105,41,FALSE)/VLOOKUP(A85,Buchwert_je_Aktie!A$3:AJ$103,12,FALSE),""),"")</f>
        <v>#N/A</v>
      </c>
      <c r="J85" s="79" t="e">
        <f>IF(VLOOKUP(A85,Buchwert_je_Aktie!A$3:AJ$103,13,FALSE)&lt;&gt;"",IF(VLOOKUP(A85,Schlußkurse!A$5:AU$105,42,FALSE)&gt;0,VLOOKUP(A85,Schlußkurse!A$5:AU$105,42,FALSE)/VLOOKUP(A85,Buchwert_je_Aktie!A$3:AJ$103,13,FALSE),""),"")</f>
        <v>#N/A</v>
      </c>
      <c r="K85" s="79" t="e">
        <f>IF(VLOOKUP(A85,Buchwert_je_Aktie!A$3:AJ$103,14,FALSE)&lt;&gt;"",IF(VLOOKUP(A85,Schlußkurse!A$5:AU$105,43,FALSE)&gt;0,VLOOKUP(A85,Schlußkurse!A$5:AU$105,43,FALSE)/VLOOKUP(A85,Buchwert_je_Aktie!A$3:AJ$103,14,FALSE),""),"")</f>
        <v>#N/A</v>
      </c>
      <c r="L85" s="79" t="e">
        <f>IF(VLOOKUP(A85,Buchwert_je_Aktie!A$3:AJ$103,15,FALSE)&lt;&gt;"",IF(VLOOKUP(A85,Schlußkurse!A$5:AU$105,44,FALSE)&gt;0,VLOOKUP(A85,Schlußkurse!A$5:AU$105,44,FALSE)/VLOOKUP(A85,Buchwert_je_Aktie!A$3:AJ$103,15,FALSE),""),"")</f>
        <v>#N/A</v>
      </c>
      <c r="M85" s="79" t="e">
        <f>IF(VLOOKUP(A85,Buchwert_je_Aktie!A$3:AJ$103,16,FALSE)&lt;&gt;"",IF(VLOOKUP(A85,Schlußkurse!A$5:AU$105,45,FALSE)&gt;0,VLOOKUP(A85,Schlußkurse!A$5:AU$105,45,FALSE)/VLOOKUP(A85,Buchwert_je_Aktie!A$3:AJ$103,16,FALSE),""),"")</f>
        <v>#N/A</v>
      </c>
      <c r="N85" s="79" t="e">
        <f>IF(VLOOKUP(A85,Buchwert_je_Aktie!A$3:AJ$103,17,FALSE)&lt;&gt;"",IF(VLOOKUP(A85,Schlußkurse!A$5:AU$105,46,FALSE)&gt;0,VLOOKUP(A85,Schlußkurse!A$5:AU$105,46,FALSE)/VLOOKUP(A85,Buchwert_je_Aktie!A$3:AJ$103,17,FALSE),""),"")</f>
        <v>#N/A</v>
      </c>
      <c r="O85" s="80" t="e">
        <f>IF(VLOOKUP(A85,Buchwert_je_Aktie!A$3:AJ$103,18,FALSE)&lt;&gt;"",IF(VLOOKUP(A85,Schlußkurse!A$5:AU$105,47,FALSE)&gt;0,VLOOKUP(A85,Schlußkurse!A$5:AU$105,47,FALSE)/VLOOKUP(A85,Buchwert_je_Aktie!A$3:AJ$103,18,FALSE),""),"")</f>
        <v>#N/A</v>
      </c>
      <c r="P85" s="3" t="e">
        <f t="shared" si="2"/>
        <v>#N/A</v>
      </c>
      <c r="Q85" s="3" t="e">
        <f>VLOOKUP(A85,Schlußkurse!A$5:AU$105,35,FALSE)/VLOOKUP(A85,Buchwert_je_Aktie!A$3:AK$103,23,FALSE)</f>
        <v>#N/A</v>
      </c>
      <c r="R85" s="5" t="e">
        <f t="shared" si="3"/>
        <v>#N/A</v>
      </c>
    </row>
    <row r="86" spans="3:18" x14ac:dyDescent="0.25">
      <c r="C86" s="78" t="e">
        <f>IF(VLOOKUP(A86,Buchwert_je_Aktie!A$3:AJ$103,6,FALSE)&lt;&gt;"",IF(VLOOKUP(A86,Schlußkurse!A$5:AU$105,35,FALSE)&gt;0,VLOOKUP(A86,Schlußkurse!A$5:AU$105,35,FALSE) /VLOOKUP(A86,Buchwert_je_Aktie!A$3:AJ$103,6,FALSE),""),"")</f>
        <v>#N/A</v>
      </c>
      <c r="D86" s="79" t="e">
        <f>IF(VLOOKUP(A86,Buchwert_je_Aktie!A$3:AJ$103,7,FALSE)&lt;&gt;"",IF(VLOOKUP(A86,Schlußkurse!A$5:AU$105,36,FALSE)&gt;0,VLOOKUP(A86,Schlußkurse!A$5:AU$105,36,FALSE)/VLOOKUP(A86,Buchwert_je_Aktie!A$3:AJ$103,7,FALSE),""),"")</f>
        <v>#N/A</v>
      </c>
      <c r="E86" s="79" t="e">
        <f>IF(VLOOKUP(A86,Buchwert_je_Aktie!A$3:AJ$103,8,FALSE)&lt;&gt;"",IF(VLOOKUP(A86,Schlußkurse!A$5:AU$105,37,FALSE)&gt;0,VLOOKUP(A86,Schlußkurse!A$5:AU$105,37,FALSE)/VLOOKUP(A86,Buchwert_je_Aktie!A$3:AJ$103,8,FALSE),""),"")</f>
        <v>#N/A</v>
      </c>
      <c r="F86" s="79" t="e">
        <f>IF(VLOOKUP(A86,Buchwert_je_Aktie!A$3:AJ$103,9,FALSE)&lt;&gt;"",IF(VLOOKUP(A86,Schlußkurse!A$5:AU$105,38,FALSE)&gt;0,VLOOKUP(A86,Schlußkurse!A$5:AU$105,38,FALSE)/VLOOKUP(A86,Buchwert_je_Aktie!A$3:AJ$103,9,FALSE),""),"")</f>
        <v>#N/A</v>
      </c>
      <c r="G86" s="79" t="e">
        <f>IF(VLOOKUP(A86,Buchwert_je_Aktie!A$3:AJ$103,10,FALSE)&lt;&gt;"",IF(VLOOKUP(A86,Schlußkurse!A$5:AU$105,39,FALSE)&gt;0,VLOOKUP(A86,Schlußkurse!A$5:AU$105,39,FALSE)/VLOOKUP(A86,Buchwert_je_Aktie!A$3:AJ$103,10,FALSE),""),"")</f>
        <v>#N/A</v>
      </c>
      <c r="H86" s="79" t="e">
        <f>IF(VLOOKUP(A86,Buchwert_je_Aktie!A$3:AJ$103,11,FALSE)&lt;&gt;"",IF(VLOOKUP(A86,Schlußkurse!A$5:AU$105,40,FALSE)&gt;0,VLOOKUP(A86,Schlußkurse!A$5:AU$105,40,FALSE)/VLOOKUP(A86,Buchwert_je_Aktie!A$3:AJ$103,11,FALSE),""),"")</f>
        <v>#N/A</v>
      </c>
      <c r="I86" s="79" t="e">
        <f>IF(VLOOKUP(A86,Buchwert_je_Aktie!A$3:AJ$103,12,FALSE)&lt;&gt;"",IF(VLOOKUP(A86,Schlußkurse!A$5:AU$105,41,FALSE)&gt;0,VLOOKUP(A86,Schlußkurse!A$5:AU$105,41,FALSE)/VLOOKUP(A86,Buchwert_je_Aktie!A$3:AJ$103,12,FALSE),""),"")</f>
        <v>#N/A</v>
      </c>
      <c r="J86" s="79" t="e">
        <f>IF(VLOOKUP(A86,Buchwert_je_Aktie!A$3:AJ$103,13,FALSE)&lt;&gt;"",IF(VLOOKUP(A86,Schlußkurse!A$5:AU$105,42,FALSE)&gt;0,VLOOKUP(A86,Schlußkurse!A$5:AU$105,42,FALSE)/VLOOKUP(A86,Buchwert_je_Aktie!A$3:AJ$103,13,FALSE),""),"")</f>
        <v>#N/A</v>
      </c>
      <c r="K86" s="79" t="e">
        <f>IF(VLOOKUP(A86,Buchwert_je_Aktie!A$3:AJ$103,14,FALSE)&lt;&gt;"",IF(VLOOKUP(A86,Schlußkurse!A$5:AU$105,43,FALSE)&gt;0,VLOOKUP(A86,Schlußkurse!A$5:AU$105,43,FALSE)/VLOOKUP(A86,Buchwert_je_Aktie!A$3:AJ$103,14,FALSE),""),"")</f>
        <v>#N/A</v>
      </c>
      <c r="L86" s="79" t="e">
        <f>IF(VLOOKUP(A86,Buchwert_je_Aktie!A$3:AJ$103,15,FALSE)&lt;&gt;"",IF(VLOOKUP(A86,Schlußkurse!A$5:AU$105,44,FALSE)&gt;0,VLOOKUP(A86,Schlußkurse!A$5:AU$105,44,FALSE)/VLOOKUP(A86,Buchwert_je_Aktie!A$3:AJ$103,15,FALSE),""),"")</f>
        <v>#N/A</v>
      </c>
      <c r="M86" s="79" t="e">
        <f>IF(VLOOKUP(A86,Buchwert_je_Aktie!A$3:AJ$103,16,FALSE)&lt;&gt;"",IF(VLOOKUP(A86,Schlußkurse!A$5:AU$105,45,FALSE)&gt;0,VLOOKUP(A86,Schlußkurse!A$5:AU$105,45,FALSE)/VLOOKUP(A86,Buchwert_je_Aktie!A$3:AJ$103,16,FALSE),""),"")</f>
        <v>#N/A</v>
      </c>
      <c r="N86" s="79" t="e">
        <f>IF(VLOOKUP(A86,Buchwert_je_Aktie!A$3:AJ$103,17,FALSE)&lt;&gt;"",IF(VLOOKUP(A86,Schlußkurse!A$5:AU$105,46,FALSE)&gt;0,VLOOKUP(A86,Schlußkurse!A$5:AU$105,46,FALSE)/VLOOKUP(A86,Buchwert_je_Aktie!A$3:AJ$103,17,FALSE),""),"")</f>
        <v>#N/A</v>
      </c>
      <c r="O86" s="80" t="e">
        <f>IF(VLOOKUP(A86,Buchwert_je_Aktie!A$3:AJ$103,18,FALSE)&lt;&gt;"",IF(VLOOKUP(A86,Schlußkurse!A$5:AU$105,47,FALSE)&gt;0,VLOOKUP(A86,Schlußkurse!A$5:AU$105,47,FALSE)/VLOOKUP(A86,Buchwert_je_Aktie!A$3:AJ$103,18,FALSE),""),"")</f>
        <v>#N/A</v>
      </c>
      <c r="P86" s="3" t="e">
        <f t="shared" si="2"/>
        <v>#N/A</v>
      </c>
      <c r="Q86" s="3" t="e">
        <f>VLOOKUP(A86,Schlußkurse!A$5:AU$105,35,FALSE)/VLOOKUP(A86,Buchwert_je_Aktie!A$3:AK$103,23,FALSE)</f>
        <v>#N/A</v>
      </c>
      <c r="R86" s="5" t="e">
        <f t="shared" si="3"/>
        <v>#N/A</v>
      </c>
    </row>
    <row r="87" spans="3:18" x14ac:dyDescent="0.25">
      <c r="C87" s="78" t="e">
        <f>IF(VLOOKUP(A87,Buchwert_je_Aktie!A$3:AJ$103,6,FALSE)&lt;&gt;"",IF(VLOOKUP(A87,Schlußkurse!A$5:AU$105,35,FALSE)&gt;0,VLOOKUP(A87,Schlußkurse!A$5:AU$105,35,FALSE) /VLOOKUP(A87,Buchwert_je_Aktie!A$3:AJ$103,6,FALSE),""),"")</f>
        <v>#N/A</v>
      </c>
      <c r="D87" s="79" t="e">
        <f>IF(VLOOKUP(A87,Buchwert_je_Aktie!A$3:AJ$103,7,FALSE)&lt;&gt;"",IF(VLOOKUP(A87,Schlußkurse!A$5:AU$105,36,FALSE)&gt;0,VLOOKUP(A87,Schlußkurse!A$5:AU$105,36,FALSE)/VLOOKUP(A87,Buchwert_je_Aktie!A$3:AJ$103,7,FALSE),""),"")</f>
        <v>#N/A</v>
      </c>
      <c r="E87" s="79" t="e">
        <f>IF(VLOOKUP(A87,Buchwert_je_Aktie!A$3:AJ$103,8,FALSE)&lt;&gt;"",IF(VLOOKUP(A87,Schlußkurse!A$5:AU$105,37,FALSE)&gt;0,VLOOKUP(A87,Schlußkurse!A$5:AU$105,37,FALSE)/VLOOKUP(A87,Buchwert_je_Aktie!A$3:AJ$103,8,FALSE),""),"")</f>
        <v>#N/A</v>
      </c>
      <c r="F87" s="79" t="e">
        <f>IF(VLOOKUP(A87,Buchwert_je_Aktie!A$3:AJ$103,9,FALSE)&lt;&gt;"",IF(VLOOKUP(A87,Schlußkurse!A$5:AU$105,38,FALSE)&gt;0,VLOOKUP(A87,Schlußkurse!A$5:AU$105,38,FALSE)/VLOOKUP(A87,Buchwert_je_Aktie!A$3:AJ$103,9,FALSE),""),"")</f>
        <v>#N/A</v>
      </c>
      <c r="G87" s="79" t="e">
        <f>IF(VLOOKUP(A87,Buchwert_je_Aktie!A$3:AJ$103,10,FALSE)&lt;&gt;"",IF(VLOOKUP(A87,Schlußkurse!A$5:AU$105,39,FALSE)&gt;0,VLOOKUP(A87,Schlußkurse!A$5:AU$105,39,FALSE)/VLOOKUP(A87,Buchwert_je_Aktie!A$3:AJ$103,10,FALSE),""),"")</f>
        <v>#N/A</v>
      </c>
      <c r="H87" s="79" t="e">
        <f>IF(VLOOKUP(A87,Buchwert_je_Aktie!A$3:AJ$103,11,FALSE)&lt;&gt;"",IF(VLOOKUP(A87,Schlußkurse!A$5:AU$105,40,FALSE)&gt;0,VLOOKUP(A87,Schlußkurse!A$5:AU$105,40,FALSE)/VLOOKUP(A87,Buchwert_je_Aktie!A$3:AJ$103,11,FALSE),""),"")</f>
        <v>#N/A</v>
      </c>
      <c r="I87" s="79" t="e">
        <f>IF(VLOOKUP(A87,Buchwert_je_Aktie!A$3:AJ$103,12,FALSE)&lt;&gt;"",IF(VLOOKUP(A87,Schlußkurse!A$5:AU$105,41,FALSE)&gt;0,VLOOKUP(A87,Schlußkurse!A$5:AU$105,41,FALSE)/VLOOKUP(A87,Buchwert_je_Aktie!A$3:AJ$103,12,FALSE),""),"")</f>
        <v>#N/A</v>
      </c>
      <c r="J87" s="79" t="e">
        <f>IF(VLOOKUP(A87,Buchwert_je_Aktie!A$3:AJ$103,13,FALSE)&lt;&gt;"",IF(VLOOKUP(A87,Schlußkurse!A$5:AU$105,42,FALSE)&gt;0,VLOOKUP(A87,Schlußkurse!A$5:AU$105,42,FALSE)/VLOOKUP(A87,Buchwert_je_Aktie!A$3:AJ$103,13,FALSE),""),"")</f>
        <v>#N/A</v>
      </c>
      <c r="K87" s="79" t="e">
        <f>IF(VLOOKUP(A87,Buchwert_je_Aktie!A$3:AJ$103,14,FALSE)&lt;&gt;"",IF(VLOOKUP(A87,Schlußkurse!A$5:AU$105,43,FALSE)&gt;0,VLOOKUP(A87,Schlußkurse!A$5:AU$105,43,FALSE)/VLOOKUP(A87,Buchwert_je_Aktie!A$3:AJ$103,14,FALSE),""),"")</f>
        <v>#N/A</v>
      </c>
      <c r="L87" s="79" t="e">
        <f>IF(VLOOKUP(A87,Buchwert_je_Aktie!A$3:AJ$103,15,FALSE)&lt;&gt;"",IF(VLOOKUP(A87,Schlußkurse!A$5:AU$105,44,FALSE)&gt;0,VLOOKUP(A87,Schlußkurse!A$5:AU$105,44,FALSE)/VLOOKUP(A87,Buchwert_je_Aktie!A$3:AJ$103,15,FALSE),""),"")</f>
        <v>#N/A</v>
      </c>
      <c r="M87" s="79" t="e">
        <f>IF(VLOOKUP(A87,Buchwert_je_Aktie!A$3:AJ$103,16,FALSE)&lt;&gt;"",IF(VLOOKUP(A87,Schlußkurse!A$5:AU$105,45,FALSE)&gt;0,VLOOKUP(A87,Schlußkurse!A$5:AU$105,45,FALSE)/VLOOKUP(A87,Buchwert_je_Aktie!A$3:AJ$103,16,FALSE),""),"")</f>
        <v>#N/A</v>
      </c>
      <c r="N87" s="79" t="e">
        <f>IF(VLOOKUP(A87,Buchwert_je_Aktie!A$3:AJ$103,17,FALSE)&lt;&gt;"",IF(VLOOKUP(A87,Schlußkurse!A$5:AU$105,46,FALSE)&gt;0,VLOOKUP(A87,Schlußkurse!A$5:AU$105,46,FALSE)/VLOOKUP(A87,Buchwert_je_Aktie!A$3:AJ$103,17,FALSE),""),"")</f>
        <v>#N/A</v>
      </c>
      <c r="O87" s="80" t="e">
        <f>IF(VLOOKUP(A87,Buchwert_je_Aktie!A$3:AJ$103,18,FALSE)&lt;&gt;"",IF(VLOOKUP(A87,Schlußkurse!A$5:AU$105,47,FALSE)&gt;0,VLOOKUP(A87,Schlußkurse!A$5:AU$105,47,FALSE)/VLOOKUP(A87,Buchwert_je_Aktie!A$3:AJ$103,18,FALSE),""),"")</f>
        <v>#N/A</v>
      </c>
      <c r="P87" s="3" t="e">
        <f t="shared" si="2"/>
        <v>#N/A</v>
      </c>
      <c r="Q87" s="3" t="e">
        <f>VLOOKUP(A87,Schlußkurse!A$5:AU$105,35,FALSE)/VLOOKUP(A87,Buchwert_je_Aktie!A$3:AK$103,23,FALSE)</f>
        <v>#N/A</v>
      </c>
      <c r="R87" s="5" t="e">
        <f t="shared" si="3"/>
        <v>#N/A</v>
      </c>
    </row>
    <row r="88" spans="3:18" x14ac:dyDescent="0.25">
      <c r="C88" s="78" t="e">
        <f>IF(VLOOKUP(A88,Buchwert_je_Aktie!A$3:AJ$103,6,FALSE)&lt;&gt;"",IF(VLOOKUP(A88,Schlußkurse!A$5:AU$105,35,FALSE)&gt;0,VLOOKUP(A88,Schlußkurse!A$5:AU$105,35,FALSE) /VLOOKUP(A88,Buchwert_je_Aktie!A$3:AJ$103,6,FALSE),""),"")</f>
        <v>#N/A</v>
      </c>
      <c r="D88" s="79" t="e">
        <f>IF(VLOOKUP(A88,Buchwert_je_Aktie!A$3:AJ$103,7,FALSE)&lt;&gt;"",IF(VLOOKUP(A88,Schlußkurse!A$5:AU$105,36,FALSE)&gt;0,VLOOKUP(A88,Schlußkurse!A$5:AU$105,36,FALSE)/VLOOKUP(A88,Buchwert_je_Aktie!A$3:AJ$103,7,FALSE),""),"")</f>
        <v>#N/A</v>
      </c>
      <c r="E88" s="79" t="e">
        <f>IF(VLOOKUP(A88,Buchwert_je_Aktie!A$3:AJ$103,8,FALSE)&lt;&gt;"",IF(VLOOKUP(A88,Schlußkurse!A$5:AU$105,37,FALSE)&gt;0,VLOOKUP(A88,Schlußkurse!A$5:AU$105,37,FALSE)/VLOOKUP(A88,Buchwert_je_Aktie!A$3:AJ$103,8,FALSE),""),"")</f>
        <v>#N/A</v>
      </c>
      <c r="F88" s="79" t="e">
        <f>IF(VLOOKUP(A88,Buchwert_je_Aktie!A$3:AJ$103,9,FALSE)&lt;&gt;"",IF(VLOOKUP(A88,Schlußkurse!A$5:AU$105,38,FALSE)&gt;0,VLOOKUP(A88,Schlußkurse!A$5:AU$105,38,FALSE)/VLOOKUP(A88,Buchwert_je_Aktie!A$3:AJ$103,9,FALSE),""),"")</f>
        <v>#N/A</v>
      </c>
      <c r="G88" s="79" t="e">
        <f>IF(VLOOKUP(A88,Buchwert_je_Aktie!A$3:AJ$103,10,FALSE)&lt;&gt;"",IF(VLOOKUP(A88,Schlußkurse!A$5:AU$105,39,FALSE)&gt;0,VLOOKUP(A88,Schlußkurse!A$5:AU$105,39,FALSE)/VLOOKUP(A88,Buchwert_je_Aktie!A$3:AJ$103,10,FALSE),""),"")</f>
        <v>#N/A</v>
      </c>
      <c r="H88" s="79" t="e">
        <f>IF(VLOOKUP(A88,Buchwert_je_Aktie!A$3:AJ$103,11,FALSE)&lt;&gt;"",IF(VLOOKUP(A88,Schlußkurse!A$5:AU$105,40,FALSE)&gt;0,VLOOKUP(A88,Schlußkurse!A$5:AU$105,40,FALSE)/VLOOKUP(A88,Buchwert_je_Aktie!A$3:AJ$103,11,FALSE),""),"")</f>
        <v>#N/A</v>
      </c>
      <c r="I88" s="79" t="e">
        <f>IF(VLOOKUP(A88,Buchwert_je_Aktie!A$3:AJ$103,12,FALSE)&lt;&gt;"",IF(VLOOKUP(A88,Schlußkurse!A$5:AU$105,41,FALSE)&gt;0,VLOOKUP(A88,Schlußkurse!A$5:AU$105,41,FALSE)/VLOOKUP(A88,Buchwert_je_Aktie!A$3:AJ$103,12,FALSE),""),"")</f>
        <v>#N/A</v>
      </c>
      <c r="J88" s="79" t="e">
        <f>IF(VLOOKUP(A88,Buchwert_je_Aktie!A$3:AJ$103,13,FALSE)&lt;&gt;"",IF(VLOOKUP(A88,Schlußkurse!A$5:AU$105,42,FALSE)&gt;0,VLOOKUP(A88,Schlußkurse!A$5:AU$105,42,FALSE)/VLOOKUP(A88,Buchwert_je_Aktie!A$3:AJ$103,13,FALSE),""),"")</f>
        <v>#N/A</v>
      </c>
      <c r="K88" s="79" t="e">
        <f>IF(VLOOKUP(A88,Buchwert_je_Aktie!A$3:AJ$103,14,FALSE)&lt;&gt;"",IF(VLOOKUP(A88,Schlußkurse!A$5:AU$105,43,FALSE)&gt;0,VLOOKUP(A88,Schlußkurse!A$5:AU$105,43,FALSE)/VLOOKUP(A88,Buchwert_je_Aktie!A$3:AJ$103,14,FALSE),""),"")</f>
        <v>#N/A</v>
      </c>
      <c r="L88" s="79" t="e">
        <f>IF(VLOOKUP(A88,Buchwert_je_Aktie!A$3:AJ$103,15,FALSE)&lt;&gt;"",IF(VLOOKUP(A88,Schlußkurse!A$5:AU$105,44,FALSE)&gt;0,VLOOKUP(A88,Schlußkurse!A$5:AU$105,44,FALSE)/VLOOKUP(A88,Buchwert_je_Aktie!A$3:AJ$103,15,FALSE),""),"")</f>
        <v>#N/A</v>
      </c>
      <c r="M88" s="79" t="e">
        <f>IF(VLOOKUP(A88,Buchwert_je_Aktie!A$3:AJ$103,16,FALSE)&lt;&gt;"",IF(VLOOKUP(A88,Schlußkurse!A$5:AU$105,45,FALSE)&gt;0,VLOOKUP(A88,Schlußkurse!A$5:AU$105,45,FALSE)/VLOOKUP(A88,Buchwert_je_Aktie!A$3:AJ$103,16,FALSE),""),"")</f>
        <v>#N/A</v>
      </c>
      <c r="N88" s="79" t="e">
        <f>IF(VLOOKUP(A88,Buchwert_je_Aktie!A$3:AJ$103,17,FALSE)&lt;&gt;"",IF(VLOOKUP(A88,Schlußkurse!A$5:AU$105,46,FALSE)&gt;0,VLOOKUP(A88,Schlußkurse!A$5:AU$105,46,FALSE)/VLOOKUP(A88,Buchwert_je_Aktie!A$3:AJ$103,17,FALSE),""),"")</f>
        <v>#N/A</v>
      </c>
      <c r="O88" s="80" t="e">
        <f>IF(VLOOKUP(A88,Buchwert_je_Aktie!A$3:AJ$103,18,FALSE)&lt;&gt;"",IF(VLOOKUP(A88,Schlußkurse!A$5:AU$105,47,FALSE)&gt;0,VLOOKUP(A88,Schlußkurse!A$5:AU$105,47,FALSE)/VLOOKUP(A88,Buchwert_je_Aktie!A$3:AJ$103,18,FALSE),""),"")</f>
        <v>#N/A</v>
      </c>
      <c r="P88" s="3" t="e">
        <f t="shared" si="2"/>
        <v>#N/A</v>
      </c>
      <c r="Q88" s="3" t="e">
        <f>VLOOKUP(A88,Schlußkurse!A$5:AU$105,35,FALSE)/VLOOKUP(A88,Buchwert_je_Aktie!A$3:AK$103,23,FALSE)</f>
        <v>#N/A</v>
      </c>
      <c r="R88" s="5" t="e">
        <f t="shared" si="3"/>
        <v>#N/A</v>
      </c>
    </row>
    <row r="89" spans="3:18" x14ac:dyDescent="0.25">
      <c r="C89" s="78" t="e">
        <f>IF(VLOOKUP(A89,Buchwert_je_Aktie!A$3:AJ$103,6,FALSE)&lt;&gt;"",IF(VLOOKUP(A89,Schlußkurse!A$5:AU$105,35,FALSE)&gt;0,VLOOKUP(A89,Schlußkurse!A$5:AU$105,35,FALSE) /VLOOKUP(A89,Buchwert_je_Aktie!A$3:AJ$103,6,FALSE),""),"")</f>
        <v>#N/A</v>
      </c>
      <c r="D89" s="79" t="e">
        <f>IF(VLOOKUP(A89,Buchwert_je_Aktie!A$3:AJ$103,7,FALSE)&lt;&gt;"",IF(VLOOKUP(A89,Schlußkurse!A$5:AU$105,36,FALSE)&gt;0,VLOOKUP(A89,Schlußkurse!A$5:AU$105,36,FALSE)/VLOOKUP(A89,Buchwert_je_Aktie!A$3:AJ$103,7,FALSE),""),"")</f>
        <v>#N/A</v>
      </c>
      <c r="E89" s="79" t="e">
        <f>IF(VLOOKUP(A89,Buchwert_je_Aktie!A$3:AJ$103,8,FALSE)&lt;&gt;"",IF(VLOOKUP(A89,Schlußkurse!A$5:AU$105,37,FALSE)&gt;0,VLOOKUP(A89,Schlußkurse!A$5:AU$105,37,FALSE)/VLOOKUP(A89,Buchwert_je_Aktie!A$3:AJ$103,8,FALSE),""),"")</f>
        <v>#N/A</v>
      </c>
      <c r="F89" s="79" t="e">
        <f>IF(VLOOKUP(A89,Buchwert_je_Aktie!A$3:AJ$103,9,FALSE)&lt;&gt;"",IF(VLOOKUP(A89,Schlußkurse!A$5:AU$105,38,FALSE)&gt;0,VLOOKUP(A89,Schlußkurse!A$5:AU$105,38,FALSE)/VLOOKUP(A89,Buchwert_je_Aktie!A$3:AJ$103,9,FALSE),""),"")</f>
        <v>#N/A</v>
      </c>
      <c r="G89" s="79" t="e">
        <f>IF(VLOOKUP(A89,Buchwert_je_Aktie!A$3:AJ$103,10,FALSE)&lt;&gt;"",IF(VLOOKUP(A89,Schlußkurse!A$5:AU$105,39,FALSE)&gt;0,VLOOKUP(A89,Schlußkurse!A$5:AU$105,39,FALSE)/VLOOKUP(A89,Buchwert_je_Aktie!A$3:AJ$103,10,FALSE),""),"")</f>
        <v>#N/A</v>
      </c>
      <c r="H89" s="79" t="e">
        <f>IF(VLOOKUP(A89,Buchwert_je_Aktie!A$3:AJ$103,11,FALSE)&lt;&gt;"",IF(VLOOKUP(A89,Schlußkurse!A$5:AU$105,40,FALSE)&gt;0,VLOOKUP(A89,Schlußkurse!A$5:AU$105,40,FALSE)/VLOOKUP(A89,Buchwert_je_Aktie!A$3:AJ$103,11,FALSE),""),"")</f>
        <v>#N/A</v>
      </c>
      <c r="I89" s="79" t="e">
        <f>IF(VLOOKUP(A89,Buchwert_je_Aktie!A$3:AJ$103,12,FALSE)&lt;&gt;"",IF(VLOOKUP(A89,Schlußkurse!A$5:AU$105,41,FALSE)&gt;0,VLOOKUP(A89,Schlußkurse!A$5:AU$105,41,FALSE)/VLOOKUP(A89,Buchwert_je_Aktie!A$3:AJ$103,12,FALSE),""),"")</f>
        <v>#N/A</v>
      </c>
      <c r="J89" s="79" t="e">
        <f>IF(VLOOKUP(A89,Buchwert_je_Aktie!A$3:AJ$103,13,FALSE)&lt;&gt;"",IF(VLOOKUP(A89,Schlußkurse!A$5:AU$105,42,FALSE)&gt;0,VLOOKUP(A89,Schlußkurse!A$5:AU$105,42,FALSE)/VLOOKUP(A89,Buchwert_je_Aktie!A$3:AJ$103,13,FALSE),""),"")</f>
        <v>#N/A</v>
      </c>
      <c r="K89" s="79" t="e">
        <f>IF(VLOOKUP(A89,Buchwert_je_Aktie!A$3:AJ$103,14,FALSE)&lt;&gt;"",IF(VLOOKUP(A89,Schlußkurse!A$5:AU$105,43,FALSE)&gt;0,VLOOKUP(A89,Schlußkurse!A$5:AU$105,43,FALSE)/VLOOKUP(A89,Buchwert_je_Aktie!A$3:AJ$103,14,FALSE),""),"")</f>
        <v>#N/A</v>
      </c>
      <c r="L89" s="79" t="e">
        <f>IF(VLOOKUP(A89,Buchwert_je_Aktie!A$3:AJ$103,15,FALSE)&lt;&gt;"",IF(VLOOKUP(A89,Schlußkurse!A$5:AU$105,44,FALSE)&gt;0,VLOOKUP(A89,Schlußkurse!A$5:AU$105,44,FALSE)/VLOOKUP(A89,Buchwert_je_Aktie!A$3:AJ$103,15,FALSE),""),"")</f>
        <v>#N/A</v>
      </c>
      <c r="M89" s="79" t="e">
        <f>IF(VLOOKUP(A89,Buchwert_je_Aktie!A$3:AJ$103,16,FALSE)&lt;&gt;"",IF(VLOOKUP(A89,Schlußkurse!A$5:AU$105,45,FALSE)&gt;0,VLOOKUP(A89,Schlußkurse!A$5:AU$105,45,FALSE)/VLOOKUP(A89,Buchwert_je_Aktie!A$3:AJ$103,16,FALSE),""),"")</f>
        <v>#N/A</v>
      </c>
      <c r="N89" s="79" t="e">
        <f>IF(VLOOKUP(A89,Buchwert_je_Aktie!A$3:AJ$103,17,FALSE)&lt;&gt;"",IF(VLOOKUP(A89,Schlußkurse!A$5:AU$105,46,FALSE)&gt;0,VLOOKUP(A89,Schlußkurse!A$5:AU$105,46,FALSE)/VLOOKUP(A89,Buchwert_je_Aktie!A$3:AJ$103,17,FALSE),""),"")</f>
        <v>#N/A</v>
      </c>
      <c r="O89" s="80" t="e">
        <f>IF(VLOOKUP(A89,Buchwert_je_Aktie!A$3:AJ$103,18,FALSE)&lt;&gt;"",IF(VLOOKUP(A89,Schlußkurse!A$5:AU$105,47,FALSE)&gt;0,VLOOKUP(A89,Schlußkurse!A$5:AU$105,47,FALSE)/VLOOKUP(A89,Buchwert_je_Aktie!A$3:AJ$103,18,FALSE),""),"")</f>
        <v>#N/A</v>
      </c>
      <c r="P89" s="3" t="e">
        <f t="shared" si="2"/>
        <v>#N/A</v>
      </c>
      <c r="Q89" s="3" t="e">
        <f>VLOOKUP(A89,Schlußkurse!A$5:AU$105,35,FALSE)/VLOOKUP(A89,Buchwert_je_Aktie!A$3:AK$103,23,FALSE)</f>
        <v>#N/A</v>
      </c>
      <c r="R89" s="5" t="e">
        <f t="shared" si="3"/>
        <v>#N/A</v>
      </c>
    </row>
    <row r="90" spans="3:18" x14ac:dyDescent="0.25">
      <c r="C90" s="78" t="e">
        <f>IF(VLOOKUP(A90,Buchwert_je_Aktie!A$3:AJ$103,6,FALSE)&lt;&gt;"",IF(VLOOKUP(A90,Schlußkurse!A$5:AU$105,35,FALSE)&gt;0,VLOOKUP(A90,Schlußkurse!A$5:AU$105,35,FALSE) /VLOOKUP(A90,Buchwert_je_Aktie!A$3:AJ$103,6,FALSE),""),"")</f>
        <v>#N/A</v>
      </c>
      <c r="D90" s="79" t="e">
        <f>IF(VLOOKUP(A90,Buchwert_je_Aktie!A$3:AJ$103,7,FALSE)&lt;&gt;"",IF(VLOOKUP(A90,Schlußkurse!A$5:AU$105,36,FALSE)&gt;0,VLOOKUP(A90,Schlußkurse!A$5:AU$105,36,FALSE)/VLOOKUP(A90,Buchwert_je_Aktie!A$3:AJ$103,7,FALSE),""),"")</f>
        <v>#N/A</v>
      </c>
      <c r="E90" s="79" t="e">
        <f>IF(VLOOKUP(A90,Buchwert_je_Aktie!A$3:AJ$103,8,FALSE)&lt;&gt;"",IF(VLOOKUP(A90,Schlußkurse!A$5:AU$105,37,FALSE)&gt;0,VLOOKUP(A90,Schlußkurse!A$5:AU$105,37,FALSE)/VLOOKUP(A90,Buchwert_je_Aktie!A$3:AJ$103,8,FALSE),""),"")</f>
        <v>#N/A</v>
      </c>
      <c r="F90" s="79" t="e">
        <f>IF(VLOOKUP(A90,Buchwert_je_Aktie!A$3:AJ$103,9,FALSE)&lt;&gt;"",IF(VLOOKUP(A90,Schlußkurse!A$5:AU$105,38,FALSE)&gt;0,VLOOKUP(A90,Schlußkurse!A$5:AU$105,38,FALSE)/VLOOKUP(A90,Buchwert_je_Aktie!A$3:AJ$103,9,FALSE),""),"")</f>
        <v>#N/A</v>
      </c>
      <c r="G90" s="79" t="e">
        <f>IF(VLOOKUP(A90,Buchwert_je_Aktie!A$3:AJ$103,10,FALSE)&lt;&gt;"",IF(VLOOKUP(A90,Schlußkurse!A$5:AU$105,39,FALSE)&gt;0,VLOOKUP(A90,Schlußkurse!A$5:AU$105,39,FALSE)/VLOOKUP(A90,Buchwert_je_Aktie!A$3:AJ$103,10,FALSE),""),"")</f>
        <v>#N/A</v>
      </c>
      <c r="H90" s="79" t="e">
        <f>IF(VLOOKUP(A90,Buchwert_je_Aktie!A$3:AJ$103,11,FALSE)&lt;&gt;"",IF(VLOOKUP(A90,Schlußkurse!A$5:AU$105,40,FALSE)&gt;0,VLOOKUP(A90,Schlußkurse!A$5:AU$105,40,FALSE)/VLOOKUP(A90,Buchwert_je_Aktie!A$3:AJ$103,11,FALSE),""),"")</f>
        <v>#N/A</v>
      </c>
      <c r="I90" s="79" t="e">
        <f>IF(VLOOKUP(A90,Buchwert_je_Aktie!A$3:AJ$103,12,FALSE)&lt;&gt;"",IF(VLOOKUP(A90,Schlußkurse!A$5:AU$105,41,FALSE)&gt;0,VLOOKUP(A90,Schlußkurse!A$5:AU$105,41,FALSE)/VLOOKUP(A90,Buchwert_je_Aktie!A$3:AJ$103,12,FALSE),""),"")</f>
        <v>#N/A</v>
      </c>
      <c r="J90" s="79" t="e">
        <f>IF(VLOOKUP(A90,Buchwert_je_Aktie!A$3:AJ$103,13,FALSE)&lt;&gt;"",IF(VLOOKUP(A90,Schlußkurse!A$5:AU$105,42,FALSE)&gt;0,VLOOKUP(A90,Schlußkurse!A$5:AU$105,42,FALSE)/VLOOKUP(A90,Buchwert_je_Aktie!A$3:AJ$103,13,FALSE),""),"")</f>
        <v>#N/A</v>
      </c>
      <c r="K90" s="79" t="e">
        <f>IF(VLOOKUP(A90,Buchwert_je_Aktie!A$3:AJ$103,14,FALSE)&lt;&gt;"",IF(VLOOKUP(A90,Schlußkurse!A$5:AU$105,43,FALSE)&gt;0,VLOOKUP(A90,Schlußkurse!A$5:AU$105,43,FALSE)/VLOOKUP(A90,Buchwert_je_Aktie!A$3:AJ$103,14,FALSE),""),"")</f>
        <v>#N/A</v>
      </c>
      <c r="L90" s="79" t="e">
        <f>IF(VLOOKUP(A90,Buchwert_je_Aktie!A$3:AJ$103,15,FALSE)&lt;&gt;"",IF(VLOOKUP(A90,Schlußkurse!A$5:AU$105,44,FALSE)&gt;0,VLOOKUP(A90,Schlußkurse!A$5:AU$105,44,FALSE)/VLOOKUP(A90,Buchwert_je_Aktie!A$3:AJ$103,15,FALSE),""),"")</f>
        <v>#N/A</v>
      </c>
      <c r="M90" s="79" t="e">
        <f>IF(VLOOKUP(A90,Buchwert_je_Aktie!A$3:AJ$103,16,FALSE)&lt;&gt;"",IF(VLOOKUP(A90,Schlußkurse!A$5:AU$105,45,FALSE)&gt;0,VLOOKUP(A90,Schlußkurse!A$5:AU$105,45,FALSE)/VLOOKUP(A90,Buchwert_je_Aktie!A$3:AJ$103,16,FALSE),""),"")</f>
        <v>#N/A</v>
      </c>
      <c r="N90" s="79" t="e">
        <f>IF(VLOOKUP(A90,Buchwert_je_Aktie!A$3:AJ$103,17,FALSE)&lt;&gt;"",IF(VLOOKUP(A90,Schlußkurse!A$5:AU$105,46,FALSE)&gt;0,VLOOKUP(A90,Schlußkurse!A$5:AU$105,46,FALSE)/VLOOKUP(A90,Buchwert_je_Aktie!A$3:AJ$103,17,FALSE),""),"")</f>
        <v>#N/A</v>
      </c>
      <c r="O90" s="80" t="e">
        <f>IF(VLOOKUP(A90,Buchwert_je_Aktie!A$3:AJ$103,18,FALSE)&lt;&gt;"",IF(VLOOKUP(A90,Schlußkurse!A$5:AU$105,47,FALSE)&gt;0,VLOOKUP(A90,Schlußkurse!A$5:AU$105,47,FALSE)/VLOOKUP(A90,Buchwert_je_Aktie!A$3:AJ$103,18,FALSE),""),"")</f>
        <v>#N/A</v>
      </c>
      <c r="P90" s="3" t="e">
        <f t="shared" si="2"/>
        <v>#N/A</v>
      </c>
      <c r="Q90" s="3" t="e">
        <f>VLOOKUP(A90,Schlußkurse!A$5:AU$105,35,FALSE)/VLOOKUP(A90,Buchwert_je_Aktie!A$3:AK$103,23,FALSE)</f>
        <v>#N/A</v>
      </c>
      <c r="R90" s="5" t="e">
        <f t="shared" si="3"/>
        <v>#N/A</v>
      </c>
    </row>
    <row r="91" spans="3:18" x14ac:dyDescent="0.25">
      <c r="C91" s="78" t="e">
        <f>IF(VLOOKUP(A91,Buchwert_je_Aktie!A$3:AJ$103,6,FALSE)&lt;&gt;"",IF(VLOOKUP(A91,Schlußkurse!A$5:AU$105,35,FALSE)&gt;0,VLOOKUP(A91,Schlußkurse!A$5:AU$105,35,FALSE) /VLOOKUP(A91,Buchwert_je_Aktie!A$3:AJ$103,6,FALSE),""),"")</f>
        <v>#N/A</v>
      </c>
      <c r="D91" s="79" t="e">
        <f>IF(VLOOKUP(A91,Buchwert_je_Aktie!A$3:AJ$103,7,FALSE)&lt;&gt;"",IF(VLOOKUP(A91,Schlußkurse!A$5:AU$105,36,FALSE)&gt;0,VLOOKUP(A91,Schlußkurse!A$5:AU$105,36,FALSE)/VLOOKUP(A91,Buchwert_je_Aktie!A$3:AJ$103,7,FALSE),""),"")</f>
        <v>#N/A</v>
      </c>
      <c r="E91" s="79" t="e">
        <f>IF(VLOOKUP(A91,Buchwert_je_Aktie!A$3:AJ$103,8,FALSE)&lt;&gt;"",IF(VLOOKUP(A91,Schlußkurse!A$5:AU$105,37,FALSE)&gt;0,VLOOKUP(A91,Schlußkurse!A$5:AU$105,37,FALSE)/VLOOKUP(A91,Buchwert_je_Aktie!A$3:AJ$103,8,FALSE),""),"")</f>
        <v>#N/A</v>
      </c>
      <c r="F91" s="79" t="e">
        <f>IF(VLOOKUP(A91,Buchwert_je_Aktie!A$3:AJ$103,9,FALSE)&lt;&gt;"",IF(VLOOKUP(A91,Schlußkurse!A$5:AU$105,38,FALSE)&gt;0,VLOOKUP(A91,Schlußkurse!A$5:AU$105,38,FALSE)/VLOOKUP(A91,Buchwert_je_Aktie!A$3:AJ$103,9,FALSE),""),"")</f>
        <v>#N/A</v>
      </c>
      <c r="G91" s="79" t="e">
        <f>IF(VLOOKUP(A91,Buchwert_je_Aktie!A$3:AJ$103,10,FALSE)&lt;&gt;"",IF(VLOOKUP(A91,Schlußkurse!A$5:AU$105,39,FALSE)&gt;0,VLOOKUP(A91,Schlußkurse!A$5:AU$105,39,FALSE)/VLOOKUP(A91,Buchwert_je_Aktie!A$3:AJ$103,10,FALSE),""),"")</f>
        <v>#N/A</v>
      </c>
      <c r="H91" s="79" t="e">
        <f>IF(VLOOKUP(A91,Buchwert_je_Aktie!A$3:AJ$103,11,FALSE)&lt;&gt;"",IF(VLOOKUP(A91,Schlußkurse!A$5:AU$105,40,FALSE)&gt;0,VLOOKUP(A91,Schlußkurse!A$5:AU$105,40,FALSE)/VLOOKUP(A91,Buchwert_je_Aktie!A$3:AJ$103,11,FALSE),""),"")</f>
        <v>#N/A</v>
      </c>
      <c r="I91" s="79" t="e">
        <f>IF(VLOOKUP(A91,Buchwert_je_Aktie!A$3:AJ$103,12,FALSE)&lt;&gt;"",IF(VLOOKUP(A91,Schlußkurse!A$5:AU$105,41,FALSE)&gt;0,VLOOKUP(A91,Schlußkurse!A$5:AU$105,41,FALSE)/VLOOKUP(A91,Buchwert_je_Aktie!A$3:AJ$103,12,FALSE),""),"")</f>
        <v>#N/A</v>
      </c>
      <c r="J91" s="79" t="e">
        <f>IF(VLOOKUP(A91,Buchwert_je_Aktie!A$3:AJ$103,13,FALSE)&lt;&gt;"",IF(VLOOKUP(A91,Schlußkurse!A$5:AU$105,42,FALSE)&gt;0,VLOOKUP(A91,Schlußkurse!A$5:AU$105,42,FALSE)/VLOOKUP(A91,Buchwert_je_Aktie!A$3:AJ$103,13,FALSE),""),"")</f>
        <v>#N/A</v>
      </c>
      <c r="K91" s="79" t="e">
        <f>IF(VLOOKUP(A91,Buchwert_je_Aktie!A$3:AJ$103,14,FALSE)&lt;&gt;"",IF(VLOOKUP(A91,Schlußkurse!A$5:AU$105,43,FALSE)&gt;0,VLOOKUP(A91,Schlußkurse!A$5:AU$105,43,FALSE)/VLOOKUP(A91,Buchwert_je_Aktie!A$3:AJ$103,14,FALSE),""),"")</f>
        <v>#N/A</v>
      </c>
      <c r="L91" s="79" t="e">
        <f>IF(VLOOKUP(A91,Buchwert_je_Aktie!A$3:AJ$103,15,FALSE)&lt;&gt;"",IF(VLOOKUP(A91,Schlußkurse!A$5:AU$105,44,FALSE)&gt;0,VLOOKUP(A91,Schlußkurse!A$5:AU$105,44,FALSE)/VLOOKUP(A91,Buchwert_je_Aktie!A$3:AJ$103,15,FALSE),""),"")</f>
        <v>#N/A</v>
      </c>
      <c r="M91" s="79" t="e">
        <f>IF(VLOOKUP(A91,Buchwert_je_Aktie!A$3:AJ$103,16,FALSE)&lt;&gt;"",IF(VLOOKUP(A91,Schlußkurse!A$5:AU$105,45,FALSE)&gt;0,VLOOKUP(A91,Schlußkurse!A$5:AU$105,45,FALSE)/VLOOKUP(A91,Buchwert_je_Aktie!A$3:AJ$103,16,FALSE),""),"")</f>
        <v>#N/A</v>
      </c>
      <c r="N91" s="79" t="e">
        <f>IF(VLOOKUP(A91,Buchwert_je_Aktie!A$3:AJ$103,17,FALSE)&lt;&gt;"",IF(VLOOKUP(A91,Schlußkurse!A$5:AU$105,46,FALSE)&gt;0,VLOOKUP(A91,Schlußkurse!A$5:AU$105,46,FALSE)/VLOOKUP(A91,Buchwert_je_Aktie!A$3:AJ$103,17,FALSE),""),"")</f>
        <v>#N/A</v>
      </c>
      <c r="O91" s="80" t="e">
        <f>IF(VLOOKUP(A91,Buchwert_je_Aktie!A$3:AJ$103,18,FALSE)&lt;&gt;"",IF(VLOOKUP(A91,Schlußkurse!A$5:AU$105,47,FALSE)&gt;0,VLOOKUP(A91,Schlußkurse!A$5:AU$105,47,FALSE)/VLOOKUP(A91,Buchwert_je_Aktie!A$3:AJ$103,18,FALSE),""),"")</f>
        <v>#N/A</v>
      </c>
      <c r="P91" s="3" t="e">
        <f t="shared" si="2"/>
        <v>#N/A</v>
      </c>
      <c r="Q91" s="3" t="e">
        <f>VLOOKUP(A91,Schlußkurse!A$5:AU$105,35,FALSE)/VLOOKUP(A91,Buchwert_je_Aktie!A$3:AK$103,23,FALSE)</f>
        <v>#N/A</v>
      </c>
      <c r="R91" s="5" t="e">
        <f t="shared" si="3"/>
        <v>#N/A</v>
      </c>
    </row>
    <row r="92" spans="3:18" x14ac:dyDescent="0.25">
      <c r="C92" s="78" t="e">
        <f>IF(VLOOKUP(A92,Buchwert_je_Aktie!A$3:AJ$103,6,FALSE)&lt;&gt;"",IF(VLOOKUP(A92,Schlußkurse!A$5:AU$105,35,FALSE)&gt;0,VLOOKUP(A92,Schlußkurse!A$5:AU$105,35,FALSE) /VLOOKUP(A92,Buchwert_je_Aktie!A$3:AJ$103,6,FALSE),""),"")</f>
        <v>#N/A</v>
      </c>
      <c r="D92" s="79" t="e">
        <f>IF(VLOOKUP(A92,Buchwert_je_Aktie!A$3:AJ$103,7,FALSE)&lt;&gt;"",IF(VLOOKUP(A92,Schlußkurse!A$5:AU$105,36,FALSE)&gt;0,VLOOKUP(A92,Schlußkurse!A$5:AU$105,36,FALSE)/VLOOKUP(A92,Buchwert_je_Aktie!A$3:AJ$103,7,FALSE),""),"")</f>
        <v>#N/A</v>
      </c>
      <c r="E92" s="79" t="e">
        <f>IF(VLOOKUP(A92,Buchwert_je_Aktie!A$3:AJ$103,8,FALSE)&lt;&gt;"",IF(VLOOKUP(A92,Schlußkurse!A$5:AU$105,37,FALSE)&gt;0,VLOOKUP(A92,Schlußkurse!A$5:AU$105,37,FALSE)/VLOOKUP(A92,Buchwert_je_Aktie!A$3:AJ$103,8,FALSE),""),"")</f>
        <v>#N/A</v>
      </c>
      <c r="F92" s="79" t="e">
        <f>IF(VLOOKUP(A92,Buchwert_je_Aktie!A$3:AJ$103,9,FALSE)&lt;&gt;"",IF(VLOOKUP(A92,Schlußkurse!A$5:AU$105,38,FALSE)&gt;0,VLOOKUP(A92,Schlußkurse!A$5:AU$105,38,FALSE)/VLOOKUP(A92,Buchwert_je_Aktie!A$3:AJ$103,9,FALSE),""),"")</f>
        <v>#N/A</v>
      </c>
      <c r="G92" s="79" t="e">
        <f>IF(VLOOKUP(A92,Buchwert_je_Aktie!A$3:AJ$103,10,FALSE)&lt;&gt;"",IF(VLOOKUP(A92,Schlußkurse!A$5:AU$105,39,FALSE)&gt;0,VLOOKUP(A92,Schlußkurse!A$5:AU$105,39,FALSE)/VLOOKUP(A92,Buchwert_je_Aktie!A$3:AJ$103,10,FALSE),""),"")</f>
        <v>#N/A</v>
      </c>
      <c r="H92" s="79" t="e">
        <f>IF(VLOOKUP(A92,Buchwert_je_Aktie!A$3:AJ$103,11,FALSE)&lt;&gt;"",IF(VLOOKUP(A92,Schlußkurse!A$5:AU$105,40,FALSE)&gt;0,VLOOKUP(A92,Schlußkurse!A$5:AU$105,40,FALSE)/VLOOKUP(A92,Buchwert_je_Aktie!A$3:AJ$103,11,FALSE),""),"")</f>
        <v>#N/A</v>
      </c>
      <c r="I92" s="79" t="e">
        <f>IF(VLOOKUP(A92,Buchwert_je_Aktie!A$3:AJ$103,12,FALSE)&lt;&gt;"",IF(VLOOKUP(A92,Schlußkurse!A$5:AU$105,41,FALSE)&gt;0,VLOOKUP(A92,Schlußkurse!A$5:AU$105,41,FALSE)/VLOOKUP(A92,Buchwert_je_Aktie!A$3:AJ$103,12,FALSE),""),"")</f>
        <v>#N/A</v>
      </c>
      <c r="J92" s="79" t="e">
        <f>IF(VLOOKUP(A92,Buchwert_je_Aktie!A$3:AJ$103,13,FALSE)&lt;&gt;"",IF(VLOOKUP(A92,Schlußkurse!A$5:AU$105,42,FALSE)&gt;0,VLOOKUP(A92,Schlußkurse!A$5:AU$105,42,FALSE)/VLOOKUP(A92,Buchwert_je_Aktie!A$3:AJ$103,13,FALSE),""),"")</f>
        <v>#N/A</v>
      </c>
      <c r="K92" s="79" t="e">
        <f>IF(VLOOKUP(A92,Buchwert_je_Aktie!A$3:AJ$103,14,FALSE)&lt;&gt;"",IF(VLOOKUP(A92,Schlußkurse!A$5:AU$105,43,FALSE)&gt;0,VLOOKUP(A92,Schlußkurse!A$5:AU$105,43,FALSE)/VLOOKUP(A92,Buchwert_je_Aktie!A$3:AJ$103,14,FALSE),""),"")</f>
        <v>#N/A</v>
      </c>
      <c r="L92" s="79" t="e">
        <f>IF(VLOOKUP(A92,Buchwert_je_Aktie!A$3:AJ$103,15,FALSE)&lt;&gt;"",IF(VLOOKUP(A92,Schlußkurse!A$5:AU$105,44,FALSE)&gt;0,VLOOKUP(A92,Schlußkurse!A$5:AU$105,44,FALSE)/VLOOKUP(A92,Buchwert_je_Aktie!A$3:AJ$103,15,FALSE),""),"")</f>
        <v>#N/A</v>
      </c>
      <c r="M92" s="79" t="e">
        <f>IF(VLOOKUP(A92,Buchwert_je_Aktie!A$3:AJ$103,16,FALSE)&lt;&gt;"",IF(VLOOKUP(A92,Schlußkurse!A$5:AU$105,45,FALSE)&gt;0,VLOOKUP(A92,Schlußkurse!A$5:AU$105,45,FALSE)/VLOOKUP(A92,Buchwert_je_Aktie!A$3:AJ$103,16,FALSE),""),"")</f>
        <v>#N/A</v>
      </c>
      <c r="N92" s="79" t="e">
        <f>IF(VLOOKUP(A92,Buchwert_je_Aktie!A$3:AJ$103,17,FALSE)&lt;&gt;"",IF(VLOOKUP(A92,Schlußkurse!A$5:AU$105,46,FALSE)&gt;0,VLOOKUP(A92,Schlußkurse!A$5:AU$105,46,FALSE)/VLOOKUP(A92,Buchwert_je_Aktie!A$3:AJ$103,17,FALSE),""),"")</f>
        <v>#N/A</v>
      </c>
      <c r="O92" s="80" t="e">
        <f>IF(VLOOKUP(A92,Buchwert_je_Aktie!A$3:AJ$103,18,FALSE)&lt;&gt;"",IF(VLOOKUP(A92,Schlußkurse!A$5:AU$105,47,FALSE)&gt;0,VLOOKUP(A92,Schlußkurse!A$5:AU$105,47,FALSE)/VLOOKUP(A92,Buchwert_je_Aktie!A$3:AJ$103,18,FALSE),""),"")</f>
        <v>#N/A</v>
      </c>
      <c r="P92" s="3" t="e">
        <f t="shared" si="2"/>
        <v>#N/A</v>
      </c>
      <c r="Q92" s="3" t="e">
        <f>VLOOKUP(A92,Schlußkurse!A$5:AU$105,35,FALSE)/VLOOKUP(A92,Buchwert_je_Aktie!A$3:AK$103,23,FALSE)</f>
        <v>#N/A</v>
      </c>
      <c r="R92" s="5" t="e">
        <f t="shared" si="3"/>
        <v>#N/A</v>
      </c>
    </row>
    <row r="93" spans="3:18" x14ac:dyDescent="0.25">
      <c r="C93" s="78" t="e">
        <f>IF(VLOOKUP(A93,Buchwert_je_Aktie!A$3:AJ$103,6,FALSE)&lt;&gt;"",IF(VLOOKUP(A93,Schlußkurse!A$5:AU$105,35,FALSE)&gt;0,VLOOKUP(A93,Schlußkurse!A$5:AU$105,35,FALSE) /VLOOKUP(A93,Buchwert_je_Aktie!A$3:AJ$103,6,FALSE),""),"")</f>
        <v>#N/A</v>
      </c>
      <c r="D93" s="79" t="e">
        <f>IF(VLOOKUP(A93,Buchwert_je_Aktie!A$3:AJ$103,7,FALSE)&lt;&gt;"",IF(VLOOKUP(A93,Schlußkurse!A$5:AU$105,36,FALSE)&gt;0,VLOOKUP(A93,Schlußkurse!A$5:AU$105,36,FALSE)/VLOOKUP(A93,Buchwert_je_Aktie!A$3:AJ$103,7,FALSE),""),"")</f>
        <v>#N/A</v>
      </c>
      <c r="E93" s="79" t="e">
        <f>IF(VLOOKUP(A93,Buchwert_je_Aktie!A$3:AJ$103,8,FALSE)&lt;&gt;"",IF(VLOOKUP(A93,Schlußkurse!A$5:AU$105,37,FALSE)&gt;0,VLOOKUP(A93,Schlußkurse!A$5:AU$105,37,FALSE)/VLOOKUP(A93,Buchwert_je_Aktie!A$3:AJ$103,8,FALSE),""),"")</f>
        <v>#N/A</v>
      </c>
      <c r="F93" s="79" t="e">
        <f>IF(VLOOKUP(A93,Buchwert_je_Aktie!A$3:AJ$103,9,FALSE)&lt;&gt;"",IF(VLOOKUP(A93,Schlußkurse!A$5:AU$105,38,FALSE)&gt;0,VLOOKUP(A93,Schlußkurse!A$5:AU$105,38,FALSE)/VLOOKUP(A93,Buchwert_je_Aktie!A$3:AJ$103,9,FALSE),""),"")</f>
        <v>#N/A</v>
      </c>
      <c r="G93" s="79" t="e">
        <f>IF(VLOOKUP(A93,Buchwert_je_Aktie!A$3:AJ$103,10,FALSE)&lt;&gt;"",IF(VLOOKUP(A93,Schlußkurse!A$5:AU$105,39,FALSE)&gt;0,VLOOKUP(A93,Schlußkurse!A$5:AU$105,39,FALSE)/VLOOKUP(A93,Buchwert_je_Aktie!A$3:AJ$103,10,FALSE),""),"")</f>
        <v>#N/A</v>
      </c>
      <c r="H93" s="79" t="e">
        <f>IF(VLOOKUP(A93,Buchwert_je_Aktie!A$3:AJ$103,11,FALSE)&lt;&gt;"",IF(VLOOKUP(A93,Schlußkurse!A$5:AU$105,40,FALSE)&gt;0,VLOOKUP(A93,Schlußkurse!A$5:AU$105,40,FALSE)/VLOOKUP(A93,Buchwert_je_Aktie!A$3:AJ$103,11,FALSE),""),"")</f>
        <v>#N/A</v>
      </c>
      <c r="I93" s="79" t="e">
        <f>IF(VLOOKUP(A93,Buchwert_je_Aktie!A$3:AJ$103,12,FALSE)&lt;&gt;"",IF(VLOOKUP(A93,Schlußkurse!A$5:AU$105,41,FALSE)&gt;0,VLOOKUP(A93,Schlußkurse!A$5:AU$105,41,FALSE)/VLOOKUP(A93,Buchwert_je_Aktie!A$3:AJ$103,12,FALSE),""),"")</f>
        <v>#N/A</v>
      </c>
      <c r="J93" s="79" t="e">
        <f>IF(VLOOKUP(A93,Buchwert_je_Aktie!A$3:AJ$103,13,FALSE)&lt;&gt;"",IF(VLOOKUP(A93,Schlußkurse!A$5:AU$105,42,FALSE)&gt;0,VLOOKUP(A93,Schlußkurse!A$5:AU$105,42,FALSE)/VLOOKUP(A93,Buchwert_je_Aktie!A$3:AJ$103,13,FALSE),""),"")</f>
        <v>#N/A</v>
      </c>
      <c r="K93" s="79" t="e">
        <f>IF(VLOOKUP(A93,Buchwert_je_Aktie!A$3:AJ$103,14,FALSE)&lt;&gt;"",IF(VLOOKUP(A93,Schlußkurse!A$5:AU$105,43,FALSE)&gt;0,VLOOKUP(A93,Schlußkurse!A$5:AU$105,43,FALSE)/VLOOKUP(A93,Buchwert_je_Aktie!A$3:AJ$103,14,FALSE),""),"")</f>
        <v>#N/A</v>
      </c>
      <c r="L93" s="79" t="e">
        <f>IF(VLOOKUP(A93,Buchwert_je_Aktie!A$3:AJ$103,15,FALSE)&lt;&gt;"",IF(VLOOKUP(A93,Schlußkurse!A$5:AU$105,44,FALSE)&gt;0,VLOOKUP(A93,Schlußkurse!A$5:AU$105,44,FALSE)/VLOOKUP(A93,Buchwert_je_Aktie!A$3:AJ$103,15,FALSE),""),"")</f>
        <v>#N/A</v>
      </c>
      <c r="M93" s="79" t="e">
        <f>IF(VLOOKUP(A93,Buchwert_je_Aktie!A$3:AJ$103,16,FALSE)&lt;&gt;"",IF(VLOOKUP(A93,Schlußkurse!A$5:AU$105,45,FALSE)&gt;0,VLOOKUP(A93,Schlußkurse!A$5:AU$105,45,FALSE)/VLOOKUP(A93,Buchwert_je_Aktie!A$3:AJ$103,16,FALSE),""),"")</f>
        <v>#N/A</v>
      </c>
      <c r="N93" s="79" t="e">
        <f>IF(VLOOKUP(A93,Buchwert_je_Aktie!A$3:AJ$103,17,FALSE)&lt;&gt;"",IF(VLOOKUP(A93,Schlußkurse!A$5:AU$105,46,FALSE)&gt;0,VLOOKUP(A93,Schlußkurse!A$5:AU$105,46,FALSE)/VLOOKUP(A93,Buchwert_je_Aktie!A$3:AJ$103,17,FALSE),""),"")</f>
        <v>#N/A</v>
      </c>
      <c r="O93" s="80" t="e">
        <f>IF(VLOOKUP(A93,Buchwert_je_Aktie!A$3:AJ$103,18,FALSE)&lt;&gt;"",IF(VLOOKUP(A93,Schlußkurse!A$5:AU$105,47,FALSE)&gt;0,VLOOKUP(A93,Schlußkurse!A$5:AU$105,47,FALSE)/VLOOKUP(A93,Buchwert_je_Aktie!A$3:AJ$103,18,FALSE),""),"")</f>
        <v>#N/A</v>
      </c>
      <c r="P93" s="3" t="e">
        <f t="shared" si="2"/>
        <v>#N/A</v>
      </c>
      <c r="Q93" s="3" t="e">
        <f>VLOOKUP(A93,Schlußkurse!A$5:AU$105,35,FALSE)/VLOOKUP(A93,Buchwert_je_Aktie!A$3:AK$103,23,FALSE)</f>
        <v>#N/A</v>
      </c>
      <c r="R93" s="5" t="e">
        <f t="shared" si="3"/>
        <v>#N/A</v>
      </c>
    </row>
    <row r="94" spans="3:18" x14ac:dyDescent="0.25">
      <c r="C94" s="78" t="e">
        <f>IF(VLOOKUP(A94,Buchwert_je_Aktie!A$3:AJ$103,6,FALSE)&lt;&gt;"",IF(VLOOKUP(A94,Schlußkurse!A$5:AU$105,35,FALSE)&gt;0,VLOOKUP(A94,Schlußkurse!A$5:AU$105,35,FALSE) /VLOOKUP(A94,Buchwert_je_Aktie!A$3:AJ$103,6,FALSE),""),"")</f>
        <v>#N/A</v>
      </c>
      <c r="D94" s="79" t="e">
        <f>IF(VLOOKUP(A94,Buchwert_je_Aktie!A$3:AJ$103,7,FALSE)&lt;&gt;"",IF(VLOOKUP(A94,Schlußkurse!A$5:AU$105,36,FALSE)&gt;0,VLOOKUP(A94,Schlußkurse!A$5:AU$105,36,FALSE)/VLOOKUP(A94,Buchwert_je_Aktie!A$3:AJ$103,7,FALSE),""),"")</f>
        <v>#N/A</v>
      </c>
      <c r="E94" s="79" t="e">
        <f>IF(VLOOKUP(A94,Buchwert_je_Aktie!A$3:AJ$103,8,FALSE)&lt;&gt;"",IF(VLOOKUP(A94,Schlußkurse!A$5:AU$105,37,FALSE)&gt;0,VLOOKUP(A94,Schlußkurse!A$5:AU$105,37,FALSE)/VLOOKUP(A94,Buchwert_je_Aktie!A$3:AJ$103,8,FALSE),""),"")</f>
        <v>#N/A</v>
      </c>
      <c r="F94" s="79" t="e">
        <f>IF(VLOOKUP(A94,Buchwert_je_Aktie!A$3:AJ$103,9,FALSE)&lt;&gt;"",IF(VLOOKUP(A94,Schlußkurse!A$5:AU$105,38,FALSE)&gt;0,VLOOKUP(A94,Schlußkurse!A$5:AU$105,38,FALSE)/VLOOKUP(A94,Buchwert_je_Aktie!A$3:AJ$103,9,FALSE),""),"")</f>
        <v>#N/A</v>
      </c>
      <c r="G94" s="79" t="e">
        <f>IF(VLOOKUP(A94,Buchwert_je_Aktie!A$3:AJ$103,10,FALSE)&lt;&gt;"",IF(VLOOKUP(A94,Schlußkurse!A$5:AU$105,39,FALSE)&gt;0,VLOOKUP(A94,Schlußkurse!A$5:AU$105,39,FALSE)/VLOOKUP(A94,Buchwert_je_Aktie!A$3:AJ$103,10,FALSE),""),"")</f>
        <v>#N/A</v>
      </c>
      <c r="H94" s="79" t="e">
        <f>IF(VLOOKUP(A94,Buchwert_je_Aktie!A$3:AJ$103,11,FALSE)&lt;&gt;"",IF(VLOOKUP(A94,Schlußkurse!A$5:AU$105,40,FALSE)&gt;0,VLOOKUP(A94,Schlußkurse!A$5:AU$105,40,FALSE)/VLOOKUP(A94,Buchwert_je_Aktie!A$3:AJ$103,11,FALSE),""),"")</f>
        <v>#N/A</v>
      </c>
      <c r="I94" s="79" t="e">
        <f>IF(VLOOKUP(A94,Buchwert_je_Aktie!A$3:AJ$103,12,FALSE)&lt;&gt;"",IF(VLOOKUP(A94,Schlußkurse!A$5:AU$105,41,FALSE)&gt;0,VLOOKUP(A94,Schlußkurse!A$5:AU$105,41,FALSE)/VLOOKUP(A94,Buchwert_je_Aktie!A$3:AJ$103,12,FALSE),""),"")</f>
        <v>#N/A</v>
      </c>
      <c r="J94" s="79" t="e">
        <f>IF(VLOOKUP(A94,Buchwert_je_Aktie!A$3:AJ$103,13,FALSE)&lt;&gt;"",IF(VLOOKUP(A94,Schlußkurse!A$5:AU$105,42,FALSE)&gt;0,VLOOKUP(A94,Schlußkurse!A$5:AU$105,42,FALSE)/VLOOKUP(A94,Buchwert_je_Aktie!A$3:AJ$103,13,FALSE),""),"")</f>
        <v>#N/A</v>
      </c>
      <c r="K94" s="79" t="e">
        <f>IF(VLOOKUP(A94,Buchwert_je_Aktie!A$3:AJ$103,14,FALSE)&lt;&gt;"",IF(VLOOKUP(A94,Schlußkurse!A$5:AU$105,43,FALSE)&gt;0,VLOOKUP(A94,Schlußkurse!A$5:AU$105,43,FALSE)/VLOOKUP(A94,Buchwert_je_Aktie!A$3:AJ$103,14,FALSE),""),"")</f>
        <v>#N/A</v>
      </c>
      <c r="L94" s="79" t="e">
        <f>IF(VLOOKUP(A94,Buchwert_je_Aktie!A$3:AJ$103,15,FALSE)&lt;&gt;"",IF(VLOOKUP(A94,Schlußkurse!A$5:AU$105,44,FALSE)&gt;0,VLOOKUP(A94,Schlußkurse!A$5:AU$105,44,FALSE)/VLOOKUP(A94,Buchwert_je_Aktie!A$3:AJ$103,15,FALSE),""),"")</f>
        <v>#N/A</v>
      </c>
      <c r="M94" s="79" t="e">
        <f>IF(VLOOKUP(A94,Buchwert_je_Aktie!A$3:AJ$103,16,FALSE)&lt;&gt;"",IF(VLOOKUP(A94,Schlußkurse!A$5:AU$105,45,FALSE)&gt;0,VLOOKUP(A94,Schlußkurse!A$5:AU$105,45,FALSE)/VLOOKUP(A94,Buchwert_je_Aktie!A$3:AJ$103,16,FALSE),""),"")</f>
        <v>#N/A</v>
      </c>
      <c r="N94" s="79" t="e">
        <f>IF(VLOOKUP(A94,Buchwert_je_Aktie!A$3:AJ$103,17,FALSE)&lt;&gt;"",IF(VLOOKUP(A94,Schlußkurse!A$5:AU$105,46,FALSE)&gt;0,VLOOKUP(A94,Schlußkurse!A$5:AU$105,46,FALSE)/VLOOKUP(A94,Buchwert_je_Aktie!A$3:AJ$103,17,FALSE),""),"")</f>
        <v>#N/A</v>
      </c>
      <c r="O94" s="80" t="e">
        <f>IF(VLOOKUP(A94,Buchwert_je_Aktie!A$3:AJ$103,18,FALSE)&lt;&gt;"",IF(VLOOKUP(A94,Schlußkurse!A$5:AU$105,47,FALSE)&gt;0,VLOOKUP(A94,Schlußkurse!A$5:AU$105,47,FALSE)/VLOOKUP(A94,Buchwert_je_Aktie!A$3:AJ$103,18,FALSE),""),"")</f>
        <v>#N/A</v>
      </c>
      <c r="P94" s="3" t="e">
        <f t="shared" si="2"/>
        <v>#N/A</v>
      </c>
      <c r="Q94" s="3" t="e">
        <f>VLOOKUP(A94,Schlußkurse!A$5:AU$105,35,FALSE)/VLOOKUP(A94,Buchwert_je_Aktie!A$3:AK$103,23,FALSE)</f>
        <v>#N/A</v>
      </c>
      <c r="R94" s="5" t="e">
        <f t="shared" si="3"/>
        <v>#N/A</v>
      </c>
    </row>
    <row r="95" spans="3:18" x14ac:dyDescent="0.25">
      <c r="C95" s="78" t="e">
        <f>IF(VLOOKUP(A95,Buchwert_je_Aktie!A$3:AJ$103,6,FALSE)&lt;&gt;"",IF(VLOOKUP(A95,Schlußkurse!A$5:AU$105,35,FALSE)&gt;0,VLOOKUP(A95,Schlußkurse!A$5:AU$105,35,FALSE) /VLOOKUP(A95,Buchwert_je_Aktie!A$3:AJ$103,6,FALSE),""),"")</f>
        <v>#N/A</v>
      </c>
      <c r="D95" s="79" t="e">
        <f>IF(VLOOKUP(A95,Buchwert_je_Aktie!A$3:AJ$103,7,FALSE)&lt;&gt;"",IF(VLOOKUP(A95,Schlußkurse!A$5:AU$105,36,FALSE)&gt;0,VLOOKUP(A95,Schlußkurse!A$5:AU$105,36,FALSE)/VLOOKUP(A95,Buchwert_je_Aktie!A$3:AJ$103,7,FALSE),""),"")</f>
        <v>#N/A</v>
      </c>
      <c r="E95" s="79" t="e">
        <f>IF(VLOOKUP(A95,Buchwert_je_Aktie!A$3:AJ$103,8,FALSE)&lt;&gt;"",IF(VLOOKUP(A95,Schlußkurse!A$5:AU$105,37,FALSE)&gt;0,VLOOKUP(A95,Schlußkurse!A$5:AU$105,37,FALSE)/VLOOKUP(A95,Buchwert_je_Aktie!A$3:AJ$103,8,FALSE),""),"")</f>
        <v>#N/A</v>
      </c>
      <c r="F95" s="79" t="e">
        <f>IF(VLOOKUP(A95,Buchwert_je_Aktie!A$3:AJ$103,9,FALSE)&lt;&gt;"",IF(VLOOKUP(A95,Schlußkurse!A$5:AU$105,38,FALSE)&gt;0,VLOOKUP(A95,Schlußkurse!A$5:AU$105,38,FALSE)/VLOOKUP(A95,Buchwert_je_Aktie!A$3:AJ$103,9,FALSE),""),"")</f>
        <v>#N/A</v>
      </c>
      <c r="G95" s="79" t="e">
        <f>IF(VLOOKUP(A95,Buchwert_je_Aktie!A$3:AJ$103,10,FALSE)&lt;&gt;"",IF(VLOOKUP(A95,Schlußkurse!A$5:AU$105,39,FALSE)&gt;0,VLOOKUP(A95,Schlußkurse!A$5:AU$105,39,FALSE)/VLOOKUP(A95,Buchwert_je_Aktie!A$3:AJ$103,10,FALSE),""),"")</f>
        <v>#N/A</v>
      </c>
      <c r="H95" s="79" t="e">
        <f>IF(VLOOKUP(A95,Buchwert_je_Aktie!A$3:AJ$103,11,FALSE)&lt;&gt;"",IF(VLOOKUP(A95,Schlußkurse!A$5:AU$105,40,FALSE)&gt;0,VLOOKUP(A95,Schlußkurse!A$5:AU$105,40,FALSE)/VLOOKUP(A95,Buchwert_je_Aktie!A$3:AJ$103,11,FALSE),""),"")</f>
        <v>#N/A</v>
      </c>
      <c r="I95" s="79" t="e">
        <f>IF(VLOOKUP(A95,Buchwert_je_Aktie!A$3:AJ$103,12,FALSE)&lt;&gt;"",IF(VLOOKUP(A95,Schlußkurse!A$5:AU$105,41,FALSE)&gt;0,VLOOKUP(A95,Schlußkurse!A$5:AU$105,41,FALSE)/VLOOKUP(A95,Buchwert_je_Aktie!A$3:AJ$103,12,FALSE),""),"")</f>
        <v>#N/A</v>
      </c>
      <c r="J95" s="79" t="e">
        <f>IF(VLOOKUP(A95,Buchwert_je_Aktie!A$3:AJ$103,13,FALSE)&lt;&gt;"",IF(VLOOKUP(A95,Schlußkurse!A$5:AU$105,42,FALSE)&gt;0,VLOOKUP(A95,Schlußkurse!A$5:AU$105,42,FALSE)/VLOOKUP(A95,Buchwert_je_Aktie!A$3:AJ$103,13,FALSE),""),"")</f>
        <v>#N/A</v>
      </c>
      <c r="K95" s="79" t="e">
        <f>IF(VLOOKUP(A95,Buchwert_je_Aktie!A$3:AJ$103,14,FALSE)&lt;&gt;"",IF(VLOOKUP(A95,Schlußkurse!A$5:AU$105,43,FALSE)&gt;0,VLOOKUP(A95,Schlußkurse!A$5:AU$105,43,FALSE)/VLOOKUP(A95,Buchwert_je_Aktie!A$3:AJ$103,14,FALSE),""),"")</f>
        <v>#N/A</v>
      </c>
      <c r="L95" s="79" t="e">
        <f>IF(VLOOKUP(A95,Buchwert_je_Aktie!A$3:AJ$103,15,FALSE)&lt;&gt;"",IF(VLOOKUP(A95,Schlußkurse!A$5:AU$105,44,FALSE)&gt;0,VLOOKUP(A95,Schlußkurse!A$5:AU$105,44,FALSE)/VLOOKUP(A95,Buchwert_je_Aktie!A$3:AJ$103,15,FALSE),""),"")</f>
        <v>#N/A</v>
      </c>
      <c r="M95" s="79" t="e">
        <f>IF(VLOOKUP(A95,Buchwert_je_Aktie!A$3:AJ$103,16,FALSE)&lt;&gt;"",IF(VLOOKUP(A95,Schlußkurse!A$5:AU$105,45,FALSE)&gt;0,VLOOKUP(A95,Schlußkurse!A$5:AU$105,45,FALSE)/VLOOKUP(A95,Buchwert_je_Aktie!A$3:AJ$103,16,FALSE),""),"")</f>
        <v>#N/A</v>
      </c>
      <c r="N95" s="79" t="e">
        <f>IF(VLOOKUP(A95,Buchwert_je_Aktie!A$3:AJ$103,17,FALSE)&lt;&gt;"",IF(VLOOKUP(A95,Schlußkurse!A$5:AU$105,46,FALSE)&gt;0,VLOOKUP(A95,Schlußkurse!A$5:AU$105,46,FALSE)/VLOOKUP(A95,Buchwert_je_Aktie!A$3:AJ$103,17,FALSE),""),"")</f>
        <v>#N/A</v>
      </c>
      <c r="O95" s="80" t="e">
        <f>IF(VLOOKUP(A95,Buchwert_je_Aktie!A$3:AJ$103,18,FALSE)&lt;&gt;"",IF(VLOOKUP(A95,Schlußkurse!A$5:AU$105,47,FALSE)&gt;0,VLOOKUP(A95,Schlußkurse!A$5:AU$105,47,FALSE)/VLOOKUP(A95,Buchwert_je_Aktie!A$3:AJ$103,18,FALSE),""),"")</f>
        <v>#N/A</v>
      </c>
      <c r="P95" s="3" t="e">
        <f t="shared" si="2"/>
        <v>#N/A</v>
      </c>
      <c r="Q95" s="3" t="e">
        <f>VLOOKUP(A95,Schlußkurse!A$5:AU$105,35,FALSE)/VLOOKUP(A95,Buchwert_je_Aktie!A$3:AK$103,23,FALSE)</f>
        <v>#N/A</v>
      </c>
      <c r="R95" s="5" t="e">
        <f t="shared" si="3"/>
        <v>#N/A</v>
      </c>
    </row>
    <row r="96" spans="3:18" x14ac:dyDescent="0.25">
      <c r="C96" s="78" t="e">
        <f>IF(VLOOKUP(A96,Buchwert_je_Aktie!A$3:AJ$103,6,FALSE)&lt;&gt;"",IF(VLOOKUP(A96,Schlußkurse!A$5:AU$105,35,FALSE)&gt;0,VLOOKUP(A96,Schlußkurse!A$5:AU$105,35,FALSE) /VLOOKUP(A96,Buchwert_je_Aktie!A$3:AJ$103,6,FALSE),""),"")</f>
        <v>#N/A</v>
      </c>
      <c r="D96" s="79" t="e">
        <f>IF(VLOOKUP(A96,Buchwert_je_Aktie!A$3:AJ$103,7,FALSE)&lt;&gt;"",IF(VLOOKUP(A96,Schlußkurse!A$5:AU$105,36,FALSE)&gt;0,VLOOKUP(A96,Schlußkurse!A$5:AU$105,36,FALSE)/VLOOKUP(A96,Buchwert_je_Aktie!A$3:AJ$103,7,FALSE),""),"")</f>
        <v>#N/A</v>
      </c>
      <c r="E96" s="79" t="e">
        <f>IF(VLOOKUP(A96,Buchwert_je_Aktie!A$3:AJ$103,8,FALSE)&lt;&gt;"",IF(VLOOKUP(A96,Schlußkurse!A$5:AU$105,37,FALSE)&gt;0,VLOOKUP(A96,Schlußkurse!A$5:AU$105,37,FALSE)/VLOOKUP(A96,Buchwert_je_Aktie!A$3:AJ$103,8,FALSE),""),"")</f>
        <v>#N/A</v>
      </c>
      <c r="F96" s="79" t="e">
        <f>IF(VLOOKUP(A96,Buchwert_je_Aktie!A$3:AJ$103,9,FALSE)&lt;&gt;"",IF(VLOOKUP(A96,Schlußkurse!A$5:AU$105,38,FALSE)&gt;0,VLOOKUP(A96,Schlußkurse!A$5:AU$105,38,FALSE)/VLOOKUP(A96,Buchwert_je_Aktie!A$3:AJ$103,9,FALSE),""),"")</f>
        <v>#N/A</v>
      </c>
      <c r="G96" s="79" t="e">
        <f>IF(VLOOKUP(A96,Buchwert_je_Aktie!A$3:AJ$103,10,FALSE)&lt;&gt;"",IF(VLOOKUP(A96,Schlußkurse!A$5:AU$105,39,FALSE)&gt;0,VLOOKUP(A96,Schlußkurse!A$5:AU$105,39,FALSE)/VLOOKUP(A96,Buchwert_je_Aktie!A$3:AJ$103,10,FALSE),""),"")</f>
        <v>#N/A</v>
      </c>
      <c r="H96" s="79" t="e">
        <f>IF(VLOOKUP(A96,Buchwert_je_Aktie!A$3:AJ$103,11,FALSE)&lt;&gt;"",IF(VLOOKUP(A96,Schlußkurse!A$5:AU$105,40,FALSE)&gt;0,VLOOKUP(A96,Schlußkurse!A$5:AU$105,40,FALSE)/VLOOKUP(A96,Buchwert_je_Aktie!A$3:AJ$103,11,FALSE),""),"")</f>
        <v>#N/A</v>
      </c>
      <c r="I96" s="79" t="e">
        <f>IF(VLOOKUP(A96,Buchwert_je_Aktie!A$3:AJ$103,12,FALSE)&lt;&gt;"",IF(VLOOKUP(A96,Schlußkurse!A$5:AU$105,41,FALSE)&gt;0,VLOOKUP(A96,Schlußkurse!A$5:AU$105,41,FALSE)/VLOOKUP(A96,Buchwert_je_Aktie!A$3:AJ$103,12,FALSE),""),"")</f>
        <v>#N/A</v>
      </c>
      <c r="J96" s="79" t="e">
        <f>IF(VLOOKUP(A96,Buchwert_je_Aktie!A$3:AJ$103,13,FALSE)&lt;&gt;"",IF(VLOOKUP(A96,Schlußkurse!A$5:AU$105,42,FALSE)&gt;0,VLOOKUP(A96,Schlußkurse!A$5:AU$105,42,FALSE)/VLOOKUP(A96,Buchwert_je_Aktie!A$3:AJ$103,13,FALSE),""),"")</f>
        <v>#N/A</v>
      </c>
      <c r="K96" s="79" t="e">
        <f>IF(VLOOKUP(A96,Buchwert_je_Aktie!A$3:AJ$103,14,FALSE)&lt;&gt;"",IF(VLOOKUP(A96,Schlußkurse!A$5:AU$105,43,FALSE)&gt;0,VLOOKUP(A96,Schlußkurse!A$5:AU$105,43,FALSE)/VLOOKUP(A96,Buchwert_je_Aktie!A$3:AJ$103,14,FALSE),""),"")</f>
        <v>#N/A</v>
      </c>
      <c r="L96" s="79" t="e">
        <f>IF(VLOOKUP(A96,Buchwert_je_Aktie!A$3:AJ$103,15,FALSE)&lt;&gt;"",IF(VLOOKUP(A96,Schlußkurse!A$5:AU$105,44,FALSE)&gt;0,VLOOKUP(A96,Schlußkurse!A$5:AU$105,44,FALSE)/VLOOKUP(A96,Buchwert_je_Aktie!A$3:AJ$103,15,FALSE),""),"")</f>
        <v>#N/A</v>
      </c>
      <c r="M96" s="79" t="e">
        <f>IF(VLOOKUP(A96,Buchwert_je_Aktie!A$3:AJ$103,16,FALSE)&lt;&gt;"",IF(VLOOKUP(A96,Schlußkurse!A$5:AU$105,45,FALSE)&gt;0,VLOOKUP(A96,Schlußkurse!A$5:AU$105,45,FALSE)/VLOOKUP(A96,Buchwert_je_Aktie!A$3:AJ$103,16,FALSE),""),"")</f>
        <v>#N/A</v>
      </c>
      <c r="N96" s="79" t="e">
        <f>IF(VLOOKUP(A96,Buchwert_je_Aktie!A$3:AJ$103,17,FALSE)&lt;&gt;"",IF(VLOOKUP(A96,Schlußkurse!A$5:AU$105,46,FALSE)&gt;0,VLOOKUP(A96,Schlußkurse!A$5:AU$105,46,FALSE)/VLOOKUP(A96,Buchwert_je_Aktie!A$3:AJ$103,17,FALSE),""),"")</f>
        <v>#N/A</v>
      </c>
      <c r="O96" s="80" t="e">
        <f>IF(VLOOKUP(A96,Buchwert_je_Aktie!A$3:AJ$103,18,FALSE)&lt;&gt;"",IF(VLOOKUP(A96,Schlußkurse!A$5:AU$105,47,FALSE)&gt;0,VLOOKUP(A96,Schlußkurse!A$5:AU$105,47,FALSE)/VLOOKUP(A96,Buchwert_je_Aktie!A$3:AJ$103,18,FALSE),""),"")</f>
        <v>#N/A</v>
      </c>
      <c r="P96" s="3" t="e">
        <f t="shared" si="2"/>
        <v>#N/A</v>
      </c>
      <c r="Q96" s="3" t="e">
        <f>VLOOKUP(A96,Schlußkurse!A$5:AU$105,35,FALSE)/VLOOKUP(A96,Buchwert_je_Aktie!A$3:AK$103,23,FALSE)</f>
        <v>#N/A</v>
      </c>
      <c r="R96" s="5" t="e">
        <f t="shared" si="3"/>
        <v>#N/A</v>
      </c>
    </row>
    <row r="97" spans="3:18" x14ac:dyDescent="0.25">
      <c r="C97" s="78" t="e">
        <f>IF(VLOOKUP(A97,Buchwert_je_Aktie!A$3:AJ$103,6,FALSE)&lt;&gt;"",IF(VLOOKUP(A97,Schlußkurse!A$5:AU$105,35,FALSE)&gt;0,VLOOKUP(A97,Schlußkurse!A$5:AU$105,35,FALSE) /VLOOKUP(A97,Buchwert_je_Aktie!A$3:AJ$103,6,FALSE),""),"")</f>
        <v>#N/A</v>
      </c>
      <c r="D97" s="79" t="e">
        <f>IF(VLOOKUP(A97,Buchwert_je_Aktie!A$3:AJ$103,7,FALSE)&lt;&gt;"",IF(VLOOKUP(A97,Schlußkurse!A$5:AU$105,36,FALSE)&gt;0,VLOOKUP(A97,Schlußkurse!A$5:AU$105,36,FALSE)/VLOOKUP(A97,Buchwert_je_Aktie!A$3:AJ$103,7,FALSE),""),"")</f>
        <v>#N/A</v>
      </c>
      <c r="E97" s="79" t="e">
        <f>IF(VLOOKUP(A97,Buchwert_je_Aktie!A$3:AJ$103,8,FALSE)&lt;&gt;"",IF(VLOOKUP(A97,Schlußkurse!A$5:AU$105,37,FALSE)&gt;0,VLOOKUP(A97,Schlußkurse!A$5:AU$105,37,FALSE)/VLOOKUP(A97,Buchwert_je_Aktie!A$3:AJ$103,8,FALSE),""),"")</f>
        <v>#N/A</v>
      </c>
      <c r="F97" s="79" t="e">
        <f>IF(VLOOKUP(A97,Buchwert_je_Aktie!A$3:AJ$103,9,FALSE)&lt;&gt;"",IF(VLOOKUP(A97,Schlußkurse!A$5:AU$105,38,FALSE)&gt;0,VLOOKUP(A97,Schlußkurse!A$5:AU$105,38,FALSE)/VLOOKUP(A97,Buchwert_je_Aktie!A$3:AJ$103,9,FALSE),""),"")</f>
        <v>#N/A</v>
      </c>
      <c r="G97" s="79" t="e">
        <f>IF(VLOOKUP(A97,Buchwert_je_Aktie!A$3:AJ$103,10,FALSE)&lt;&gt;"",IF(VLOOKUP(A97,Schlußkurse!A$5:AU$105,39,FALSE)&gt;0,VLOOKUP(A97,Schlußkurse!A$5:AU$105,39,FALSE)/VLOOKUP(A97,Buchwert_je_Aktie!A$3:AJ$103,10,FALSE),""),"")</f>
        <v>#N/A</v>
      </c>
      <c r="H97" s="79" t="e">
        <f>IF(VLOOKUP(A97,Buchwert_je_Aktie!A$3:AJ$103,11,FALSE)&lt;&gt;"",IF(VLOOKUP(A97,Schlußkurse!A$5:AU$105,40,FALSE)&gt;0,VLOOKUP(A97,Schlußkurse!A$5:AU$105,40,FALSE)/VLOOKUP(A97,Buchwert_je_Aktie!A$3:AJ$103,11,FALSE),""),"")</f>
        <v>#N/A</v>
      </c>
      <c r="I97" s="79" t="e">
        <f>IF(VLOOKUP(A97,Buchwert_je_Aktie!A$3:AJ$103,12,FALSE)&lt;&gt;"",IF(VLOOKUP(A97,Schlußkurse!A$5:AU$105,41,FALSE)&gt;0,VLOOKUP(A97,Schlußkurse!A$5:AU$105,41,FALSE)/VLOOKUP(A97,Buchwert_je_Aktie!A$3:AJ$103,12,FALSE),""),"")</f>
        <v>#N/A</v>
      </c>
      <c r="J97" s="79" t="e">
        <f>IF(VLOOKUP(A97,Buchwert_je_Aktie!A$3:AJ$103,13,FALSE)&lt;&gt;"",IF(VLOOKUP(A97,Schlußkurse!A$5:AU$105,42,FALSE)&gt;0,VLOOKUP(A97,Schlußkurse!A$5:AU$105,42,FALSE)/VLOOKUP(A97,Buchwert_je_Aktie!A$3:AJ$103,13,FALSE),""),"")</f>
        <v>#N/A</v>
      </c>
      <c r="K97" s="79" t="e">
        <f>IF(VLOOKUP(A97,Buchwert_je_Aktie!A$3:AJ$103,14,FALSE)&lt;&gt;"",IF(VLOOKUP(A97,Schlußkurse!A$5:AU$105,43,FALSE)&gt;0,VLOOKUP(A97,Schlußkurse!A$5:AU$105,43,FALSE)/VLOOKUP(A97,Buchwert_je_Aktie!A$3:AJ$103,14,FALSE),""),"")</f>
        <v>#N/A</v>
      </c>
      <c r="L97" s="79" t="e">
        <f>IF(VLOOKUP(A97,Buchwert_je_Aktie!A$3:AJ$103,15,FALSE)&lt;&gt;"",IF(VLOOKUP(A97,Schlußkurse!A$5:AU$105,44,FALSE)&gt;0,VLOOKUP(A97,Schlußkurse!A$5:AU$105,44,FALSE)/VLOOKUP(A97,Buchwert_je_Aktie!A$3:AJ$103,15,FALSE),""),"")</f>
        <v>#N/A</v>
      </c>
      <c r="M97" s="79" t="e">
        <f>IF(VLOOKUP(A97,Buchwert_je_Aktie!A$3:AJ$103,16,FALSE)&lt;&gt;"",IF(VLOOKUP(A97,Schlußkurse!A$5:AU$105,45,FALSE)&gt;0,VLOOKUP(A97,Schlußkurse!A$5:AU$105,45,FALSE)/VLOOKUP(A97,Buchwert_je_Aktie!A$3:AJ$103,16,FALSE),""),"")</f>
        <v>#N/A</v>
      </c>
      <c r="N97" s="79" t="e">
        <f>IF(VLOOKUP(A97,Buchwert_je_Aktie!A$3:AJ$103,17,FALSE)&lt;&gt;"",IF(VLOOKUP(A97,Schlußkurse!A$5:AU$105,46,FALSE)&gt;0,VLOOKUP(A97,Schlußkurse!A$5:AU$105,46,FALSE)/VLOOKUP(A97,Buchwert_je_Aktie!A$3:AJ$103,17,FALSE),""),"")</f>
        <v>#N/A</v>
      </c>
      <c r="O97" s="80" t="e">
        <f>IF(VLOOKUP(A97,Buchwert_je_Aktie!A$3:AJ$103,18,FALSE)&lt;&gt;"",IF(VLOOKUP(A97,Schlußkurse!A$5:AU$105,47,FALSE)&gt;0,VLOOKUP(A97,Schlußkurse!A$5:AU$105,47,FALSE)/VLOOKUP(A97,Buchwert_je_Aktie!A$3:AJ$103,18,FALSE),""),"")</f>
        <v>#N/A</v>
      </c>
      <c r="P97" s="3" t="e">
        <f t="shared" si="2"/>
        <v>#N/A</v>
      </c>
      <c r="Q97" s="3" t="e">
        <f>VLOOKUP(A97,Schlußkurse!A$5:AU$105,35,FALSE)/VLOOKUP(A97,Buchwert_je_Aktie!A$3:AK$103,23,FALSE)</f>
        <v>#N/A</v>
      </c>
      <c r="R97" s="5" t="e">
        <f t="shared" si="3"/>
        <v>#N/A</v>
      </c>
    </row>
    <row r="98" spans="3:18" x14ac:dyDescent="0.25">
      <c r="C98" s="78" t="e">
        <f>IF(VLOOKUP(A98,Buchwert_je_Aktie!A$3:AJ$103,6,FALSE)&lt;&gt;"",IF(VLOOKUP(A98,Schlußkurse!A$5:AU$105,35,FALSE)&gt;0,VLOOKUP(A98,Schlußkurse!A$5:AU$105,35,FALSE) /VLOOKUP(A98,Buchwert_je_Aktie!A$3:AJ$103,6,FALSE),""),"")</f>
        <v>#N/A</v>
      </c>
      <c r="D98" s="79" t="e">
        <f>IF(VLOOKUP(A98,Buchwert_je_Aktie!A$3:AJ$103,7,FALSE)&lt;&gt;"",IF(VLOOKUP(A98,Schlußkurse!A$5:AU$105,36,FALSE)&gt;0,VLOOKUP(A98,Schlußkurse!A$5:AU$105,36,FALSE)/VLOOKUP(A98,Buchwert_je_Aktie!A$3:AJ$103,7,FALSE),""),"")</f>
        <v>#N/A</v>
      </c>
      <c r="E98" s="79" t="e">
        <f>IF(VLOOKUP(A98,Buchwert_je_Aktie!A$3:AJ$103,8,FALSE)&lt;&gt;"",IF(VLOOKUP(A98,Schlußkurse!A$5:AU$105,37,FALSE)&gt;0,VLOOKUP(A98,Schlußkurse!A$5:AU$105,37,FALSE)/VLOOKUP(A98,Buchwert_je_Aktie!A$3:AJ$103,8,FALSE),""),"")</f>
        <v>#N/A</v>
      </c>
      <c r="F98" s="79" t="e">
        <f>IF(VLOOKUP(A98,Buchwert_je_Aktie!A$3:AJ$103,9,FALSE)&lt;&gt;"",IF(VLOOKUP(A98,Schlußkurse!A$5:AU$105,38,FALSE)&gt;0,VLOOKUP(A98,Schlußkurse!A$5:AU$105,38,FALSE)/VLOOKUP(A98,Buchwert_je_Aktie!A$3:AJ$103,9,FALSE),""),"")</f>
        <v>#N/A</v>
      </c>
      <c r="G98" s="79" t="e">
        <f>IF(VLOOKUP(A98,Buchwert_je_Aktie!A$3:AJ$103,10,FALSE)&lt;&gt;"",IF(VLOOKUP(A98,Schlußkurse!A$5:AU$105,39,FALSE)&gt;0,VLOOKUP(A98,Schlußkurse!A$5:AU$105,39,FALSE)/VLOOKUP(A98,Buchwert_je_Aktie!A$3:AJ$103,10,FALSE),""),"")</f>
        <v>#N/A</v>
      </c>
      <c r="H98" s="79" t="e">
        <f>IF(VLOOKUP(A98,Buchwert_je_Aktie!A$3:AJ$103,11,FALSE)&lt;&gt;"",IF(VLOOKUP(A98,Schlußkurse!A$5:AU$105,40,FALSE)&gt;0,VLOOKUP(A98,Schlußkurse!A$5:AU$105,40,FALSE)/VLOOKUP(A98,Buchwert_je_Aktie!A$3:AJ$103,11,FALSE),""),"")</f>
        <v>#N/A</v>
      </c>
      <c r="I98" s="79" t="e">
        <f>IF(VLOOKUP(A98,Buchwert_je_Aktie!A$3:AJ$103,12,FALSE)&lt;&gt;"",IF(VLOOKUP(A98,Schlußkurse!A$5:AU$105,41,FALSE)&gt;0,VLOOKUP(A98,Schlußkurse!A$5:AU$105,41,FALSE)/VLOOKUP(A98,Buchwert_je_Aktie!A$3:AJ$103,12,FALSE),""),"")</f>
        <v>#N/A</v>
      </c>
      <c r="J98" s="79" t="e">
        <f>IF(VLOOKUP(A98,Buchwert_je_Aktie!A$3:AJ$103,13,FALSE)&lt;&gt;"",IF(VLOOKUP(A98,Schlußkurse!A$5:AU$105,42,FALSE)&gt;0,VLOOKUP(A98,Schlußkurse!A$5:AU$105,42,FALSE)/VLOOKUP(A98,Buchwert_je_Aktie!A$3:AJ$103,13,FALSE),""),"")</f>
        <v>#N/A</v>
      </c>
      <c r="K98" s="79" t="e">
        <f>IF(VLOOKUP(A98,Buchwert_je_Aktie!A$3:AJ$103,14,FALSE)&lt;&gt;"",IF(VLOOKUP(A98,Schlußkurse!A$5:AU$105,43,FALSE)&gt;0,VLOOKUP(A98,Schlußkurse!A$5:AU$105,43,FALSE)/VLOOKUP(A98,Buchwert_je_Aktie!A$3:AJ$103,14,FALSE),""),"")</f>
        <v>#N/A</v>
      </c>
      <c r="L98" s="79" t="e">
        <f>IF(VLOOKUP(A98,Buchwert_je_Aktie!A$3:AJ$103,15,FALSE)&lt;&gt;"",IF(VLOOKUP(A98,Schlußkurse!A$5:AU$105,44,FALSE)&gt;0,VLOOKUP(A98,Schlußkurse!A$5:AU$105,44,FALSE)/VLOOKUP(A98,Buchwert_je_Aktie!A$3:AJ$103,15,FALSE),""),"")</f>
        <v>#N/A</v>
      </c>
      <c r="M98" s="79" t="e">
        <f>IF(VLOOKUP(A98,Buchwert_je_Aktie!A$3:AJ$103,16,FALSE)&lt;&gt;"",IF(VLOOKUP(A98,Schlußkurse!A$5:AU$105,45,FALSE)&gt;0,VLOOKUP(A98,Schlußkurse!A$5:AU$105,45,FALSE)/VLOOKUP(A98,Buchwert_je_Aktie!A$3:AJ$103,16,FALSE),""),"")</f>
        <v>#N/A</v>
      </c>
      <c r="N98" s="79" t="e">
        <f>IF(VLOOKUP(A98,Buchwert_je_Aktie!A$3:AJ$103,17,FALSE)&lt;&gt;"",IF(VLOOKUP(A98,Schlußkurse!A$5:AU$105,46,FALSE)&gt;0,VLOOKUP(A98,Schlußkurse!A$5:AU$105,46,FALSE)/VLOOKUP(A98,Buchwert_je_Aktie!A$3:AJ$103,17,FALSE),""),"")</f>
        <v>#N/A</v>
      </c>
      <c r="O98" s="80" t="e">
        <f>IF(VLOOKUP(A98,Buchwert_je_Aktie!A$3:AJ$103,18,FALSE)&lt;&gt;"",IF(VLOOKUP(A98,Schlußkurse!A$5:AU$105,47,FALSE)&gt;0,VLOOKUP(A98,Schlußkurse!A$5:AU$105,47,FALSE)/VLOOKUP(A98,Buchwert_je_Aktie!A$3:AJ$103,18,FALSE),""),"")</f>
        <v>#N/A</v>
      </c>
      <c r="P98" s="3" t="e">
        <f t="shared" si="2"/>
        <v>#N/A</v>
      </c>
      <c r="Q98" s="3" t="e">
        <f>VLOOKUP(A98,Schlußkurse!A$5:AU$105,35,FALSE)/VLOOKUP(A98,Buchwert_je_Aktie!A$3:AK$103,23,FALSE)</f>
        <v>#N/A</v>
      </c>
      <c r="R98" s="5" t="e">
        <f t="shared" si="3"/>
        <v>#N/A</v>
      </c>
    </row>
    <row r="99" spans="3:18" x14ac:dyDescent="0.25">
      <c r="C99" s="78" t="e">
        <f>IF(VLOOKUP(A99,Buchwert_je_Aktie!A$3:AJ$103,6,FALSE)&lt;&gt;"",IF(VLOOKUP(A99,Schlußkurse!A$5:AU$105,35,FALSE)&gt;0,VLOOKUP(A99,Schlußkurse!A$5:AU$105,35,FALSE) /VLOOKUP(A99,Buchwert_je_Aktie!A$3:AJ$103,6,FALSE),""),"")</f>
        <v>#N/A</v>
      </c>
      <c r="D99" s="79" t="e">
        <f>IF(VLOOKUP(A99,Buchwert_je_Aktie!A$3:AJ$103,7,FALSE)&lt;&gt;"",IF(VLOOKUP(A99,Schlußkurse!A$5:AU$105,36,FALSE)&gt;0,VLOOKUP(A99,Schlußkurse!A$5:AU$105,36,FALSE)/VLOOKUP(A99,Buchwert_je_Aktie!A$3:AJ$103,7,FALSE),""),"")</f>
        <v>#N/A</v>
      </c>
      <c r="E99" s="79" t="e">
        <f>IF(VLOOKUP(A99,Buchwert_je_Aktie!A$3:AJ$103,8,FALSE)&lt;&gt;"",IF(VLOOKUP(A99,Schlußkurse!A$5:AU$105,37,FALSE)&gt;0,VLOOKUP(A99,Schlußkurse!A$5:AU$105,37,FALSE)/VLOOKUP(A99,Buchwert_je_Aktie!A$3:AJ$103,8,FALSE),""),"")</f>
        <v>#N/A</v>
      </c>
      <c r="F99" s="79" t="e">
        <f>IF(VLOOKUP(A99,Buchwert_je_Aktie!A$3:AJ$103,9,FALSE)&lt;&gt;"",IF(VLOOKUP(A99,Schlußkurse!A$5:AU$105,38,FALSE)&gt;0,VLOOKUP(A99,Schlußkurse!A$5:AU$105,38,FALSE)/VLOOKUP(A99,Buchwert_je_Aktie!A$3:AJ$103,9,FALSE),""),"")</f>
        <v>#N/A</v>
      </c>
      <c r="G99" s="79" t="e">
        <f>IF(VLOOKUP(A99,Buchwert_je_Aktie!A$3:AJ$103,10,FALSE)&lt;&gt;"",IF(VLOOKUP(A99,Schlußkurse!A$5:AU$105,39,FALSE)&gt;0,VLOOKUP(A99,Schlußkurse!A$5:AU$105,39,FALSE)/VLOOKUP(A99,Buchwert_je_Aktie!A$3:AJ$103,10,FALSE),""),"")</f>
        <v>#N/A</v>
      </c>
      <c r="H99" s="79" t="e">
        <f>IF(VLOOKUP(A99,Buchwert_je_Aktie!A$3:AJ$103,11,FALSE)&lt;&gt;"",IF(VLOOKUP(A99,Schlußkurse!A$5:AU$105,40,FALSE)&gt;0,VLOOKUP(A99,Schlußkurse!A$5:AU$105,40,FALSE)/VLOOKUP(A99,Buchwert_je_Aktie!A$3:AJ$103,11,FALSE),""),"")</f>
        <v>#N/A</v>
      </c>
      <c r="I99" s="79" t="e">
        <f>IF(VLOOKUP(A99,Buchwert_je_Aktie!A$3:AJ$103,12,FALSE)&lt;&gt;"",IF(VLOOKUP(A99,Schlußkurse!A$5:AU$105,41,FALSE)&gt;0,VLOOKUP(A99,Schlußkurse!A$5:AU$105,41,FALSE)/VLOOKUP(A99,Buchwert_je_Aktie!A$3:AJ$103,12,FALSE),""),"")</f>
        <v>#N/A</v>
      </c>
      <c r="J99" s="79" t="e">
        <f>IF(VLOOKUP(A99,Buchwert_je_Aktie!A$3:AJ$103,13,FALSE)&lt;&gt;"",IF(VLOOKUP(A99,Schlußkurse!A$5:AU$105,42,FALSE)&gt;0,VLOOKUP(A99,Schlußkurse!A$5:AU$105,42,FALSE)/VLOOKUP(A99,Buchwert_je_Aktie!A$3:AJ$103,13,FALSE),""),"")</f>
        <v>#N/A</v>
      </c>
      <c r="K99" s="79" t="e">
        <f>IF(VLOOKUP(A99,Buchwert_je_Aktie!A$3:AJ$103,14,FALSE)&lt;&gt;"",IF(VLOOKUP(A99,Schlußkurse!A$5:AU$105,43,FALSE)&gt;0,VLOOKUP(A99,Schlußkurse!A$5:AU$105,43,FALSE)/VLOOKUP(A99,Buchwert_je_Aktie!A$3:AJ$103,14,FALSE),""),"")</f>
        <v>#N/A</v>
      </c>
      <c r="L99" s="79" t="e">
        <f>IF(VLOOKUP(A99,Buchwert_je_Aktie!A$3:AJ$103,15,FALSE)&lt;&gt;"",IF(VLOOKUP(A99,Schlußkurse!A$5:AU$105,44,FALSE)&gt;0,VLOOKUP(A99,Schlußkurse!A$5:AU$105,44,FALSE)/VLOOKUP(A99,Buchwert_je_Aktie!A$3:AJ$103,15,FALSE),""),"")</f>
        <v>#N/A</v>
      </c>
      <c r="M99" s="79" t="e">
        <f>IF(VLOOKUP(A99,Buchwert_je_Aktie!A$3:AJ$103,16,FALSE)&lt;&gt;"",IF(VLOOKUP(A99,Schlußkurse!A$5:AU$105,45,FALSE)&gt;0,VLOOKUP(A99,Schlußkurse!A$5:AU$105,45,FALSE)/VLOOKUP(A99,Buchwert_je_Aktie!A$3:AJ$103,16,FALSE),""),"")</f>
        <v>#N/A</v>
      </c>
      <c r="N99" s="79" t="e">
        <f>IF(VLOOKUP(A99,Buchwert_je_Aktie!A$3:AJ$103,17,FALSE)&lt;&gt;"",IF(VLOOKUP(A99,Schlußkurse!A$5:AU$105,46,FALSE)&gt;0,VLOOKUP(A99,Schlußkurse!A$5:AU$105,46,FALSE)/VLOOKUP(A99,Buchwert_je_Aktie!A$3:AJ$103,17,FALSE),""),"")</f>
        <v>#N/A</v>
      </c>
      <c r="O99" s="80" t="e">
        <f>IF(VLOOKUP(A99,Buchwert_je_Aktie!A$3:AJ$103,18,FALSE)&lt;&gt;"",IF(VLOOKUP(A99,Schlußkurse!A$5:AU$105,47,FALSE)&gt;0,VLOOKUP(A99,Schlußkurse!A$5:AU$105,47,FALSE)/VLOOKUP(A99,Buchwert_je_Aktie!A$3:AJ$103,18,FALSE),""),"")</f>
        <v>#N/A</v>
      </c>
      <c r="P99" s="3" t="e">
        <f t="shared" si="2"/>
        <v>#N/A</v>
      </c>
      <c r="Q99" s="3" t="e">
        <f>VLOOKUP(A99,Schlußkurse!A$5:AU$105,35,FALSE)/VLOOKUP(A99,Buchwert_je_Aktie!A$3:AK$103,23,FALSE)</f>
        <v>#N/A</v>
      </c>
      <c r="R99" s="5" t="e">
        <f t="shared" si="3"/>
        <v>#N/A</v>
      </c>
    </row>
    <row r="100" spans="3:18" x14ac:dyDescent="0.25">
      <c r="C100" s="78" t="e">
        <f>IF(VLOOKUP(A100,Buchwert_je_Aktie!A$3:AJ$103,6,FALSE)&lt;&gt;"",IF(VLOOKUP(A100,Schlußkurse!A$5:AU$105,35,FALSE)&gt;0,VLOOKUP(A100,Schlußkurse!A$5:AU$105,35,FALSE) /VLOOKUP(A100,Buchwert_je_Aktie!A$3:AJ$103,6,FALSE),""),"")</f>
        <v>#N/A</v>
      </c>
      <c r="D100" s="79" t="e">
        <f>IF(VLOOKUP(A100,Buchwert_je_Aktie!A$3:AJ$103,7,FALSE)&lt;&gt;"",IF(VLOOKUP(A100,Schlußkurse!A$5:AU$105,36,FALSE)&gt;0,VLOOKUP(A100,Schlußkurse!A$5:AU$105,36,FALSE)/VLOOKUP(A100,Buchwert_je_Aktie!A$3:AJ$103,7,FALSE),""),"")</f>
        <v>#N/A</v>
      </c>
      <c r="E100" s="79" t="e">
        <f>IF(VLOOKUP(A100,Buchwert_je_Aktie!A$3:AJ$103,8,FALSE)&lt;&gt;"",IF(VLOOKUP(A100,Schlußkurse!A$5:AU$105,37,FALSE)&gt;0,VLOOKUP(A100,Schlußkurse!A$5:AU$105,37,FALSE)/VLOOKUP(A100,Buchwert_je_Aktie!A$3:AJ$103,8,FALSE),""),"")</f>
        <v>#N/A</v>
      </c>
      <c r="F100" s="79" t="e">
        <f>IF(VLOOKUP(A100,Buchwert_je_Aktie!A$3:AJ$103,9,FALSE)&lt;&gt;"",IF(VLOOKUP(A100,Schlußkurse!A$5:AU$105,38,FALSE)&gt;0,VLOOKUP(A100,Schlußkurse!A$5:AU$105,38,FALSE)/VLOOKUP(A100,Buchwert_je_Aktie!A$3:AJ$103,9,FALSE),""),"")</f>
        <v>#N/A</v>
      </c>
      <c r="G100" s="79" t="e">
        <f>IF(VLOOKUP(A100,Buchwert_je_Aktie!A$3:AJ$103,10,FALSE)&lt;&gt;"",IF(VLOOKUP(A100,Schlußkurse!A$5:AU$105,39,FALSE)&gt;0,VLOOKUP(A100,Schlußkurse!A$5:AU$105,39,FALSE)/VLOOKUP(A100,Buchwert_je_Aktie!A$3:AJ$103,10,FALSE),""),"")</f>
        <v>#N/A</v>
      </c>
      <c r="H100" s="79" t="e">
        <f>IF(VLOOKUP(A100,Buchwert_je_Aktie!A$3:AJ$103,11,FALSE)&lt;&gt;"",IF(VLOOKUP(A100,Schlußkurse!A$5:AU$105,40,FALSE)&gt;0,VLOOKUP(A100,Schlußkurse!A$5:AU$105,40,FALSE)/VLOOKUP(A100,Buchwert_je_Aktie!A$3:AJ$103,11,FALSE),""),"")</f>
        <v>#N/A</v>
      </c>
      <c r="I100" s="79" t="e">
        <f>IF(VLOOKUP(A100,Buchwert_je_Aktie!A$3:AJ$103,12,FALSE)&lt;&gt;"",IF(VLOOKUP(A100,Schlußkurse!A$5:AU$105,41,FALSE)&gt;0,VLOOKUP(A100,Schlußkurse!A$5:AU$105,41,FALSE)/VLOOKUP(A100,Buchwert_je_Aktie!A$3:AJ$103,12,FALSE),""),"")</f>
        <v>#N/A</v>
      </c>
      <c r="J100" s="79" t="e">
        <f>IF(VLOOKUP(A100,Buchwert_je_Aktie!A$3:AJ$103,13,FALSE)&lt;&gt;"",IF(VLOOKUP(A100,Schlußkurse!A$5:AU$105,42,FALSE)&gt;0,VLOOKUP(A100,Schlußkurse!A$5:AU$105,42,FALSE)/VLOOKUP(A100,Buchwert_je_Aktie!A$3:AJ$103,13,FALSE),""),"")</f>
        <v>#N/A</v>
      </c>
      <c r="K100" s="79" t="e">
        <f>IF(VLOOKUP(A100,Buchwert_je_Aktie!A$3:AJ$103,14,FALSE)&lt;&gt;"",IF(VLOOKUP(A100,Schlußkurse!A$5:AU$105,43,FALSE)&gt;0,VLOOKUP(A100,Schlußkurse!A$5:AU$105,43,FALSE)/VLOOKUP(A100,Buchwert_je_Aktie!A$3:AJ$103,14,FALSE),""),"")</f>
        <v>#N/A</v>
      </c>
      <c r="L100" s="79" t="e">
        <f>IF(VLOOKUP(A100,Buchwert_je_Aktie!A$3:AJ$103,15,FALSE)&lt;&gt;"",IF(VLOOKUP(A100,Schlußkurse!A$5:AU$105,44,FALSE)&gt;0,VLOOKUP(A100,Schlußkurse!A$5:AU$105,44,FALSE)/VLOOKUP(A100,Buchwert_je_Aktie!A$3:AJ$103,15,FALSE),""),"")</f>
        <v>#N/A</v>
      </c>
      <c r="M100" s="79" t="e">
        <f>IF(VLOOKUP(A100,Buchwert_je_Aktie!A$3:AJ$103,16,FALSE)&lt;&gt;"",IF(VLOOKUP(A100,Schlußkurse!A$5:AU$105,45,FALSE)&gt;0,VLOOKUP(A100,Schlußkurse!A$5:AU$105,45,FALSE)/VLOOKUP(A100,Buchwert_je_Aktie!A$3:AJ$103,16,FALSE),""),"")</f>
        <v>#N/A</v>
      </c>
      <c r="N100" s="79" t="e">
        <f>IF(VLOOKUP(A100,Buchwert_je_Aktie!A$3:AJ$103,17,FALSE)&lt;&gt;"",IF(VLOOKUP(A100,Schlußkurse!A$5:AU$105,46,FALSE)&gt;0,VLOOKUP(A100,Schlußkurse!A$5:AU$105,46,FALSE)/VLOOKUP(A100,Buchwert_je_Aktie!A$3:AJ$103,17,FALSE),""),"")</f>
        <v>#N/A</v>
      </c>
      <c r="O100" s="80" t="e">
        <f>IF(VLOOKUP(A100,Buchwert_je_Aktie!A$3:AJ$103,18,FALSE)&lt;&gt;"",IF(VLOOKUP(A100,Schlußkurse!A$5:AU$105,47,FALSE)&gt;0,VLOOKUP(A100,Schlußkurse!A$5:AU$105,47,FALSE)/VLOOKUP(A100,Buchwert_je_Aktie!A$3:AJ$103,18,FALSE),""),"")</f>
        <v>#N/A</v>
      </c>
      <c r="P100" s="3" t="e">
        <f t="shared" si="2"/>
        <v>#N/A</v>
      </c>
      <c r="Q100" s="3" t="e">
        <f>VLOOKUP(A100,Schlußkurse!A$5:AU$105,35,FALSE)/VLOOKUP(A100,Buchwert_je_Aktie!A$3:AK$103,23,FALSE)</f>
        <v>#N/A</v>
      </c>
      <c r="R100" s="5" t="e">
        <f t="shared" si="3"/>
        <v>#N/A</v>
      </c>
    </row>
    <row r="101" spans="3:18" x14ac:dyDescent="0.25">
      <c r="C101" s="78" t="e">
        <f>IF(VLOOKUP(A101,Buchwert_je_Aktie!A$3:AJ$103,6,FALSE)&lt;&gt;"",IF(VLOOKUP(A101,Schlußkurse!A$5:AU$105,35,FALSE)&gt;0,VLOOKUP(A101,Schlußkurse!A$5:AU$105,35,FALSE) /VLOOKUP(A101,Buchwert_je_Aktie!A$3:AJ$103,6,FALSE),""),"")</f>
        <v>#N/A</v>
      </c>
      <c r="D101" s="79" t="e">
        <f>IF(VLOOKUP(A101,Buchwert_je_Aktie!A$3:AJ$103,7,FALSE)&lt;&gt;"",IF(VLOOKUP(A101,Schlußkurse!A$5:AU$105,36,FALSE)&gt;0,VLOOKUP(A101,Schlußkurse!A$5:AU$105,36,FALSE)/VLOOKUP(A101,Buchwert_je_Aktie!A$3:AJ$103,7,FALSE),""),"")</f>
        <v>#N/A</v>
      </c>
      <c r="E101" s="79" t="e">
        <f>IF(VLOOKUP(A101,Buchwert_je_Aktie!A$3:AJ$103,8,FALSE)&lt;&gt;"",IF(VLOOKUP(A101,Schlußkurse!A$5:AU$105,37,FALSE)&gt;0,VLOOKUP(A101,Schlußkurse!A$5:AU$105,37,FALSE)/VLOOKUP(A101,Buchwert_je_Aktie!A$3:AJ$103,8,FALSE),""),"")</f>
        <v>#N/A</v>
      </c>
      <c r="F101" s="79" t="e">
        <f>IF(VLOOKUP(A101,Buchwert_je_Aktie!A$3:AJ$103,9,FALSE)&lt;&gt;"",IF(VLOOKUP(A101,Schlußkurse!A$5:AU$105,38,FALSE)&gt;0,VLOOKUP(A101,Schlußkurse!A$5:AU$105,38,FALSE)/VLOOKUP(A101,Buchwert_je_Aktie!A$3:AJ$103,9,FALSE),""),"")</f>
        <v>#N/A</v>
      </c>
      <c r="G101" s="79" t="e">
        <f>IF(VLOOKUP(A101,Buchwert_je_Aktie!A$3:AJ$103,10,FALSE)&lt;&gt;"",IF(VLOOKUP(A101,Schlußkurse!A$5:AU$105,39,FALSE)&gt;0,VLOOKUP(A101,Schlußkurse!A$5:AU$105,39,FALSE)/VLOOKUP(A101,Buchwert_je_Aktie!A$3:AJ$103,10,FALSE),""),"")</f>
        <v>#N/A</v>
      </c>
      <c r="H101" s="79" t="e">
        <f>IF(VLOOKUP(A101,Buchwert_je_Aktie!A$3:AJ$103,11,FALSE)&lt;&gt;"",IF(VLOOKUP(A101,Schlußkurse!A$5:AU$105,40,FALSE)&gt;0,VLOOKUP(A101,Schlußkurse!A$5:AU$105,40,FALSE)/VLOOKUP(A101,Buchwert_je_Aktie!A$3:AJ$103,11,FALSE),""),"")</f>
        <v>#N/A</v>
      </c>
      <c r="I101" s="79" t="e">
        <f>IF(VLOOKUP(A101,Buchwert_je_Aktie!A$3:AJ$103,12,FALSE)&lt;&gt;"",IF(VLOOKUP(A101,Schlußkurse!A$5:AU$105,41,FALSE)&gt;0,VLOOKUP(A101,Schlußkurse!A$5:AU$105,41,FALSE)/VLOOKUP(A101,Buchwert_je_Aktie!A$3:AJ$103,12,FALSE),""),"")</f>
        <v>#N/A</v>
      </c>
      <c r="J101" s="79" t="e">
        <f>IF(VLOOKUP(A101,Buchwert_je_Aktie!A$3:AJ$103,13,FALSE)&lt;&gt;"",IF(VLOOKUP(A101,Schlußkurse!A$5:AU$105,42,FALSE)&gt;0,VLOOKUP(A101,Schlußkurse!A$5:AU$105,42,FALSE)/VLOOKUP(A101,Buchwert_je_Aktie!A$3:AJ$103,13,FALSE),""),"")</f>
        <v>#N/A</v>
      </c>
      <c r="K101" s="79" t="e">
        <f>IF(VLOOKUP(A101,Buchwert_je_Aktie!A$3:AJ$103,14,FALSE)&lt;&gt;"",IF(VLOOKUP(A101,Schlußkurse!A$5:AU$105,43,FALSE)&gt;0,VLOOKUP(A101,Schlußkurse!A$5:AU$105,43,FALSE)/VLOOKUP(A101,Buchwert_je_Aktie!A$3:AJ$103,14,FALSE),""),"")</f>
        <v>#N/A</v>
      </c>
      <c r="L101" s="79" t="e">
        <f>IF(VLOOKUP(A101,Buchwert_je_Aktie!A$3:AJ$103,15,FALSE)&lt;&gt;"",IF(VLOOKUP(A101,Schlußkurse!A$5:AU$105,44,FALSE)&gt;0,VLOOKUP(A101,Schlußkurse!A$5:AU$105,44,FALSE)/VLOOKUP(A101,Buchwert_je_Aktie!A$3:AJ$103,15,FALSE),""),"")</f>
        <v>#N/A</v>
      </c>
      <c r="M101" s="79" t="e">
        <f>IF(VLOOKUP(A101,Buchwert_je_Aktie!A$3:AJ$103,16,FALSE)&lt;&gt;"",IF(VLOOKUP(A101,Schlußkurse!A$5:AU$105,45,FALSE)&gt;0,VLOOKUP(A101,Schlußkurse!A$5:AU$105,45,FALSE)/VLOOKUP(A101,Buchwert_je_Aktie!A$3:AJ$103,16,FALSE),""),"")</f>
        <v>#N/A</v>
      </c>
      <c r="N101" s="79" t="e">
        <f>IF(VLOOKUP(A101,Buchwert_je_Aktie!A$3:AJ$103,17,FALSE)&lt;&gt;"",IF(VLOOKUP(A101,Schlußkurse!A$5:AU$105,46,FALSE)&gt;0,VLOOKUP(A101,Schlußkurse!A$5:AU$105,46,FALSE)/VLOOKUP(A101,Buchwert_je_Aktie!A$3:AJ$103,17,FALSE),""),"")</f>
        <v>#N/A</v>
      </c>
      <c r="O101" s="80" t="e">
        <f>IF(VLOOKUP(A101,Buchwert_je_Aktie!A$3:AJ$103,18,FALSE)&lt;&gt;"",IF(VLOOKUP(A101,Schlußkurse!A$5:AU$105,47,FALSE)&gt;0,VLOOKUP(A101,Schlußkurse!A$5:AU$105,47,FALSE)/VLOOKUP(A101,Buchwert_je_Aktie!A$3:AJ$103,18,FALSE),""),"")</f>
        <v>#N/A</v>
      </c>
      <c r="P101" s="3" t="e">
        <f t="shared" si="2"/>
        <v>#N/A</v>
      </c>
      <c r="Q101" s="3" t="e">
        <f>VLOOKUP(A101,Schlußkurse!A$5:AU$105,35,FALSE)/VLOOKUP(A101,Buchwert_je_Aktie!A$3:AK$103,23,FALSE)</f>
        <v>#N/A</v>
      </c>
      <c r="R101" s="5" t="e">
        <f t="shared" si="3"/>
        <v>#N/A</v>
      </c>
    </row>
    <row r="102" spans="3:18" x14ac:dyDescent="0.25">
      <c r="C102" s="78" t="e">
        <f>IF(VLOOKUP(A102,Buchwert_je_Aktie!A$3:AJ$103,6,FALSE)&lt;&gt;"",IF(VLOOKUP(A102,Schlußkurse!A$5:AU$105,35,FALSE)&gt;0,VLOOKUP(A102,Schlußkurse!A$5:AU$105,35,FALSE) /VLOOKUP(A102,Buchwert_je_Aktie!A$3:AJ$103,6,FALSE),""),"")</f>
        <v>#N/A</v>
      </c>
      <c r="D102" s="79" t="e">
        <f>IF(VLOOKUP(A102,Buchwert_je_Aktie!A$3:AJ$103,7,FALSE)&lt;&gt;"",IF(VLOOKUP(A102,Schlußkurse!A$5:AU$105,36,FALSE)&gt;0,VLOOKUP(A102,Schlußkurse!A$5:AU$105,36,FALSE)/VLOOKUP(A102,Buchwert_je_Aktie!A$3:AJ$103,7,FALSE),""),"")</f>
        <v>#N/A</v>
      </c>
      <c r="E102" s="79" t="e">
        <f>IF(VLOOKUP(A102,Buchwert_je_Aktie!A$3:AJ$103,8,FALSE)&lt;&gt;"",IF(VLOOKUP(A102,Schlußkurse!A$5:AU$105,37,FALSE)&gt;0,VLOOKUP(A102,Schlußkurse!A$5:AU$105,37,FALSE)/VLOOKUP(A102,Buchwert_je_Aktie!A$3:AJ$103,8,FALSE),""),"")</f>
        <v>#N/A</v>
      </c>
      <c r="F102" s="79" t="e">
        <f>IF(VLOOKUP(A102,Buchwert_je_Aktie!A$3:AJ$103,9,FALSE)&lt;&gt;"",IF(VLOOKUP(A102,Schlußkurse!A$5:AU$105,38,FALSE)&gt;0,VLOOKUP(A102,Schlußkurse!A$5:AU$105,38,FALSE)/VLOOKUP(A102,Buchwert_je_Aktie!A$3:AJ$103,9,FALSE),""),"")</f>
        <v>#N/A</v>
      </c>
      <c r="G102" s="79" t="e">
        <f>IF(VLOOKUP(A102,Buchwert_je_Aktie!A$3:AJ$103,10,FALSE)&lt;&gt;"",IF(VLOOKUP(A102,Schlußkurse!A$5:AU$105,39,FALSE)&gt;0,VLOOKUP(A102,Schlußkurse!A$5:AU$105,39,FALSE)/VLOOKUP(A102,Buchwert_je_Aktie!A$3:AJ$103,10,FALSE),""),"")</f>
        <v>#N/A</v>
      </c>
      <c r="H102" s="79" t="e">
        <f>IF(VLOOKUP(A102,Buchwert_je_Aktie!A$3:AJ$103,11,FALSE)&lt;&gt;"",IF(VLOOKUP(A102,Schlußkurse!A$5:AU$105,40,FALSE)&gt;0,VLOOKUP(A102,Schlußkurse!A$5:AU$105,40,FALSE)/VLOOKUP(A102,Buchwert_je_Aktie!A$3:AJ$103,11,FALSE),""),"")</f>
        <v>#N/A</v>
      </c>
      <c r="I102" s="79" t="e">
        <f>IF(VLOOKUP(A102,Buchwert_je_Aktie!A$3:AJ$103,12,FALSE)&lt;&gt;"",IF(VLOOKUP(A102,Schlußkurse!A$5:AU$105,41,FALSE)&gt;0,VLOOKUP(A102,Schlußkurse!A$5:AU$105,41,FALSE)/VLOOKUP(A102,Buchwert_je_Aktie!A$3:AJ$103,12,FALSE),""),"")</f>
        <v>#N/A</v>
      </c>
      <c r="J102" s="79" t="e">
        <f>IF(VLOOKUP(A102,Buchwert_je_Aktie!A$3:AJ$103,13,FALSE)&lt;&gt;"",IF(VLOOKUP(A102,Schlußkurse!A$5:AU$105,42,FALSE)&gt;0,VLOOKUP(A102,Schlußkurse!A$5:AU$105,42,FALSE)/VLOOKUP(A102,Buchwert_je_Aktie!A$3:AJ$103,13,FALSE),""),"")</f>
        <v>#N/A</v>
      </c>
      <c r="K102" s="79" t="e">
        <f>IF(VLOOKUP(A102,Buchwert_je_Aktie!A$3:AJ$103,14,FALSE)&lt;&gt;"",IF(VLOOKUP(A102,Schlußkurse!A$5:AU$105,43,FALSE)&gt;0,VLOOKUP(A102,Schlußkurse!A$5:AU$105,43,FALSE)/VLOOKUP(A102,Buchwert_je_Aktie!A$3:AJ$103,14,FALSE),""),"")</f>
        <v>#N/A</v>
      </c>
      <c r="L102" s="79" t="e">
        <f>IF(VLOOKUP(A102,Buchwert_je_Aktie!A$3:AJ$103,15,FALSE)&lt;&gt;"",IF(VLOOKUP(A102,Schlußkurse!A$5:AU$105,44,FALSE)&gt;0,VLOOKUP(A102,Schlußkurse!A$5:AU$105,44,FALSE)/VLOOKUP(A102,Buchwert_je_Aktie!A$3:AJ$103,15,FALSE),""),"")</f>
        <v>#N/A</v>
      </c>
      <c r="M102" s="79" t="e">
        <f>IF(VLOOKUP(A102,Buchwert_je_Aktie!A$3:AJ$103,16,FALSE)&lt;&gt;"",IF(VLOOKUP(A102,Schlußkurse!A$5:AU$105,45,FALSE)&gt;0,VLOOKUP(A102,Schlußkurse!A$5:AU$105,45,FALSE)/VLOOKUP(A102,Buchwert_je_Aktie!A$3:AJ$103,16,FALSE),""),"")</f>
        <v>#N/A</v>
      </c>
      <c r="N102" s="79" t="e">
        <f>IF(VLOOKUP(A102,Buchwert_je_Aktie!A$3:AJ$103,17,FALSE)&lt;&gt;"",IF(VLOOKUP(A102,Schlußkurse!A$5:AU$105,46,FALSE)&gt;0,VLOOKUP(A102,Schlußkurse!A$5:AU$105,46,FALSE)/VLOOKUP(A102,Buchwert_je_Aktie!A$3:AJ$103,17,FALSE),""),"")</f>
        <v>#N/A</v>
      </c>
      <c r="O102" s="80" t="e">
        <f>IF(VLOOKUP(A102,Buchwert_je_Aktie!A$3:AJ$103,18,FALSE)&lt;&gt;"",IF(VLOOKUP(A102,Schlußkurse!A$5:AU$105,47,FALSE)&gt;0,VLOOKUP(A102,Schlußkurse!A$5:AU$105,47,FALSE)/VLOOKUP(A102,Buchwert_je_Aktie!A$3:AJ$103,18,FALSE),""),"")</f>
        <v>#N/A</v>
      </c>
      <c r="P102" s="3" t="e">
        <f t="shared" si="2"/>
        <v>#N/A</v>
      </c>
      <c r="Q102" s="3" t="e">
        <f>VLOOKUP(A102,Schlußkurse!A$5:AU$105,35,FALSE)/VLOOKUP(A102,Buchwert_je_Aktie!A$3:AK$103,23,FALSE)</f>
        <v>#N/A</v>
      </c>
      <c r="R102" s="5" t="e">
        <f t="shared" si="3"/>
        <v>#N/A</v>
      </c>
    </row>
    <row r="103" spans="3:18" x14ac:dyDescent="0.25">
      <c r="C103" s="78" t="e">
        <f>IF(VLOOKUP(A103,Buchwert_je_Aktie!A$3:AJ$103,6,FALSE)&lt;&gt;"",IF(VLOOKUP(A103,Schlußkurse!A$5:AU$105,35,FALSE)&gt;0,VLOOKUP(A103,Schlußkurse!A$5:AU$105,35,FALSE) /VLOOKUP(A103,Buchwert_je_Aktie!A$3:AJ$103,6,FALSE),""),"")</f>
        <v>#N/A</v>
      </c>
      <c r="D103" s="79" t="e">
        <f>IF(VLOOKUP(A103,Buchwert_je_Aktie!A$3:AJ$103,7,FALSE)&lt;&gt;"",IF(VLOOKUP(A103,Schlußkurse!A$5:AU$105,36,FALSE)&gt;0,VLOOKUP(A103,Schlußkurse!A$5:AU$105,36,FALSE)/VLOOKUP(A103,Buchwert_je_Aktie!A$3:AJ$103,7,FALSE),""),"")</f>
        <v>#N/A</v>
      </c>
      <c r="E103" s="79" t="e">
        <f>IF(VLOOKUP(A103,Buchwert_je_Aktie!A$3:AJ$103,8,FALSE)&lt;&gt;"",IF(VLOOKUP(A103,Schlußkurse!A$5:AU$105,37,FALSE)&gt;0,VLOOKUP(A103,Schlußkurse!A$5:AU$105,37,FALSE)/VLOOKUP(A103,Buchwert_je_Aktie!A$3:AJ$103,8,FALSE),""),"")</f>
        <v>#N/A</v>
      </c>
      <c r="F103" s="79" t="e">
        <f>IF(VLOOKUP(A103,Buchwert_je_Aktie!A$3:AJ$103,9,FALSE)&lt;&gt;"",IF(VLOOKUP(A103,Schlußkurse!A$5:AU$105,38,FALSE)&gt;0,VLOOKUP(A103,Schlußkurse!A$5:AU$105,38,FALSE)/VLOOKUP(A103,Buchwert_je_Aktie!A$3:AJ$103,9,FALSE),""),"")</f>
        <v>#N/A</v>
      </c>
      <c r="G103" s="79" t="e">
        <f>IF(VLOOKUP(A103,Buchwert_je_Aktie!A$3:AJ$103,10,FALSE)&lt;&gt;"",IF(VLOOKUP(A103,Schlußkurse!A$5:AU$105,39,FALSE)&gt;0,VLOOKUP(A103,Schlußkurse!A$5:AU$105,39,FALSE)/VLOOKUP(A103,Buchwert_je_Aktie!A$3:AJ$103,10,FALSE),""),"")</f>
        <v>#N/A</v>
      </c>
      <c r="H103" s="79" t="e">
        <f>IF(VLOOKUP(A103,Buchwert_je_Aktie!A$3:AJ$103,11,FALSE)&lt;&gt;"",IF(VLOOKUP(A103,Schlußkurse!A$5:AU$105,40,FALSE)&gt;0,VLOOKUP(A103,Schlußkurse!A$5:AU$105,40,FALSE)/VLOOKUP(A103,Buchwert_je_Aktie!A$3:AJ$103,11,FALSE),""),"")</f>
        <v>#N/A</v>
      </c>
      <c r="I103" s="79" t="e">
        <f>IF(VLOOKUP(A103,Buchwert_je_Aktie!A$3:AJ$103,12,FALSE)&lt;&gt;"",IF(VLOOKUP(A103,Schlußkurse!A$5:AU$105,41,FALSE)&gt;0,VLOOKUP(A103,Schlußkurse!A$5:AU$105,41,FALSE)/VLOOKUP(A103,Buchwert_je_Aktie!A$3:AJ$103,12,FALSE),""),"")</f>
        <v>#N/A</v>
      </c>
      <c r="J103" s="79" t="e">
        <f>IF(VLOOKUP(A103,Buchwert_je_Aktie!A$3:AJ$103,13,FALSE)&lt;&gt;"",IF(VLOOKUP(A103,Schlußkurse!A$5:AU$105,42,FALSE)&gt;0,VLOOKUP(A103,Schlußkurse!A$5:AU$105,42,FALSE)/VLOOKUP(A103,Buchwert_je_Aktie!A$3:AJ$103,13,FALSE),""),"")</f>
        <v>#N/A</v>
      </c>
      <c r="K103" s="79" t="e">
        <f>IF(VLOOKUP(A103,Buchwert_je_Aktie!A$3:AJ$103,14,FALSE)&lt;&gt;"",IF(VLOOKUP(A103,Schlußkurse!A$5:AU$105,43,FALSE)&gt;0,VLOOKUP(A103,Schlußkurse!A$5:AU$105,43,FALSE)/VLOOKUP(A103,Buchwert_je_Aktie!A$3:AJ$103,14,FALSE),""),"")</f>
        <v>#N/A</v>
      </c>
      <c r="L103" s="79" t="e">
        <f>IF(VLOOKUP(A103,Buchwert_je_Aktie!A$3:AJ$103,15,FALSE)&lt;&gt;"",IF(VLOOKUP(A103,Schlußkurse!A$5:AU$105,44,FALSE)&gt;0,VLOOKUP(A103,Schlußkurse!A$5:AU$105,44,FALSE)/VLOOKUP(A103,Buchwert_je_Aktie!A$3:AJ$103,15,FALSE),""),"")</f>
        <v>#N/A</v>
      </c>
      <c r="M103" s="79" t="e">
        <f>IF(VLOOKUP(A103,Buchwert_je_Aktie!A$3:AJ$103,16,FALSE)&lt;&gt;"",IF(VLOOKUP(A103,Schlußkurse!A$5:AU$105,45,FALSE)&gt;0,VLOOKUP(A103,Schlußkurse!A$5:AU$105,45,FALSE)/VLOOKUP(A103,Buchwert_je_Aktie!A$3:AJ$103,16,FALSE),""),"")</f>
        <v>#N/A</v>
      </c>
      <c r="N103" s="79" t="e">
        <f>IF(VLOOKUP(A103,Buchwert_je_Aktie!A$3:AJ$103,17,FALSE)&lt;&gt;"",IF(VLOOKUP(A103,Schlußkurse!A$5:AU$105,46,FALSE)&gt;0,VLOOKUP(A103,Schlußkurse!A$5:AU$105,46,FALSE)/VLOOKUP(A103,Buchwert_je_Aktie!A$3:AJ$103,17,FALSE),""),"")</f>
        <v>#N/A</v>
      </c>
      <c r="O103" s="80" t="e">
        <f>IF(VLOOKUP(A103,Buchwert_je_Aktie!A$3:AJ$103,18,FALSE)&lt;&gt;"",IF(VLOOKUP(A103,Schlußkurse!A$5:AU$105,47,FALSE)&gt;0,VLOOKUP(A103,Schlußkurse!A$5:AU$105,47,FALSE)/VLOOKUP(A103,Buchwert_je_Aktie!A$3:AJ$103,18,FALSE),""),"")</f>
        <v>#N/A</v>
      </c>
      <c r="P103" s="3" t="e">
        <f t="shared" si="2"/>
        <v>#N/A</v>
      </c>
      <c r="Q103" s="3" t="e">
        <f>VLOOKUP(A103,Schlußkurse!A$5:AU$105,35,FALSE)/VLOOKUP(A103,Buchwert_je_Aktie!A$3:AK$103,23,FALSE)</f>
        <v>#N/A</v>
      </c>
      <c r="R103" s="5" t="e">
        <f t="shared" si="3"/>
        <v>#N/A</v>
      </c>
    </row>
  </sheetData>
  <autoFilter ref="A3:R3">
    <sortState ref="A4:R68">
      <sortCondition ref="B3"/>
    </sortState>
  </autoFilter>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vt:i4>
      </vt:variant>
    </vt:vector>
  </HeadingPairs>
  <TitlesOfParts>
    <vt:vector size="15" baseType="lpstr">
      <vt:lpstr>Report_Unternehmen</vt:lpstr>
      <vt:lpstr>Bewertung</vt:lpstr>
      <vt:lpstr>Schlußkurse</vt:lpstr>
      <vt:lpstr>Buchwert_je_Aktie</vt:lpstr>
      <vt:lpstr>Ergebnis_je_Aktie_verwässert</vt:lpstr>
      <vt:lpstr>Dividende_je_Aktie</vt:lpstr>
      <vt:lpstr>Aktien_im_Umlauf_splitbereinigt</vt:lpstr>
      <vt:lpstr>KGV</vt:lpstr>
      <vt:lpstr>KBV</vt:lpstr>
      <vt:lpstr>Dividendenrendite</vt:lpstr>
      <vt:lpstr>Ausschüttungsquote</vt:lpstr>
      <vt:lpstr>Bewertung_Stammdaten</vt:lpstr>
      <vt:lpstr>Bereinigung_offen</vt:lpstr>
      <vt:lpstr>Bereinigung</vt:lpstr>
      <vt:lpstr>Bewertung!_FilterDatenbank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2014-07-20T12:36:11Z</dcterms:created>
  <dcterms:modified xsi:type="dcterms:W3CDTF">2015-05-03T15:50:07Z</dcterms:modified>
</cp:coreProperties>
</file>