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 tabRatio="780"/>
  </bookViews>
  <sheets>
    <sheet name="Ergebnisse" sheetId="10" r:id="rId1"/>
    <sheet name="AA (Berechnungen)" sheetId="9" r:id="rId2"/>
    <sheet name="TER (Berechnungen)" sheetId="8" r:id="rId3"/>
    <sheet name="ETF-Besteuerung (Berechnungen)" sheetId="6" r:id="rId4"/>
  </sheets>
  <calcPr calcId="145621"/>
</workbook>
</file>

<file path=xl/calcChain.xml><?xml version="1.0" encoding="utf-8"?>
<calcChain xmlns="http://schemas.openxmlformats.org/spreadsheetml/2006/main">
  <c r="B8" i="6" l="1"/>
  <c r="B6" i="6"/>
  <c r="B7" i="6"/>
  <c r="B5" i="6"/>
  <c r="B13" i="6" l="1"/>
  <c r="B4" i="6" l="1"/>
  <c r="B9" i="6" s="1"/>
  <c r="B12" i="6"/>
  <c r="F2" i="6"/>
  <c r="E2" i="6"/>
  <c r="B10" i="6"/>
  <c r="H37" i="10" l="1"/>
  <c r="G37" i="10"/>
  <c r="B2" i="6"/>
  <c r="B3" i="6"/>
  <c r="B11" i="6"/>
  <c r="B1" i="6"/>
  <c r="AZ17" i="6" s="1"/>
  <c r="B3" i="8"/>
  <c r="B2" i="8"/>
  <c r="B3" i="9"/>
  <c r="B2" i="9"/>
  <c r="B17" i="6" l="1"/>
  <c r="AT17" i="6" s="1"/>
  <c r="G2" i="6"/>
  <c r="A1" i="9"/>
  <c r="H2" i="6"/>
  <c r="BA17" i="6"/>
  <c r="G15" i="8"/>
  <c r="A1" i="8"/>
  <c r="G36" i="9"/>
  <c r="E39" i="9"/>
  <c r="B37" i="8"/>
  <c r="B23" i="8"/>
  <c r="G9" i="8"/>
  <c r="D28" i="8"/>
  <c r="C38" i="8"/>
  <c r="E10" i="8"/>
  <c r="E35" i="8"/>
  <c r="F17" i="8"/>
  <c r="C24" i="8"/>
  <c r="C30" i="8"/>
  <c r="E43" i="8"/>
  <c r="E13" i="8"/>
  <c r="E19" i="8"/>
  <c r="G24" i="8"/>
  <c r="G32" i="8"/>
  <c r="G8" i="8"/>
  <c r="C14" i="8"/>
  <c r="E20" i="8"/>
  <c r="F27" i="8"/>
  <c r="C13" i="9"/>
  <c r="E27" i="9"/>
  <c r="D20" i="9"/>
  <c r="G7" i="9"/>
  <c r="B15" i="9"/>
  <c r="C22" i="9"/>
  <c r="C29" i="9"/>
  <c r="G46" i="9"/>
  <c r="F9" i="9"/>
  <c r="G16" i="9"/>
  <c r="G23" i="9"/>
  <c r="E31" i="9"/>
  <c r="C42" i="9"/>
  <c r="B7" i="8"/>
  <c r="D12" i="8"/>
  <c r="B17" i="8"/>
  <c r="C21" i="8"/>
  <c r="E26" i="8"/>
  <c r="F31" i="8"/>
  <c r="E11" i="9"/>
  <c r="E18" i="9"/>
  <c r="F25" i="9"/>
  <c r="C34" i="9"/>
  <c r="G44" i="9"/>
  <c r="C42" i="8"/>
  <c r="B7" i="9"/>
  <c r="G8" i="9"/>
  <c r="E10" i="9"/>
  <c r="D12" i="9"/>
  <c r="C14" i="9"/>
  <c r="G15" i="9"/>
  <c r="F17" i="9"/>
  <c r="E19" i="9"/>
  <c r="C21" i="9"/>
  <c r="B23" i="9"/>
  <c r="G24" i="9"/>
  <c r="E26" i="9"/>
  <c r="D28" i="9"/>
  <c r="C30" i="9"/>
  <c r="G32" i="9"/>
  <c r="E35" i="9"/>
  <c r="C38" i="9"/>
  <c r="G40" i="9"/>
  <c r="E43" i="9"/>
  <c r="C46" i="9"/>
  <c r="C8" i="8"/>
  <c r="F11" i="8"/>
  <c r="C15" i="8"/>
  <c r="G18" i="8"/>
  <c r="D22" i="8"/>
  <c r="G25" i="8"/>
  <c r="E29" i="8"/>
  <c r="D34" i="8"/>
  <c r="F7" i="9"/>
  <c r="E9" i="9"/>
  <c r="C11" i="9"/>
  <c r="B13" i="9"/>
  <c r="G14" i="9"/>
  <c r="E16" i="9"/>
  <c r="D18" i="9"/>
  <c r="C20" i="9"/>
  <c r="G21" i="9"/>
  <c r="F23" i="9"/>
  <c r="E25" i="9"/>
  <c r="C27" i="9"/>
  <c r="B29" i="9"/>
  <c r="B31" i="9"/>
  <c r="F33" i="9"/>
  <c r="D36" i="9"/>
  <c r="B39" i="9"/>
  <c r="F41" i="9"/>
  <c r="D44" i="9"/>
  <c r="F46" i="9"/>
  <c r="E8" i="9"/>
  <c r="D10" i="9"/>
  <c r="C12" i="9"/>
  <c r="G13" i="9"/>
  <c r="F15" i="9"/>
  <c r="E17" i="9"/>
  <c r="C19" i="9"/>
  <c r="B21" i="9"/>
  <c r="G22" i="9"/>
  <c r="E24" i="9"/>
  <c r="D26" i="9"/>
  <c r="C28" i="9"/>
  <c r="G29" i="9"/>
  <c r="D32" i="9"/>
  <c r="B35" i="9"/>
  <c r="F37" i="9"/>
  <c r="D40" i="9"/>
  <c r="B43" i="9"/>
  <c r="F45" i="9"/>
  <c r="F45" i="8"/>
  <c r="D44" i="8"/>
  <c r="B43" i="8"/>
  <c r="F41" i="8"/>
  <c r="D40" i="8"/>
  <c r="B39" i="8"/>
  <c r="F37" i="8"/>
  <c r="D36" i="8"/>
  <c r="B35" i="8"/>
  <c r="F33" i="8"/>
  <c r="D32" i="8"/>
  <c r="B31" i="8"/>
  <c r="G29" i="8"/>
  <c r="B29" i="8"/>
  <c r="C28" i="8"/>
  <c r="C27" i="8"/>
  <c r="D26" i="8"/>
  <c r="E25" i="8"/>
  <c r="E24" i="8"/>
  <c r="F23" i="8"/>
  <c r="G22" i="8"/>
  <c r="G21" i="8"/>
  <c r="B21" i="8"/>
  <c r="C20" i="8"/>
  <c r="C19" i="8"/>
  <c r="D18" i="8"/>
  <c r="E17" i="8"/>
  <c r="E16" i="8"/>
  <c r="F15" i="8"/>
  <c r="G14" i="8"/>
  <c r="G13" i="8"/>
  <c r="B13" i="8"/>
  <c r="C12" i="8"/>
  <c r="C11" i="8"/>
  <c r="D10" i="8"/>
  <c r="E9" i="8"/>
  <c r="E8" i="8"/>
  <c r="F7" i="8"/>
  <c r="G46" i="8"/>
  <c r="E45" i="8"/>
  <c r="C44" i="8"/>
  <c r="G42" i="8"/>
  <c r="E41" i="8"/>
  <c r="C40" i="8"/>
  <c r="G38" i="8"/>
  <c r="E37" i="8"/>
  <c r="C36" i="8"/>
  <c r="G34" i="8"/>
  <c r="E33" i="8"/>
  <c r="C32" i="8"/>
  <c r="G30" i="8"/>
  <c r="F29" i="8"/>
  <c r="G28" i="8"/>
  <c r="G27" i="8"/>
  <c r="B27" i="8"/>
  <c r="C26" i="8"/>
  <c r="C25" i="8"/>
  <c r="D24" i="8"/>
  <c r="E23" i="8"/>
  <c r="E22" i="8"/>
  <c r="F21" i="8"/>
  <c r="G20" i="8"/>
  <c r="G19" i="8"/>
  <c r="B19" i="8"/>
  <c r="C18" i="8"/>
  <c r="C17" i="8"/>
  <c r="D16" i="8"/>
  <c r="E15" i="8"/>
  <c r="E14" i="8"/>
  <c r="F13" i="8"/>
  <c r="G12" i="8"/>
  <c r="G11" i="8"/>
  <c r="B11" i="8"/>
  <c r="C10" i="8"/>
  <c r="C9" i="8"/>
  <c r="D8" i="8"/>
  <c r="E7" i="8"/>
  <c r="D46" i="8"/>
  <c r="B45" i="8"/>
  <c r="F43" i="8"/>
  <c r="D42" i="8"/>
  <c r="B41" i="8"/>
  <c r="F39" i="8"/>
  <c r="D38" i="8"/>
  <c r="C7" i="8"/>
  <c r="B9" i="8"/>
  <c r="G10" i="8"/>
  <c r="E12" i="8"/>
  <c r="D14" i="8"/>
  <c r="C16" i="8"/>
  <c r="G17" i="8"/>
  <c r="F19" i="8"/>
  <c r="E21" i="8"/>
  <c r="C23" i="8"/>
  <c r="B25" i="8"/>
  <c r="G26" i="8"/>
  <c r="E28" i="8"/>
  <c r="D30" i="8"/>
  <c r="B33" i="8"/>
  <c r="F35" i="8"/>
  <c r="E39" i="8"/>
  <c r="G44" i="8"/>
  <c r="G7" i="8"/>
  <c r="F9" i="8"/>
  <c r="E11" i="8"/>
  <c r="C13" i="8"/>
  <c r="B15" i="8"/>
  <c r="G16" i="8"/>
  <c r="E18" i="8"/>
  <c r="D20" i="8"/>
  <c r="C22" i="8"/>
  <c r="G23" i="8"/>
  <c r="F25" i="8"/>
  <c r="E27" i="8"/>
  <c r="C29" i="8"/>
  <c r="E31" i="8"/>
  <c r="C34" i="8"/>
  <c r="G36" i="8"/>
  <c r="G40" i="8"/>
  <c r="C46" i="8"/>
  <c r="F46" i="8"/>
  <c r="B46" i="8"/>
  <c r="D45" i="8"/>
  <c r="F44" i="8"/>
  <c r="B44" i="8"/>
  <c r="D43" i="8"/>
  <c r="F42" i="8"/>
  <c r="B42" i="8"/>
  <c r="D41" i="8"/>
  <c r="F40" i="8"/>
  <c r="B40" i="8"/>
  <c r="D39" i="8"/>
  <c r="F38" i="8"/>
  <c r="B38" i="8"/>
  <c r="D37" i="8"/>
  <c r="F36" i="8"/>
  <c r="B36" i="8"/>
  <c r="D35" i="8"/>
  <c r="F34" i="8"/>
  <c r="B34" i="8"/>
  <c r="D33" i="8"/>
  <c r="F32" i="8"/>
  <c r="B32" i="8"/>
  <c r="D31" i="8"/>
  <c r="F30" i="8"/>
  <c r="B30" i="8"/>
  <c r="D29" i="8"/>
  <c r="F28" i="8"/>
  <c r="B28" i="8"/>
  <c r="D27" i="8"/>
  <c r="F26" i="8"/>
  <c r="B26" i="8"/>
  <c r="D25" i="8"/>
  <c r="F24" i="8"/>
  <c r="B24" i="8"/>
  <c r="D23" i="8"/>
  <c r="F22" i="8"/>
  <c r="B22" i="8"/>
  <c r="D21" i="8"/>
  <c r="F20" i="8"/>
  <c r="B20" i="8"/>
  <c r="D19" i="8"/>
  <c r="F18" i="8"/>
  <c r="B18" i="8"/>
  <c r="D17" i="8"/>
  <c r="F16" i="8"/>
  <c r="B16" i="8"/>
  <c r="D15" i="8"/>
  <c r="F14" i="8"/>
  <c r="B14" i="8"/>
  <c r="D13" i="8"/>
  <c r="F12" i="8"/>
  <c r="B12" i="8"/>
  <c r="D11" i="8"/>
  <c r="F10" i="8"/>
  <c r="B10" i="8"/>
  <c r="D9" i="8"/>
  <c r="F8" i="8"/>
  <c r="B8" i="8"/>
  <c r="D7" i="8"/>
  <c r="E46" i="8"/>
  <c r="G45" i="8"/>
  <c r="C45" i="8"/>
  <c r="E44" i="8"/>
  <c r="G43" i="8"/>
  <c r="C43" i="8"/>
  <c r="E42" i="8"/>
  <c r="G41" i="8"/>
  <c r="C41" i="8"/>
  <c r="E40" i="8"/>
  <c r="G39" i="8"/>
  <c r="C39" i="8"/>
  <c r="E38" i="8"/>
  <c r="G37" i="8"/>
  <c r="C37" i="8"/>
  <c r="E36" i="8"/>
  <c r="G35" i="8"/>
  <c r="C35" i="8"/>
  <c r="E34" i="8"/>
  <c r="G33" i="8"/>
  <c r="C33" i="8"/>
  <c r="E32" i="8"/>
  <c r="G31" i="8"/>
  <c r="C31" i="8"/>
  <c r="E30" i="8"/>
  <c r="C7" i="9"/>
  <c r="C8" i="9"/>
  <c r="B9" i="9"/>
  <c r="G9" i="9"/>
  <c r="G10" i="9"/>
  <c r="F11" i="9"/>
  <c r="E12" i="9"/>
  <c r="E13" i="9"/>
  <c r="D14" i="9"/>
  <c r="C15" i="9"/>
  <c r="C16" i="9"/>
  <c r="B17" i="9"/>
  <c r="G17" i="9"/>
  <c r="G18" i="9"/>
  <c r="F19" i="9"/>
  <c r="E20" i="9"/>
  <c r="E21" i="9"/>
  <c r="D22" i="9"/>
  <c r="C23" i="9"/>
  <c r="C24" i="9"/>
  <c r="B25" i="9"/>
  <c r="G25" i="9"/>
  <c r="G26" i="9"/>
  <c r="F27" i="9"/>
  <c r="E28" i="9"/>
  <c r="E29" i="9"/>
  <c r="D30" i="9"/>
  <c r="F31" i="9"/>
  <c r="B33" i="9"/>
  <c r="D34" i="9"/>
  <c r="F35" i="9"/>
  <c r="B37" i="9"/>
  <c r="D38" i="9"/>
  <c r="F39" i="9"/>
  <c r="B41" i="9"/>
  <c r="D42" i="9"/>
  <c r="F43" i="9"/>
  <c r="B45" i="9"/>
  <c r="D46" i="9"/>
  <c r="E7" i="9"/>
  <c r="D8" i="9"/>
  <c r="C9" i="9"/>
  <c r="C10" i="9"/>
  <c r="B11" i="9"/>
  <c r="G11" i="9"/>
  <c r="G12" i="9"/>
  <c r="F13" i="9"/>
  <c r="E14" i="9"/>
  <c r="E15" i="9"/>
  <c r="D16" i="9"/>
  <c r="C17" i="9"/>
  <c r="C18" i="9"/>
  <c r="B19" i="9"/>
  <c r="G19" i="9"/>
  <c r="G20" i="9"/>
  <c r="F21" i="9"/>
  <c r="E22" i="9"/>
  <c r="E23" i="9"/>
  <c r="D24" i="9"/>
  <c r="C25" i="9"/>
  <c r="C26" i="9"/>
  <c r="B27" i="9"/>
  <c r="G27" i="9"/>
  <c r="G28" i="9"/>
  <c r="F29" i="9"/>
  <c r="G30" i="9"/>
  <c r="C32" i="9"/>
  <c r="E33" i="9"/>
  <c r="G34" i="9"/>
  <c r="C36" i="9"/>
  <c r="E37" i="9"/>
  <c r="G38" i="9"/>
  <c r="C40" i="9"/>
  <c r="E41" i="9"/>
  <c r="G42" i="9"/>
  <c r="C44" i="9"/>
  <c r="E45" i="9"/>
  <c r="E30" i="9"/>
  <c r="C31" i="9"/>
  <c r="G31" i="9"/>
  <c r="E32" i="9"/>
  <c r="C33" i="9"/>
  <c r="G33" i="9"/>
  <c r="E34" i="9"/>
  <c r="C35" i="9"/>
  <c r="G35" i="9"/>
  <c r="E36" i="9"/>
  <c r="C37" i="9"/>
  <c r="G37" i="9"/>
  <c r="E38" i="9"/>
  <c r="C39" i="9"/>
  <c r="G39" i="9"/>
  <c r="E40" i="9"/>
  <c r="C41" i="9"/>
  <c r="G41" i="9"/>
  <c r="E42" i="9"/>
  <c r="C43" i="9"/>
  <c r="G43" i="9"/>
  <c r="E44" i="9"/>
  <c r="C45" i="9"/>
  <c r="G45" i="9"/>
  <c r="E46" i="9"/>
  <c r="D7" i="9"/>
  <c r="B8" i="9"/>
  <c r="F8" i="9"/>
  <c r="D9" i="9"/>
  <c r="B10" i="9"/>
  <c r="F10" i="9"/>
  <c r="D11" i="9"/>
  <c r="B12" i="9"/>
  <c r="F12" i="9"/>
  <c r="D13" i="9"/>
  <c r="B14" i="9"/>
  <c r="F14" i="9"/>
  <c r="D15" i="9"/>
  <c r="B16" i="9"/>
  <c r="F16" i="9"/>
  <c r="D17" i="9"/>
  <c r="B18" i="9"/>
  <c r="F18" i="9"/>
  <c r="D19" i="9"/>
  <c r="B20" i="9"/>
  <c r="F20" i="9"/>
  <c r="D21" i="9"/>
  <c r="B22" i="9"/>
  <c r="F22" i="9"/>
  <c r="D23" i="9"/>
  <c r="B24" i="9"/>
  <c r="F24" i="9"/>
  <c r="D25" i="9"/>
  <c r="B26" i="9"/>
  <c r="F26" i="9"/>
  <c r="D27" i="9"/>
  <c r="B28" i="9"/>
  <c r="F28" i="9"/>
  <c r="D29" i="9"/>
  <c r="B30" i="9"/>
  <c r="F30" i="9"/>
  <c r="D31" i="9"/>
  <c r="B32" i="9"/>
  <c r="F32" i="9"/>
  <c r="D33" i="9"/>
  <c r="B34" i="9"/>
  <c r="F34" i="9"/>
  <c r="D35" i="9"/>
  <c r="B36" i="9"/>
  <c r="F36" i="9"/>
  <c r="D37" i="9"/>
  <c r="B38" i="9"/>
  <c r="F38" i="9"/>
  <c r="D39" i="9"/>
  <c r="B40" i="9"/>
  <c r="F40" i="9"/>
  <c r="D41" i="9"/>
  <c r="B42" i="9"/>
  <c r="F42" i="9"/>
  <c r="D43" i="9"/>
  <c r="B44" i="9"/>
  <c r="F44" i="9"/>
  <c r="D45" i="9"/>
  <c r="B46" i="9"/>
  <c r="AL17" i="6" l="1"/>
  <c r="B18" i="6"/>
  <c r="AT18" i="6" s="1"/>
  <c r="BB17" i="6"/>
  <c r="BC17" i="6" s="1"/>
  <c r="AG17" i="6"/>
  <c r="O17" i="6"/>
  <c r="D17" i="6"/>
  <c r="C18" i="6" s="1"/>
  <c r="D18" i="6" s="1"/>
  <c r="C19" i="6" s="1"/>
  <c r="D19" i="6" s="1"/>
  <c r="C20" i="6" s="1"/>
  <c r="D20" i="6" s="1"/>
  <c r="C21" i="6" s="1"/>
  <c r="D21" i="6" s="1"/>
  <c r="C22" i="6" s="1"/>
  <c r="D22" i="6" s="1"/>
  <c r="C23" i="6" s="1"/>
  <c r="D23" i="6" s="1"/>
  <c r="C24" i="6" s="1"/>
  <c r="D24" i="6" s="1"/>
  <c r="C25" i="6" s="1"/>
  <c r="D25" i="6" s="1"/>
  <c r="C26" i="6" s="1"/>
  <c r="D26" i="6" s="1"/>
  <c r="C27" i="6" s="1"/>
  <c r="D27" i="6" s="1"/>
  <c r="C28" i="6" s="1"/>
  <c r="D28" i="6" s="1"/>
  <c r="C29" i="6" s="1"/>
  <c r="D29" i="6" s="1"/>
  <c r="C30" i="6" s="1"/>
  <c r="D30" i="6" s="1"/>
  <c r="C31" i="6" s="1"/>
  <c r="D31" i="6" s="1"/>
  <c r="C32" i="6" s="1"/>
  <c r="D32" i="6" s="1"/>
  <c r="C33" i="6" s="1"/>
  <c r="D33" i="6" s="1"/>
  <c r="C34" i="6" s="1"/>
  <c r="D34" i="6" s="1"/>
  <c r="C35" i="6" s="1"/>
  <c r="D35" i="6" s="1"/>
  <c r="C36" i="6" s="1"/>
  <c r="D36" i="6" s="1"/>
  <c r="C37" i="6" s="1"/>
  <c r="D37" i="6" s="1"/>
  <c r="C38" i="6" s="1"/>
  <c r="D38" i="6" s="1"/>
  <c r="C39" i="6" s="1"/>
  <c r="D39" i="6" s="1"/>
  <c r="C40" i="6" s="1"/>
  <c r="D40" i="6" s="1"/>
  <c r="C41" i="6" s="1"/>
  <c r="D41" i="6" s="1"/>
  <c r="C42" i="6" s="1"/>
  <c r="D42" i="6" s="1"/>
  <c r="C43" i="6" s="1"/>
  <c r="D43" i="6" s="1"/>
  <c r="C44" i="6" s="1"/>
  <c r="D44" i="6" s="1"/>
  <c r="C45" i="6" s="1"/>
  <c r="D45" i="6" s="1"/>
  <c r="C46" i="6" s="1"/>
  <c r="D46" i="6" s="1"/>
  <c r="C47" i="6" s="1"/>
  <c r="D47" i="6" s="1"/>
  <c r="C48" i="6" s="1"/>
  <c r="D48" i="6" s="1"/>
  <c r="C49" i="6" s="1"/>
  <c r="D49" i="6" s="1"/>
  <c r="C50" i="6" s="1"/>
  <c r="D50" i="6" s="1"/>
  <c r="C51" i="6" s="1"/>
  <c r="D51" i="6" s="1"/>
  <c r="C52" i="6" s="1"/>
  <c r="D52" i="6" s="1"/>
  <c r="C53" i="6" s="1"/>
  <c r="D53" i="6" s="1"/>
  <c r="C54" i="6" s="1"/>
  <c r="D54" i="6" s="1"/>
  <c r="C55" i="6" s="1"/>
  <c r="D55" i="6" s="1"/>
  <c r="C56" i="6" s="1"/>
  <c r="D56" i="6" s="1"/>
  <c r="BJ17" i="6"/>
  <c r="AL18" i="6" l="1"/>
  <c r="BD17" i="6"/>
  <c r="AY18" i="6" s="1"/>
  <c r="AZ18" i="6" s="1"/>
  <c r="BA18" i="6" s="1"/>
  <c r="AH17" i="6"/>
  <c r="BE17" i="6"/>
  <c r="BF17" i="6" s="1"/>
  <c r="BG17" i="6" s="1"/>
  <c r="BK17" i="6" s="1"/>
  <c r="J17" i="6"/>
  <c r="AA17" i="6"/>
  <c r="T17" i="6"/>
  <c r="BJ18" i="6"/>
  <c r="E17" i="6"/>
  <c r="P17" i="6"/>
  <c r="BH17" i="6" l="1"/>
  <c r="Q17" i="6"/>
  <c r="R17" i="6" s="1"/>
  <c r="S17" i="6"/>
  <c r="N18" i="6" s="1"/>
  <c r="O18" i="6" s="1"/>
  <c r="P18" i="6" s="1"/>
  <c r="AJ17" i="6"/>
  <c r="AK17" i="6" s="1"/>
  <c r="AF18" i="6" s="1"/>
  <c r="AG18" i="6" s="1"/>
  <c r="AH18" i="6" s="1"/>
  <c r="AI17" i="6"/>
  <c r="BB18" i="6"/>
  <c r="BC18" i="6" s="1"/>
  <c r="BD18" i="6" s="1"/>
  <c r="AY19" i="6" s="1"/>
  <c r="AZ19" i="6" s="1"/>
  <c r="BE18" i="6"/>
  <c r="J18" i="6"/>
  <c r="B19" i="6"/>
  <c r="AT19" i="6" s="1"/>
  <c r="T18" i="6"/>
  <c r="AA18" i="6"/>
  <c r="E18" i="6"/>
  <c r="F18" i="6" s="1"/>
  <c r="F17" i="6"/>
  <c r="G17" i="6" s="1"/>
  <c r="AM17" i="6"/>
  <c r="AN17" i="6" s="1"/>
  <c r="U17" i="6"/>
  <c r="V17" i="6" s="1"/>
  <c r="AB17" i="6" l="1"/>
  <c r="AL19" i="6"/>
  <c r="BJ19" i="6"/>
  <c r="W17" i="6"/>
  <c r="B20" i="6"/>
  <c r="AT20" i="6" s="1"/>
  <c r="Q18" i="6"/>
  <c r="AR17" i="6"/>
  <c r="AP17" i="6"/>
  <c r="AJ18" i="6"/>
  <c r="AK18" i="6" s="1"/>
  <c r="AF19" i="6" s="1"/>
  <c r="AG19" i="6" s="1"/>
  <c r="AH19" i="6" s="1"/>
  <c r="AI18" i="6"/>
  <c r="BA19" i="6"/>
  <c r="G18" i="6"/>
  <c r="H18" i="6" s="1"/>
  <c r="I18" i="6" s="1"/>
  <c r="K18" i="6" s="1"/>
  <c r="BE19" i="6"/>
  <c r="J19" i="6"/>
  <c r="T19" i="6"/>
  <c r="E19" i="6"/>
  <c r="F19" i="6" s="1"/>
  <c r="AA19" i="6"/>
  <c r="H17" i="6"/>
  <c r="S18" i="6"/>
  <c r="N19" i="6" s="1"/>
  <c r="O19" i="6" s="1"/>
  <c r="P19" i="6" s="1"/>
  <c r="AO17" i="6"/>
  <c r="AU17" i="6" s="1"/>
  <c r="AL20" i="6" l="1"/>
  <c r="T20" i="6"/>
  <c r="E20" i="6"/>
  <c r="F20" i="6" s="1"/>
  <c r="AA20" i="6"/>
  <c r="B21" i="6"/>
  <c r="AT21" i="6" s="1"/>
  <c r="J20" i="6"/>
  <c r="BE20" i="6"/>
  <c r="BJ20" i="6"/>
  <c r="X17" i="6"/>
  <c r="R18" i="6"/>
  <c r="S19" i="6"/>
  <c r="N20" i="6" s="1"/>
  <c r="O20" i="6" s="1"/>
  <c r="P20" i="6" s="1"/>
  <c r="Q19" i="6"/>
  <c r="AJ19" i="6"/>
  <c r="AK19" i="6" s="1"/>
  <c r="AF20" i="6" s="1"/>
  <c r="AG20" i="6" s="1"/>
  <c r="AH20" i="6" s="1"/>
  <c r="AI19" i="6"/>
  <c r="BB19" i="6"/>
  <c r="BC19" i="6" s="1"/>
  <c r="BD19" i="6" s="1"/>
  <c r="AY20" i="6" s="1"/>
  <c r="AZ20" i="6" s="1"/>
  <c r="G19" i="6"/>
  <c r="H19" i="6" s="1"/>
  <c r="I19" i="6" s="1"/>
  <c r="K19" i="6" s="1"/>
  <c r="BF18" i="6"/>
  <c r="BG18" i="6" s="1"/>
  <c r="BK18" i="6" s="1"/>
  <c r="AS17" i="6"/>
  <c r="I17" i="6"/>
  <c r="L18" i="6"/>
  <c r="M18" i="6" s="1"/>
  <c r="AL21" i="6" l="1"/>
  <c r="BJ21" i="6"/>
  <c r="BH18" i="6"/>
  <c r="AA21" i="6"/>
  <c r="E21" i="6"/>
  <c r="F21" i="6" s="1"/>
  <c r="BE21" i="6"/>
  <c r="B22" i="6"/>
  <c r="AT22" i="6" s="1"/>
  <c r="T21" i="6"/>
  <c r="J21" i="6"/>
  <c r="R19" i="6"/>
  <c r="S20" i="6"/>
  <c r="N21" i="6" s="1"/>
  <c r="O21" i="6" s="1"/>
  <c r="P21" i="6" s="1"/>
  <c r="Q20" i="6"/>
  <c r="AV17" i="6"/>
  <c r="AW17" i="6" s="1"/>
  <c r="AX17" i="6" s="1"/>
  <c r="AQ17" i="6" s="1"/>
  <c r="AJ20" i="6"/>
  <c r="AK20" i="6" s="1"/>
  <c r="AF21" i="6" s="1"/>
  <c r="AG21" i="6" s="1"/>
  <c r="AH21" i="6" s="1"/>
  <c r="AI20" i="6"/>
  <c r="K17" i="6"/>
  <c r="L17" i="6" s="1"/>
  <c r="M17" i="6" s="1"/>
  <c r="BA20" i="6"/>
  <c r="BB20" i="6" s="1"/>
  <c r="G20" i="6"/>
  <c r="L19" i="6"/>
  <c r="M19" i="6" s="1"/>
  <c r="U18" i="6"/>
  <c r="V18" i="6" s="1"/>
  <c r="AB18" i="6" s="1"/>
  <c r="AL22" i="6" l="1"/>
  <c r="BE22" i="6"/>
  <c r="W18" i="6"/>
  <c r="T22" i="6"/>
  <c r="J22" i="6"/>
  <c r="B23" i="6"/>
  <c r="AT23" i="6" s="1"/>
  <c r="BJ22" i="6"/>
  <c r="AA22" i="6"/>
  <c r="E22" i="6"/>
  <c r="F22" i="6" s="1"/>
  <c r="G21" i="6"/>
  <c r="R20" i="6"/>
  <c r="S21" i="6"/>
  <c r="N22" i="6" s="1"/>
  <c r="O22" i="6" s="1"/>
  <c r="P22" i="6" s="1"/>
  <c r="Q21" i="6"/>
  <c r="AJ21" i="6"/>
  <c r="AK21" i="6" s="1"/>
  <c r="AF22" i="6" s="1"/>
  <c r="AG22" i="6" s="1"/>
  <c r="AH22" i="6" s="1"/>
  <c r="AI21" i="6"/>
  <c r="BC20" i="6"/>
  <c r="BD20" i="6" s="1"/>
  <c r="BI17" i="6"/>
  <c r="H20" i="6"/>
  <c r="I20" i="6" s="1"/>
  <c r="AM18" i="6"/>
  <c r="AN18" i="6" s="1"/>
  <c r="AL23" i="6" l="1"/>
  <c r="T23" i="6"/>
  <c r="BJ23" i="6"/>
  <c r="B24" i="6"/>
  <c r="AT24" i="6" s="1"/>
  <c r="BE23" i="6"/>
  <c r="J23" i="6"/>
  <c r="E23" i="6"/>
  <c r="F23" i="6" s="1"/>
  <c r="AA23" i="6"/>
  <c r="G22" i="6"/>
  <c r="BL17" i="6"/>
  <c r="BM17" i="6" s="1"/>
  <c r="BN17" i="6" s="1"/>
  <c r="H21" i="6"/>
  <c r="I21" i="6" s="1"/>
  <c r="K21" i="6" s="1"/>
  <c r="L21" i="6" s="1"/>
  <c r="M21" i="6" s="1"/>
  <c r="R21" i="6"/>
  <c r="S22" i="6"/>
  <c r="N23" i="6" s="1"/>
  <c r="O23" i="6" s="1"/>
  <c r="P23" i="6" s="1"/>
  <c r="Q22" i="6"/>
  <c r="AO18" i="6"/>
  <c r="AR18" i="6"/>
  <c r="AS18" i="6" s="1"/>
  <c r="AP18" i="6"/>
  <c r="AJ22" i="6"/>
  <c r="AK22" i="6" s="1"/>
  <c r="AF23" i="6" s="1"/>
  <c r="AG23" i="6" s="1"/>
  <c r="AH23" i="6" s="1"/>
  <c r="AI22" i="6"/>
  <c r="AY21" i="6"/>
  <c r="AZ21" i="6" s="1"/>
  <c r="BA21" i="6" s="1"/>
  <c r="K20" i="6"/>
  <c r="L20" i="6" s="1"/>
  <c r="M20" i="6" s="1"/>
  <c r="BF19" i="6"/>
  <c r="BG19" i="6" s="1"/>
  <c r="BK19" i="6" s="1"/>
  <c r="AA24" i="6" l="1"/>
  <c r="AL24" i="6"/>
  <c r="BE24" i="6"/>
  <c r="T24" i="6"/>
  <c r="J24" i="6"/>
  <c r="BJ24" i="6"/>
  <c r="B25" i="6"/>
  <c r="AT25" i="6" s="1"/>
  <c r="E24" i="6"/>
  <c r="F24" i="6" s="1"/>
  <c r="G23" i="6"/>
  <c r="H23" i="6" s="1"/>
  <c r="I23" i="6" s="1"/>
  <c r="K23" i="6" s="1"/>
  <c r="H22" i="6"/>
  <c r="I22" i="6" s="1"/>
  <c r="K22" i="6" s="1"/>
  <c r="L22" i="6" s="1"/>
  <c r="M22" i="6" s="1"/>
  <c r="BH19" i="6"/>
  <c r="R22" i="6"/>
  <c r="S23" i="6"/>
  <c r="N24" i="6" s="1"/>
  <c r="O24" i="6" s="1"/>
  <c r="P24" i="6" s="1"/>
  <c r="Q23" i="6"/>
  <c r="AU18" i="6"/>
  <c r="AV18" i="6" s="1"/>
  <c r="AW18" i="6" s="1"/>
  <c r="AX18" i="6" s="1"/>
  <c r="AQ18" i="6" s="1"/>
  <c r="AJ23" i="6"/>
  <c r="AK23" i="6" s="1"/>
  <c r="AF24" i="6" s="1"/>
  <c r="AG24" i="6" s="1"/>
  <c r="AH24" i="6" s="1"/>
  <c r="AI23" i="6"/>
  <c r="BB21" i="6"/>
  <c r="BC21" i="6" s="1"/>
  <c r="BD21" i="6" s="1"/>
  <c r="T25" i="6"/>
  <c r="U19" i="6"/>
  <c r="AL25" i="6" l="1"/>
  <c r="BE25" i="6"/>
  <c r="E25" i="6"/>
  <c r="F25" i="6" s="1"/>
  <c r="AA25" i="6"/>
  <c r="B26" i="6"/>
  <c r="AT26" i="6" s="1"/>
  <c r="BJ25" i="6"/>
  <c r="J25" i="6"/>
  <c r="G24" i="6"/>
  <c r="R23" i="6"/>
  <c r="Q24" i="6"/>
  <c r="R24" i="6" s="1"/>
  <c r="AJ24" i="6"/>
  <c r="AK24" i="6" s="1"/>
  <c r="AF25" i="6" s="1"/>
  <c r="AG25" i="6" s="1"/>
  <c r="AH25" i="6" s="1"/>
  <c r="AI24" i="6"/>
  <c r="AY22" i="6"/>
  <c r="AZ22" i="6" s="1"/>
  <c r="BA22" i="6" s="1"/>
  <c r="BI18" i="6"/>
  <c r="AM19" i="6"/>
  <c r="S24" i="6"/>
  <c r="N25" i="6" s="1"/>
  <c r="O25" i="6" s="1"/>
  <c r="P25" i="6" s="1"/>
  <c r="L23" i="6"/>
  <c r="M23" i="6" s="1"/>
  <c r="B27" i="6" l="1"/>
  <c r="BE27" i="6" s="1"/>
  <c r="AL26" i="6"/>
  <c r="T26" i="6"/>
  <c r="BE26" i="6"/>
  <c r="BJ26" i="6"/>
  <c r="J26" i="6"/>
  <c r="AA26" i="6"/>
  <c r="AN19" i="6"/>
  <c r="AR19" i="6" s="1"/>
  <c r="AS19" i="6" s="1"/>
  <c r="E26" i="6"/>
  <c r="F26" i="6" s="1"/>
  <c r="G25" i="6"/>
  <c r="H25" i="6" s="1"/>
  <c r="I25" i="6" s="1"/>
  <c r="K25" i="6" s="1"/>
  <c r="H24" i="6"/>
  <c r="I24" i="6" s="1"/>
  <c r="K24" i="6" s="1"/>
  <c r="L24" i="6" s="1"/>
  <c r="M24" i="6" s="1"/>
  <c r="BL18" i="6"/>
  <c r="BM18" i="6" s="1"/>
  <c r="BN18" i="6" s="1"/>
  <c r="Q25" i="6"/>
  <c r="AJ25" i="6"/>
  <c r="AK25" i="6" s="1"/>
  <c r="AF26" i="6" s="1"/>
  <c r="AG26" i="6" s="1"/>
  <c r="AH26" i="6" s="1"/>
  <c r="AI25" i="6"/>
  <c r="BB22" i="6"/>
  <c r="BC22" i="6" s="1"/>
  <c r="BD22" i="6" s="1"/>
  <c r="BF20" i="6"/>
  <c r="BG20" i="6" s="1"/>
  <c r="BK20" i="6" s="1"/>
  <c r="S25" i="6"/>
  <c r="N26" i="6" s="1"/>
  <c r="O26" i="6" s="1"/>
  <c r="P26" i="6" s="1"/>
  <c r="T27" i="6" l="1"/>
  <c r="BJ27" i="6"/>
  <c r="AL27" i="6"/>
  <c r="E27" i="6"/>
  <c r="F27" i="6" s="1"/>
  <c r="AT27" i="6"/>
  <c r="AA27" i="6"/>
  <c r="B28" i="6"/>
  <c r="AL28" i="6" s="1"/>
  <c r="J27" i="6"/>
  <c r="J28" i="6" s="1"/>
  <c r="AO19" i="6"/>
  <c r="AU19" i="6" s="1"/>
  <c r="AV19" i="6" s="1"/>
  <c r="AW19" i="6" s="1"/>
  <c r="AP19" i="6"/>
  <c r="G26" i="6"/>
  <c r="BH20" i="6"/>
  <c r="R25" i="6"/>
  <c r="Q26" i="6"/>
  <c r="AJ26" i="6"/>
  <c r="AK26" i="6" s="1"/>
  <c r="AF27" i="6" s="1"/>
  <c r="AG27" i="6" s="1"/>
  <c r="AH27" i="6" s="1"/>
  <c r="AI26" i="6"/>
  <c r="AY23" i="6"/>
  <c r="AZ23" i="6" s="1"/>
  <c r="BA23" i="6" s="1"/>
  <c r="S26" i="6"/>
  <c r="N27" i="6" s="1"/>
  <c r="O27" i="6" s="1"/>
  <c r="P27" i="6" s="1"/>
  <c r="U20" i="6"/>
  <c r="L25" i="6"/>
  <c r="M25" i="6" s="1"/>
  <c r="AA28" i="6" l="1"/>
  <c r="BJ28" i="6"/>
  <c r="G27" i="6"/>
  <c r="H27" i="6" s="1"/>
  <c r="I27" i="6" s="1"/>
  <c r="K27" i="6" s="1"/>
  <c r="H26" i="6"/>
  <c r="I26" i="6" s="1"/>
  <c r="K26" i="6" s="1"/>
  <c r="L26" i="6" s="1"/>
  <c r="M26" i="6" s="1"/>
  <c r="BE28" i="6"/>
  <c r="B29" i="6"/>
  <c r="BJ29" i="6" s="1"/>
  <c r="E28" i="6"/>
  <c r="F28" i="6" s="1"/>
  <c r="T28" i="6"/>
  <c r="AT28" i="6"/>
  <c r="AL29" i="6"/>
  <c r="AX19" i="6"/>
  <c r="AQ19" i="6" s="1"/>
  <c r="R26" i="6"/>
  <c r="S27" i="6"/>
  <c r="N28" i="6" s="1"/>
  <c r="O28" i="6" s="1"/>
  <c r="P28" i="6" s="1"/>
  <c r="Q27" i="6"/>
  <c r="AJ27" i="6"/>
  <c r="AK27" i="6" s="1"/>
  <c r="AF28" i="6" s="1"/>
  <c r="AG28" i="6" s="1"/>
  <c r="AH28" i="6" s="1"/>
  <c r="AI27" i="6"/>
  <c r="BI19" i="6"/>
  <c r="BB23" i="6"/>
  <c r="BC23" i="6" s="1"/>
  <c r="BD23" i="6" s="1"/>
  <c r="AM20" i="6"/>
  <c r="G28" i="6"/>
  <c r="B30" i="6" l="1"/>
  <c r="BE30" i="6" s="1"/>
  <c r="E29" i="6"/>
  <c r="F29" i="6" s="1"/>
  <c r="G29" i="6" s="1"/>
  <c r="BE29" i="6"/>
  <c r="J29" i="6"/>
  <c r="T29" i="6"/>
  <c r="AA29" i="6"/>
  <c r="AT29" i="6"/>
  <c r="AN20" i="6"/>
  <c r="BL19" i="6"/>
  <c r="BM19" i="6" s="1"/>
  <c r="BN19" i="6" s="1"/>
  <c r="R27" i="6"/>
  <c r="Q28" i="6"/>
  <c r="AJ28" i="6"/>
  <c r="AK28" i="6" s="1"/>
  <c r="AF29" i="6" s="1"/>
  <c r="AG29" i="6" s="1"/>
  <c r="AH29" i="6" s="1"/>
  <c r="AI28" i="6"/>
  <c r="AY24" i="6"/>
  <c r="AZ24" i="6" s="1"/>
  <c r="BA24" i="6" s="1"/>
  <c r="BF21" i="6"/>
  <c r="BG21" i="6" s="1"/>
  <c r="BK21" i="6" s="1"/>
  <c r="S28" i="6"/>
  <c r="N29" i="6" s="1"/>
  <c r="O29" i="6" s="1"/>
  <c r="P29" i="6" s="1"/>
  <c r="H28" i="6"/>
  <c r="I28" i="6" s="1"/>
  <c r="K28" i="6" s="1"/>
  <c r="L27" i="6"/>
  <c r="M27" i="6" s="1"/>
  <c r="E30" i="6" l="1"/>
  <c r="F30" i="6" s="1"/>
  <c r="G30" i="6" s="1"/>
  <c r="T30" i="6"/>
  <c r="AA30" i="6"/>
  <c r="BJ30" i="6"/>
  <c r="AL30" i="6"/>
  <c r="J30" i="6"/>
  <c r="AT30" i="6"/>
  <c r="B31" i="6"/>
  <c r="AL31" i="6" s="1"/>
  <c r="AT31" i="6"/>
  <c r="AO20" i="6"/>
  <c r="AU20" i="6" s="1"/>
  <c r="AP20" i="6"/>
  <c r="AR20" i="6"/>
  <c r="AS20" i="6" s="1"/>
  <c r="BH21" i="6"/>
  <c r="R28" i="6"/>
  <c r="Q29" i="6"/>
  <c r="AJ29" i="6"/>
  <c r="AK29" i="6" s="1"/>
  <c r="AF30" i="6" s="1"/>
  <c r="AG30" i="6" s="1"/>
  <c r="AH30" i="6" s="1"/>
  <c r="AI29" i="6"/>
  <c r="BB24" i="6"/>
  <c r="BC24" i="6" s="1"/>
  <c r="BD24" i="6" s="1"/>
  <c r="S29" i="6"/>
  <c r="N30" i="6" s="1"/>
  <c r="O30" i="6" s="1"/>
  <c r="P30" i="6" s="1"/>
  <c r="U21" i="6"/>
  <c r="L28" i="6"/>
  <c r="M28" i="6" s="1"/>
  <c r="H29" i="6"/>
  <c r="I29" i="6" s="1"/>
  <c r="K29" i="6" s="1"/>
  <c r="AA31" i="6" l="1"/>
  <c r="BJ31" i="6"/>
  <c r="T31" i="6"/>
  <c r="E31" i="6"/>
  <c r="F31" i="6" s="1"/>
  <c r="G31" i="6" s="1"/>
  <c r="B32" i="6"/>
  <c r="AT32" i="6" s="1"/>
  <c r="J31" i="6"/>
  <c r="BE31" i="6"/>
  <c r="AV20" i="6"/>
  <c r="AW20" i="6" s="1"/>
  <c r="AX20" i="6" s="1"/>
  <c r="AQ20" i="6" s="1"/>
  <c r="R29" i="6"/>
  <c r="S30" i="6"/>
  <c r="N31" i="6" s="1"/>
  <c r="O31" i="6" s="1"/>
  <c r="P31" i="6" s="1"/>
  <c r="Q30" i="6"/>
  <c r="AJ30" i="6"/>
  <c r="AK30" i="6" s="1"/>
  <c r="AF31" i="6" s="1"/>
  <c r="AG31" i="6" s="1"/>
  <c r="AH31" i="6" s="1"/>
  <c r="AI30" i="6"/>
  <c r="BI20" i="6"/>
  <c r="AY25" i="6"/>
  <c r="AZ25" i="6" s="1"/>
  <c r="BA25" i="6" s="1"/>
  <c r="BB25" i="6" s="1"/>
  <c r="BC25" i="6" s="1"/>
  <c r="BD25" i="6" s="1"/>
  <c r="AM21" i="6"/>
  <c r="L29" i="6"/>
  <c r="M29" i="6" s="1"/>
  <c r="H30" i="6"/>
  <c r="I30" i="6" s="1"/>
  <c r="K30" i="6" s="1"/>
  <c r="J32" i="6" l="1"/>
  <c r="BJ32" i="6"/>
  <c r="AL32" i="6"/>
  <c r="E32" i="6"/>
  <c r="F32" i="6" s="1"/>
  <c r="G32" i="6" s="1"/>
  <c r="BE32" i="6"/>
  <c r="B33" i="6"/>
  <c r="AT33" i="6" s="1"/>
  <c r="AA32" i="6"/>
  <c r="T32" i="6"/>
  <c r="AN21" i="6"/>
  <c r="AO21" i="6" s="1"/>
  <c r="AU21" i="6" s="1"/>
  <c r="BL20" i="6"/>
  <c r="BM20" i="6" s="1"/>
  <c r="BN20" i="6" s="1"/>
  <c r="R30" i="6"/>
  <c r="S31" i="6"/>
  <c r="N32" i="6" s="1"/>
  <c r="O32" i="6" s="1"/>
  <c r="P32" i="6" s="1"/>
  <c r="Q31" i="6"/>
  <c r="AJ31" i="6"/>
  <c r="AK31" i="6" s="1"/>
  <c r="AF32" i="6" s="1"/>
  <c r="AG32" i="6" s="1"/>
  <c r="AH32" i="6" s="1"/>
  <c r="AI31" i="6"/>
  <c r="AY26" i="6"/>
  <c r="AZ26" i="6" s="1"/>
  <c r="BA26" i="6" s="1"/>
  <c r="BF22" i="6"/>
  <c r="BG22" i="6" s="1"/>
  <c r="BK22" i="6" s="1"/>
  <c r="L30" i="6"/>
  <c r="M30" i="6" s="1"/>
  <c r="H31" i="6"/>
  <c r="I31" i="6" s="1"/>
  <c r="K31" i="6" s="1"/>
  <c r="B34" i="6" l="1"/>
  <c r="AT34" i="6" s="1"/>
  <c r="BJ33" i="6"/>
  <c r="AA33" i="6"/>
  <c r="BE33" i="6"/>
  <c r="E33" i="6"/>
  <c r="F33" i="6" s="1"/>
  <c r="G33" i="6" s="1"/>
  <c r="T33" i="6"/>
  <c r="AL33" i="6"/>
  <c r="J33" i="6"/>
  <c r="AP21" i="6"/>
  <c r="AR21" i="6"/>
  <c r="AS21" i="6" s="1"/>
  <c r="AV21" i="6" s="1"/>
  <c r="AW21" i="6" s="1"/>
  <c r="BH22" i="6"/>
  <c r="R31" i="6"/>
  <c r="Q32" i="6"/>
  <c r="AJ32" i="6"/>
  <c r="AK32" i="6" s="1"/>
  <c r="AF33" i="6" s="1"/>
  <c r="AG33" i="6" s="1"/>
  <c r="AH33" i="6" s="1"/>
  <c r="AI32" i="6"/>
  <c r="BB26" i="6"/>
  <c r="BC26" i="6" s="1"/>
  <c r="BD26" i="6" s="1"/>
  <c r="S32" i="6"/>
  <c r="N33" i="6" s="1"/>
  <c r="O33" i="6" s="1"/>
  <c r="P33" i="6" s="1"/>
  <c r="L31" i="6"/>
  <c r="M31" i="6" s="1"/>
  <c r="H32" i="6"/>
  <c r="I32" i="6" s="1"/>
  <c r="K32" i="6" s="1"/>
  <c r="U22" i="6"/>
  <c r="AL34" i="6" l="1"/>
  <c r="B35" i="6"/>
  <c r="AT35" i="6" s="1"/>
  <c r="E34" i="6"/>
  <c r="F34" i="6" s="1"/>
  <c r="BJ34" i="6"/>
  <c r="BE34" i="6"/>
  <c r="J34" i="6"/>
  <c r="T34" i="6"/>
  <c r="AA34" i="6"/>
  <c r="AA35" i="6" s="1"/>
  <c r="AL35" i="6"/>
  <c r="AX21" i="6"/>
  <c r="AQ21" i="6" s="1"/>
  <c r="R32" i="6"/>
  <c r="S33" i="6"/>
  <c r="N34" i="6" s="1"/>
  <c r="O34" i="6" s="1"/>
  <c r="P34" i="6" s="1"/>
  <c r="Q33" i="6"/>
  <c r="AJ33" i="6"/>
  <c r="AK33" i="6" s="1"/>
  <c r="AF34" i="6" s="1"/>
  <c r="AG34" i="6" s="1"/>
  <c r="AH34" i="6" s="1"/>
  <c r="AI33" i="6"/>
  <c r="AY27" i="6"/>
  <c r="AZ27" i="6" s="1"/>
  <c r="BA27" i="6" s="1"/>
  <c r="BI21" i="6"/>
  <c r="BJ35" i="6"/>
  <c r="T35" i="6"/>
  <c r="BE35" i="6"/>
  <c r="AM22" i="6"/>
  <c r="J35" i="6"/>
  <c r="E35" i="6"/>
  <c r="F35" i="6" s="1"/>
  <c r="L32" i="6"/>
  <c r="M32" i="6" s="1"/>
  <c r="G34" i="6"/>
  <c r="H33" i="6"/>
  <c r="I33" i="6" s="1"/>
  <c r="K33" i="6" s="1"/>
  <c r="B36" i="6"/>
  <c r="AT36" i="6" s="1"/>
  <c r="AL36" i="6" l="1"/>
  <c r="AN22" i="6"/>
  <c r="AP22" i="6" s="1"/>
  <c r="BL21" i="6"/>
  <c r="BM21" i="6" s="1"/>
  <c r="BN21" i="6" s="1"/>
  <c r="R33" i="6"/>
  <c r="S34" i="6"/>
  <c r="N35" i="6" s="1"/>
  <c r="O35" i="6" s="1"/>
  <c r="P35" i="6" s="1"/>
  <c r="Q34" i="6"/>
  <c r="AJ34" i="6"/>
  <c r="AK34" i="6" s="1"/>
  <c r="AF35" i="6" s="1"/>
  <c r="AG35" i="6" s="1"/>
  <c r="AH35" i="6" s="1"/>
  <c r="AI34" i="6"/>
  <c r="BB27" i="6"/>
  <c r="BC27" i="6" s="1"/>
  <c r="BD27" i="6" s="1"/>
  <c r="BJ36" i="6"/>
  <c r="T36" i="6"/>
  <c r="BE36" i="6"/>
  <c r="BF23" i="6"/>
  <c r="BG23" i="6" s="1"/>
  <c r="BK23" i="6" s="1"/>
  <c r="AA36" i="6"/>
  <c r="J36" i="6"/>
  <c r="E36" i="6"/>
  <c r="F36" i="6" s="1"/>
  <c r="G35" i="6"/>
  <c r="H34" i="6"/>
  <c r="I34" i="6" s="1"/>
  <c r="K34" i="6" s="1"/>
  <c r="B37" i="6"/>
  <c r="AT37" i="6" s="1"/>
  <c r="L33" i="6"/>
  <c r="M33" i="6" s="1"/>
  <c r="AL37" i="6" l="1"/>
  <c r="AR22" i="6"/>
  <c r="AS22" i="6" s="1"/>
  <c r="AO22" i="6"/>
  <c r="AU22" i="6" s="1"/>
  <c r="BH23" i="6"/>
  <c r="R34" i="6"/>
  <c r="Q35" i="6"/>
  <c r="AJ35" i="6"/>
  <c r="AK35" i="6" s="1"/>
  <c r="AF36" i="6" s="1"/>
  <c r="AG36" i="6" s="1"/>
  <c r="AH36" i="6" s="1"/>
  <c r="AI35" i="6"/>
  <c r="AY28" i="6"/>
  <c r="AZ28" i="6" s="1"/>
  <c r="BA28" i="6" s="1"/>
  <c r="BJ37" i="6"/>
  <c r="T37" i="6"/>
  <c r="BE37" i="6"/>
  <c r="J37" i="6"/>
  <c r="AA37" i="6"/>
  <c r="E37" i="6"/>
  <c r="F37" i="6" s="1"/>
  <c r="S35" i="6"/>
  <c r="N36" i="6" s="1"/>
  <c r="O36" i="6" s="1"/>
  <c r="P36" i="6" s="1"/>
  <c r="B38" i="6"/>
  <c r="AT38" i="6" s="1"/>
  <c r="L34" i="6"/>
  <c r="M34" i="6" s="1"/>
  <c r="U23" i="6"/>
  <c r="G36" i="6"/>
  <c r="H35" i="6"/>
  <c r="I35" i="6" s="1"/>
  <c r="K35" i="6" s="1"/>
  <c r="AL38" i="6" l="1"/>
  <c r="AV22" i="6"/>
  <c r="AW22" i="6" s="1"/>
  <c r="AX22" i="6" s="1"/>
  <c r="AQ22" i="6" s="1"/>
  <c r="R35" i="6"/>
  <c r="Q36" i="6"/>
  <c r="AJ36" i="6"/>
  <c r="AK36" i="6" s="1"/>
  <c r="AF37" i="6" s="1"/>
  <c r="AG37" i="6" s="1"/>
  <c r="AH37" i="6" s="1"/>
  <c r="AI36" i="6"/>
  <c r="BB28" i="6"/>
  <c r="BC28" i="6" s="1"/>
  <c r="BD28" i="6" s="1"/>
  <c r="BJ38" i="6"/>
  <c r="BI22" i="6"/>
  <c r="T38" i="6"/>
  <c r="BE38" i="6"/>
  <c r="AM23" i="6"/>
  <c r="J38" i="6"/>
  <c r="AA38" i="6"/>
  <c r="E38" i="6"/>
  <c r="F38" i="6" s="1"/>
  <c r="S36" i="6"/>
  <c r="N37" i="6" s="1"/>
  <c r="O37" i="6" s="1"/>
  <c r="B39" i="6"/>
  <c r="AT39" i="6" s="1"/>
  <c r="G37" i="6"/>
  <c r="H36" i="6"/>
  <c r="L35" i="6"/>
  <c r="M35" i="6" s="1"/>
  <c r="AL39" i="6" l="1"/>
  <c r="AN23" i="6"/>
  <c r="AP23" i="6" s="1"/>
  <c r="BL22" i="6"/>
  <c r="BM22" i="6" s="1"/>
  <c r="BN22" i="6" s="1"/>
  <c r="R36" i="6"/>
  <c r="AJ37" i="6"/>
  <c r="AK37" i="6" s="1"/>
  <c r="AF38" i="6" s="1"/>
  <c r="AG38" i="6" s="1"/>
  <c r="AH38" i="6" s="1"/>
  <c r="AI37" i="6"/>
  <c r="AY29" i="6"/>
  <c r="AZ29" i="6" s="1"/>
  <c r="BA29" i="6" s="1"/>
  <c r="BB29" i="6" s="1"/>
  <c r="BC29" i="6" s="1"/>
  <c r="BD29" i="6" s="1"/>
  <c r="BJ39" i="6"/>
  <c r="T39" i="6"/>
  <c r="BE39" i="6"/>
  <c r="BF24" i="6"/>
  <c r="BG24" i="6" s="1"/>
  <c r="BK24" i="6" s="1"/>
  <c r="AA39" i="6"/>
  <c r="J39" i="6"/>
  <c r="E39" i="6"/>
  <c r="F39" i="6" s="1"/>
  <c r="I36" i="6"/>
  <c r="P37" i="6"/>
  <c r="G38" i="6"/>
  <c r="H37" i="6"/>
  <c r="I37" i="6" s="1"/>
  <c r="K37" i="6" s="1"/>
  <c r="B40" i="6"/>
  <c r="AT40" i="6" s="1"/>
  <c r="AL40" i="6" l="1"/>
  <c r="AO23" i="6"/>
  <c r="AU23" i="6" s="1"/>
  <c r="AR23" i="6"/>
  <c r="AS23" i="6" s="1"/>
  <c r="BH24" i="6"/>
  <c r="S37" i="6"/>
  <c r="N38" i="6" s="1"/>
  <c r="O38" i="6" s="1"/>
  <c r="P38" i="6" s="1"/>
  <c r="Q37" i="6"/>
  <c r="AJ38" i="6"/>
  <c r="AK38" i="6" s="1"/>
  <c r="AF39" i="6" s="1"/>
  <c r="AG39" i="6" s="1"/>
  <c r="AH39" i="6" s="1"/>
  <c r="AI38" i="6"/>
  <c r="AY30" i="6"/>
  <c r="AZ30" i="6" s="1"/>
  <c r="BA30" i="6" s="1"/>
  <c r="BJ40" i="6"/>
  <c r="K36" i="6"/>
  <c r="L36" i="6" s="1"/>
  <c r="M36" i="6" s="1"/>
  <c r="T40" i="6"/>
  <c r="BE40" i="6"/>
  <c r="J40" i="6"/>
  <c r="AA40" i="6"/>
  <c r="E40" i="6"/>
  <c r="F40" i="6" s="1"/>
  <c r="U24" i="6"/>
  <c r="B41" i="6"/>
  <c r="AT41" i="6" s="1"/>
  <c r="L37" i="6"/>
  <c r="M37" i="6" s="1"/>
  <c r="G39" i="6"/>
  <c r="H38" i="6"/>
  <c r="I38" i="6" s="1"/>
  <c r="K38" i="6" s="1"/>
  <c r="AL41" i="6" l="1"/>
  <c r="AV23" i="6"/>
  <c r="AW23" i="6" s="1"/>
  <c r="AX23" i="6" s="1"/>
  <c r="AQ23" i="6" s="1"/>
  <c r="R37" i="6"/>
  <c r="Q38" i="6"/>
  <c r="S38" i="6"/>
  <c r="N39" i="6" s="1"/>
  <c r="O39" i="6" s="1"/>
  <c r="P39" i="6" s="1"/>
  <c r="AJ39" i="6"/>
  <c r="AK39" i="6" s="1"/>
  <c r="AF40" i="6" s="1"/>
  <c r="AG40" i="6" s="1"/>
  <c r="AH40" i="6" s="1"/>
  <c r="AI39" i="6"/>
  <c r="BJ41" i="6"/>
  <c r="BB30" i="6"/>
  <c r="BC30" i="6" s="1"/>
  <c r="BD30" i="6" s="1"/>
  <c r="BI23" i="6"/>
  <c r="T41" i="6"/>
  <c r="BE41" i="6"/>
  <c r="AM24" i="6"/>
  <c r="AA41" i="6"/>
  <c r="J41" i="6"/>
  <c r="E41" i="6"/>
  <c r="F41" i="6" s="1"/>
  <c r="B42" i="6"/>
  <c r="AT42" i="6" s="1"/>
  <c r="L38" i="6"/>
  <c r="M38" i="6" s="1"/>
  <c r="G40" i="6"/>
  <c r="H39" i="6"/>
  <c r="I39" i="6" s="1"/>
  <c r="K39" i="6" s="1"/>
  <c r="AL42" i="6" l="1"/>
  <c r="AN24" i="6"/>
  <c r="BL23" i="6"/>
  <c r="BM23" i="6" s="1"/>
  <c r="BN23" i="6" s="1"/>
  <c r="R38" i="6"/>
  <c r="S39" i="6"/>
  <c r="N40" i="6" s="1"/>
  <c r="O40" i="6" s="1"/>
  <c r="P40" i="6" s="1"/>
  <c r="Q39" i="6"/>
  <c r="AJ40" i="6"/>
  <c r="AK40" i="6" s="1"/>
  <c r="AF41" i="6" s="1"/>
  <c r="AG41" i="6" s="1"/>
  <c r="AH41" i="6" s="1"/>
  <c r="AI40" i="6"/>
  <c r="BJ42" i="6"/>
  <c r="AY31" i="6"/>
  <c r="AZ31" i="6" s="1"/>
  <c r="BA31" i="6" s="1"/>
  <c r="T42" i="6"/>
  <c r="BE42" i="6"/>
  <c r="BF25" i="6"/>
  <c r="BG25" i="6" s="1"/>
  <c r="BK25" i="6" s="1"/>
  <c r="AA42" i="6"/>
  <c r="J42" i="6"/>
  <c r="E42" i="6"/>
  <c r="F42" i="6" s="1"/>
  <c r="B43" i="6"/>
  <c r="AT43" i="6" s="1"/>
  <c r="L39" i="6"/>
  <c r="M39" i="6" s="1"/>
  <c r="G41" i="6"/>
  <c r="H40" i="6"/>
  <c r="I40" i="6" s="1"/>
  <c r="K40" i="6" s="1"/>
  <c r="AL43" i="6" l="1"/>
  <c r="AP24" i="6"/>
  <c r="AR24" i="6"/>
  <c r="AS24" i="6" s="1"/>
  <c r="AO24" i="6"/>
  <c r="AU24" i="6" s="1"/>
  <c r="BH25" i="6"/>
  <c r="R39" i="6"/>
  <c r="S40" i="6"/>
  <c r="N41" i="6" s="1"/>
  <c r="O41" i="6" s="1"/>
  <c r="P41" i="6" s="1"/>
  <c r="Q41" i="6" s="1"/>
  <c r="Q40" i="6"/>
  <c r="AJ41" i="6"/>
  <c r="AK41" i="6" s="1"/>
  <c r="AF42" i="6" s="1"/>
  <c r="AG42" i="6" s="1"/>
  <c r="AH42" i="6" s="1"/>
  <c r="AI41" i="6"/>
  <c r="BJ43" i="6"/>
  <c r="BB31" i="6"/>
  <c r="BC31" i="6" s="1"/>
  <c r="BD31" i="6" s="1"/>
  <c r="T43" i="6"/>
  <c r="BE43" i="6"/>
  <c r="J43" i="6"/>
  <c r="AA43" i="6"/>
  <c r="E43" i="6"/>
  <c r="F43" i="6" s="1"/>
  <c r="U25" i="6"/>
  <c r="L40" i="6"/>
  <c r="M40" i="6" s="1"/>
  <c r="B44" i="6"/>
  <c r="AT44" i="6" s="1"/>
  <c r="G42" i="6"/>
  <c r="H41" i="6"/>
  <c r="AL44" i="6" l="1"/>
  <c r="AV24" i="6"/>
  <c r="AW24" i="6" s="1"/>
  <c r="AX24" i="6" s="1"/>
  <c r="AQ24" i="6" s="1"/>
  <c r="S41" i="6"/>
  <c r="N42" i="6" s="1"/>
  <c r="O42" i="6" s="1"/>
  <c r="P42" i="6" s="1"/>
  <c r="Q42" i="6" s="1"/>
  <c r="I41" i="6"/>
  <c r="K41" i="6" s="1"/>
  <c r="L41" i="6" s="1"/>
  <c r="M41" i="6" s="1"/>
  <c r="G3" i="6" s="1"/>
  <c r="E3" i="6"/>
  <c r="R41" i="6"/>
  <c r="R40" i="6"/>
  <c r="AJ42" i="6"/>
  <c r="AK42" i="6" s="1"/>
  <c r="AF43" i="6" s="1"/>
  <c r="AG43" i="6" s="1"/>
  <c r="AH43" i="6" s="1"/>
  <c r="AI42" i="6"/>
  <c r="BJ44" i="6"/>
  <c r="AY32" i="6"/>
  <c r="AZ32" i="6" s="1"/>
  <c r="BA32" i="6" s="1"/>
  <c r="BI24" i="6"/>
  <c r="T44" i="6"/>
  <c r="BE44" i="6"/>
  <c r="AM25" i="6"/>
  <c r="J44" i="6"/>
  <c r="AA44" i="6"/>
  <c r="E44" i="6"/>
  <c r="F44" i="6" s="1"/>
  <c r="G43" i="6"/>
  <c r="H42" i="6"/>
  <c r="I42" i="6" s="1"/>
  <c r="K42" i="6" s="1"/>
  <c r="B45" i="6"/>
  <c r="AT45" i="6" s="1"/>
  <c r="AL45" i="6" l="1"/>
  <c r="S42" i="6"/>
  <c r="N43" i="6" s="1"/>
  <c r="O43" i="6" s="1"/>
  <c r="P43" i="6" s="1"/>
  <c r="Q43" i="6" s="1"/>
  <c r="AN25" i="6"/>
  <c r="AP25" i="6" s="1"/>
  <c r="BL24" i="6"/>
  <c r="BM24" i="6" s="1"/>
  <c r="BN24" i="6" s="1"/>
  <c r="R42" i="6"/>
  <c r="AJ43" i="6"/>
  <c r="AK43" i="6" s="1"/>
  <c r="AF44" i="6" s="1"/>
  <c r="AG44" i="6" s="1"/>
  <c r="AH44" i="6" s="1"/>
  <c r="AI43" i="6"/>
  <c r="BJ45" i="6"/>
  <c r="BB32" i="6"/>
  <c r="BC32" i="6" s="1"/>
  <c r="BD32" i="6" s="1"/>
  <c r="T45" i="6"/>
  <c r="BE45" i="6"/>
  <c r="BF26" i="6"/>
  <c r="BG26" i="6" s="1"/>
  <c r="BK26" i="6" s="1"/>
  <c r="AA45" i="6"/>
  <c r="J45" i="6"/>
  <c r="E45" i="6"/>
  <c r="F45" i="6" s="1"/>
  <c r="B46" i="6"/>
  <c r="AT46" i="6" s="1"/>
  <c r="L42" i="6"/>
  <c r="M42" i="6" s="1"/>
  <c r="G44" i="6"/>
  <c r="H43" i="6"/>
  <c r="I43" i="6" s="1"/>
  <c r="K43" i="6" s="1"/>
  <c r="AL46" i="6" l="1"/>
  <c r="S43" i="6"/>
  <c r="N44" i="6" s="1"/>
  <c r="O44" i="6" s="1"/>
  <c r="P44" i="6" s="1"/>
  <c r="Q44" i="6" s="1"/>
  <c r="AO25" i="6"/>
  <c r="AU25" i="6" s="1"/>
  <c r="AR25" i="6"/>
  <c r="AS25" i="6" s="1"/>
  <c r="BH26" i="6"/>
  <c r="BJ46" i="6"/>
  <c r="R43" i="6"/>
  <c r="AJ44" i="6"/>
  <c r="AK44" i="6" s="1"/>
  <c r="AF45" i="6" s="1"/>
  <c r="AG45" i="6" s="1"/>
  <c r="AH45" i="6" s="1"/>
  <c r="AI44" i="6"/>
  <c r="AY33" i="6"/>
  <c r="AZ33" i="6" s="1"/>
  <c r="BA33" i="6" s="1"/>
  <c r="T46" i="6"/>
  <c r="BE46" i="6"/>
  <c r="AA46" i="6"/>
  <c r="J46" i="6"/>
  <c r="E46" i="6"/>
  <c r="F46" i="6" s="1"/>
  <c r="U26" i="6"/>
  <c r="B47" i="6"/>
  <c r="AT47" i="6" s="1"/>
  <c r="G45" i="6"/>
  <c r="H44" i="6"/>
  <c r="I44" i="6" s="1"/>
  <c r="K44" i="6" s="1"/>
  <c r="L43" i="6"/>
  <c r="M43" i="6" s="1"/>
  <c r="AV25" i="6" l="1"/>
  <c r="AW25" i="6" s="1"/>
  <c r="AX25" i="6" s="1"/>
  <c r="AQ25" i="6" s="1"/>
  <c r="AL47" i="6"/>
  <c r="S44" i="6"/>
  <c r="N45" i="6" s="1"/>
  <c r="O45" i="6" s="1"/>
  <c r="P45" i="6" s="1"/>
  <c r="Q45" i="6" s="1"/>
  <c r="BJ47" i="6"/>
  <c r="R44" i="6"/>
  <c r="AJ45" i="6"/>
  <c r="AK45" i="6" s="1"/>
  <c r="AF46" i="6" s="1"/>
  <c r="AG46" i="6" s="1"/>
  <c r="AH46" i="6" s="1"/>
  <c r="AI45" i="6"/>
  <c r="BB33" i="6"/>
  <c r="BC33" i="6" s="1"/>
  <c r="BD33" i="6" s="1"/>
  <c r="BI25" i="6"/>
  <c r="T47" i="6"/>
  <c r="BE47" i="6"/>
  <c r="AM26" i="6"/>
  <c r="J47" i="6"/>
  <c r="AA47" i="6"/>
  <c r="E47" i="6"/>
  <c r="F47" i="6" s="1"/>
  <c r="G46" i="6"/>
  <c r="H45" i="6"/>
  <c r="I45" i="6" s="1"/>
  <c r="K45" i="6" s="1"/>
  <c r="L44" i="6"/>
  <c r="M44" i="6" s="1"/>
  <c r="B48" i="6"/>
  <c r="AT48" i="6" s="1"/>
  <c r="S45" i="6" l="1"/>
  <c r="N46" i="6" s="1"/>
  <c r="O46" i="6" s="1"/>
  <c r="P46" i="6" s="1"/>
  <c r="Q46" i="6" s="1"/>
  <c r="AL48" i="6"/>
  <c r="AN26" i="6"/>
  <c r="AO26" i="6" s="1"/>
  <c r="AU26" i="6" s="1"/>
  <c r="BJ48" i="6"/>
  <c r="BL25" i="6"/>
  <c r="BM25" i="6" s="1"/>
  <c r="BN25" i="6" s="1"/>
  <c r="R45" i="6"/>
  <c r="AJ46" i="6"/>
  <c r="AK46" i="6" s="1"/>
  <c r="AF47" i="6" s="1"/>
  <c r="AG47" i="6" s="1"/>
  <c r="AH47" i="6" s="1"/>
  <c r="AI46" i="6"/>
  <c r="AY34" i="6"/>
  <c r="AZ34" i="6" s="1"/>
  <c r="BA34" i="6" s="1"/>
  <c r="T48" i="6"/>
  <c r="BE48" i="6"/>
  <c r="BF27" i="6"/>
  <c r="BG27" i="6" s="1"/>
  <c r="BK27" i="6" s="1"/>
  <c r="J48" i="6"/>
  <c r="AA48" i="6"/>
  <c r="E48" i="6"/>
  <c r="F48" i="6" s="1"/>
  <c r="B49" i="6"/>
  <c r="AT49" i="6" s="1"/>
  <c r="L45" i="6"/>
  <c r="M45" i="6" s="1"/>
  <c r="G47" i="6"/>
  <c r="H46" i="6"/>
  <c r="I46" i="6" s="1"/>
  <c r="K46" i="6" s="1"/>
  <c r="S46" i="6" l="1"/>
  <c r="N47" i="6" s="1"/>
  <c r="O47" i="6" s="1"/>
  <c r="P47" i="6" s="1"/>
  <c r="Q47" i="6" s="1"/>
  <c r="AL49" i="6"/>
  <c r="AP26" i="6"/>
  <c r="AR26" i="6"/>
  <c r="AS26" i="6" s="1"/>
  <c r="AV26" i="6" s="1"/>
  <c r="AW26" i="6" s="1"/>
  <c r="BJ49" i="6"/>
  <c r="BH27" i="6"/>
  <c r="R46" i="6"/>
  <c r="AJ47" i="6"/>
  <c r="AK47" i="6" s="1"/>
  <c r="AF48" i="6" s="1"/>
  <c r="AG48" i="6" s="1"/>
  <c r="AH48" i="6" s="1"/>
  <c r="AI47" i="6"/>
  <c r="BB34" i="6"/>
  <c r="BC34" i="6" s="1"/>
  <c r="BD34" i="6" s="1"/>
  <c r="T49" i="6"/>
  <c r="BE49" i="6"/>
  <c r="AA49" i="6"/>
  <c r="J49" i="6"/>
  <c r="E49" i="6"/>
  <c r="F49" i="6" s="1"/>
  <c r="G48" i="6"/>
  <c r="H47" i="6"/>
  <c r="I47" i="6" s="1"/>
  <c r="K47" i="6" s="1"/>
  <c r="U27" i="6"/>
  <c r="L46" i="6"/>
  <c r="M46" i="6" s="1"/>
  <c r="B50" i="6"/>
  <c r="AT50" i="6" s="1"/>
  <c r="S47" i="6" l="1"/>
  <c r="N48" i="6" s="1"/>
  <c r="O48" i="6" s="1"/>
  <c r="P48" i="6" s="1"/>
  <c r="Q48" i="6" s="1"/>
  <c r="AX26" i="6"/>
  <c r="AQ26" i="6" s="1"/>
  <c r="AL50" i="6"/>
  <c r="BJ50" i="6"/>
  <c r="R47" i="6"/>
  <c r="AJ48" i="6"/>
  <c r="AK48" i="6" s="1"/>
  <c r="AF49" i="6" s="1"/>
  <c r="AG49" i="6" s="1"/>
  <c r="AH49" i="6" s="1"/>
  <c r="AI48" i="6"/>
  <c r="AY35" i="6"/>
  <c r="AZ35" i="6" s="1"/>
  <c r="BA35" i="6" s="1"/>
  <c r="BI26" i="6"/>
  <c r="T50" i="6"/>
  <c r="BE50" i="6"/>
  <c r="AM27" i="6"/>
  <c r="AA50" i="6"/>
  <c r="J50" i="6"/>
  <c r="E50" i="6"/>
  <c r="F50" i="6" s="1"/>
  <c r="B51" i="6"/>
  <c r="AT51" i="6" s="1"/>
  <c r="G49" i="6"/>
  <c r="H48" i="6"/>
  <c r="I48" i="6" s="1"/>
  <c r="K48" i="6" s="1"/>
  <c r="L47" i="6"/>
  <c r="M47" i="6" s="1"/>
  <c r="S48" i="6" l="1"/>
  <c r="N49" i="6" s="1"/>
  <c r="O49" i="6" s="1"/>
  <c r="P49" i="6" s="1"/>
  <c r="AL51" i="6"/>
  <c r="AN27" i="6"/>
  <c r="AP27" i="6" s="1"/>
  <c r="BJ51" i="6"/>
  <c r="BL26" i="6"/>
  <c r="BM26" i="6" s="1"/>
  <c r="BN26" i="6" s="1"/>
  <c r="R48" i="6"/>
  <c r="AJ49" i="6"/>
  <c r="AK49" i="6" s="1"/>
  <c r="AF50" i="6" s="1"/>
  <c r="AG50" i="6" s="1"/>
  <c r="AH50" i="6" s="1"/>
  <c r="AI49" i="6"/>
  <c r="BB35" i="6"/>
  <c r="BC35" i="6" s="1"/>
  <c r="BD35" i="6" s="1"/>
  <c r="T51" i="6"/>
  <c r="BE51" i="6"/>
  <c r="BF28" i="6"/>
  <c r="BG28" i="6" s="1"/>
  <c r="BK28" i="6" s="1"/>
  <c r="J51" i="6"/>
  <c r="AA51" i="6"/>
  <c r="E51" i="6"/>
  <c r="F51" i="6" s="1"/>
  <c r="L48" i="6"/>
  <c r="M48" i="6" s="1"/>
  <c r="B52" i="6"/>
  <c r="AT52" i="6" s="1"/>
  <c r="G50" i="6"/>
  <c r="H49" i="6"/>
  <c r="I49" i="6" s="1"/>
  <c r="K49" i="6" s="1"/>
  <c r="AL52" i="6" l="1"/>
  <c r="AO27" i="6"/>
  <c r="AU27" i="6" s="1"/>
  <c r="AR27" i="6"/>
  <c r="AS27" i="6" s="1"/>
  <c r="BJ52" i="6"/>
  <c r="BH28" i="6"/>
  <c r="S49" i="6"/>
  <c r="N50" i="6" s="1"/>
  <c r="O50" i="6" s="1"/>
  <c r="P50" i="6" s="1"/>
  <c r="Q49" i="6"/>
  <c r="AJ50" i="6"/>
  <c r="AK50" i="6" s="1"/>
  <c r="AF51" i="6" s="1"/>
  <c r="AG51" i="6" s="1"/>
  <c r="AH51" i="6" s="1"/>
  <c r="AI50" i="6"/>
  <c r="AY36" i="6"/>
  <c r="AZ36" i="6" s="1"/>
  <c r="BA36" i="6" s="1"/>
  <c r="T52" i="6"/>
  <c r="BE52" i="6"/>
  <c r="J52" i="6"/>
  <c r="AA52" i="6"/>
  <c r="E52" i="6"/>
  <c r="F52" i="6" s="1"/>
  <c r="U28" i="6"/>
  <c r="L49" i="6"/>
  <c r="M49" i="6" s="1"/>
  <c r="B53" i="6"/>
  <c r="AT53" i="6" s="1"/>
  <c r="G51" i="6"/>
  <c r="H50" i="6"/>
  <c r="I50" i="6" s="1"/>
  <c r="K50" i="6" s="1"/>
  <c r="AV27" i="6" l="1"/>
  <c r="AW27" i="6" s="1"/>
  <c r="AX27" i="6" s="1"/>
  <c r="AQ27" i="6" s="1"/>
  <c r="AL53" i="6"/>
  <c r="BJ53" i="6"/>
  <c r="R49" i="6"/>
  <c r="Q50" i="6"/>
  <c r="AJ51" i="6"/>
  <c r="AK51" i="6" s="1"/>
  <c r="AF52" i="6" s="1"/>
  <c r="AG52" i="6" s="1"/>
  <c r="AH52" i="6" s="1"/>
  <c r="AI51" i="6"/>
  <c r="BB36" i="6"/>
  <c r="BC36" i="6" s="1"/>
  <c r="BD36" i="6" s="1"/>
  <c r="BI27" i="6"/>
  <c r="T53" i="6"/>
  <c r="BE53" i="6"/>
  <c r="AM28" i="6"/>
  <c r="J53" i="6"/>
  <c r="AA53" i="6"/>
  <c r="E53" i="6"/>
  <c r="F53" i="6" s="1"/>
  <c r="S50" i="6"/>
  <c r="N51" i="6" s="1"/>
  <c r="O51" i="6" s="1"/>
  <c r="L50" i="6"/>
  <c r="M50" i="6" s="1"/>
  <c r="B54" i="6"/>
  <c r="AT54" i="6" s="1"/>
  <c r="G52" i="6"/>
  <c r="H51" i="6"/>
  <c r="AL54" i="6" l="1"/>
  <c r="BJ54" i="6"/>
  <c r="AN28" i="6"/>
  <c r="AP28" i="6" s="1"/>
  <c r="BL27" i="6"/>
  <c r="BM27" i="6" s="1"/>
  <c r="BN27" i="6" s="1"/>
  <c r="I51" i="6"/>
  <c r="K51" i="6" s="1"/>
  <c r="L51" i="6" s="1"/>
  <c r="M51" i="6" s="1"/>
  <c r="R50" i="6"/>
  <c r="AJ52" i="6"/>
  <c r="AK52" i="6" s="1"/>
  <c r="AF53" i="6" s="1"/>
  <c r="AG53" i="6" s="1"/>
  <c r="AH53" i="6" s="1"/>
  <c r="AI52" i="6"/>
  <c r="AY37" i="6"/>
  <c r="AZ37" i="6" s="1"/>
  <c r="BA37" i="6" s="1"/>
  <c r="T54" i="6"/>
  <c r="BE54" i="6"/>
  <c r="BF29" i="6"/>
  <c r="BG29" i="6" s="1"/>
  <c r="BK29" i="6" s="1"/>
  <c r="AA54" i="6"/>
  <c r="J54" i="6"/>
  <c r="E54" i="6"/>
  <c r="F54" i="6" s="1"/>
  <c r="P51" i="6"/>
  <c r="G53" i="6"/>
  <c r="H52" i="6"/>
  <c r="I52" i="6" s="1"/>
  <c r="K52" i="6" s="1"/>
  <c r="B55" i="6"/>
  <c r="AT55" i="6" s="1"/>
  <c r="AL55" i="6" l="1"/>
  <c r="AO28" i="6"/>
  <c r="AU28" i="6" s="1"/>
  <c r="BJ55" i="6"/>
  <c r="AR28" i="6"/>
  <c r="AS28" i="6" s="1"/>
  <c r="BH29" i="6"/>
  <c r="S51" i="6"/>
  <c r="N52" i="6" s="1"/>
  <c r="O52" i="6" s="1"/>
  <c r="P52" i="6" s="1"/>
  <c r="Q51" i="6"/>
  <c r="AJ53" i="6"/>
  <c r="AK53" i="6" s="1"/>
  <c r="AF54" i="6" s="1"/>
  <c r="AG54" i="6" s="1"/>
  <c r="AH54" i="6" s="1"/>
  <c r="AI53" i="6"/>
  <c r="BB37" i="6"/>
  <c r="BC37" i="6" s="1"/>
  <c r="BD37" i="6" s="1"/>
  <c r="T55" i="6"/>
  <c r="BE55" i="6"/>
  <c r="AA55" i="6"/>
  <c r="J55" i="6"/>
  <c r="E55" i="6"/>
  <c r="F55" i="6" s="1"/>
  <c r="U29" i="6"/>
  <c r="L52" i="6"/>
  <c r="M52" i="6" s="1"/>
  <c r="B56" i="6"/>
  <c r="AT56" i="6" s="1"/>
  <c r="G54" i="6"/>
  <c r="H53" i="6"/>
  <c r="I53" i="6" s="1"/>
  <c r="K53" i="6" s="1"/>
  <c r="AL56" i="6" l="1"/>
  <c r="AV28" i="6"/>
  <c r="AW28" i="6" s="1"/>
  <c r="AX28" i="6" s="1"/>
  <c r="AQ28" i="6" s="1"/>
  <c r="BJ56" i="6"/>
  <c r="R51" i="6"/>
  <c r="Q52" i="6"/>
  <c r="AJ54" i="6"/>
  <c r="AK54" i="6" s="1"/>
  <c r="AF55" i="6" s="1"/>
  <c r="AG55" i="6" s="1"/>
  <c r="AH55" i="6" s="1"/>
  <c r="AI54" i="6"/>
  <c r="BI28" i="6"/>
  <c r="AY38" i="6"/>
  <c r="AZ38" i="6" s="1"/>
  <c r="BA38" i="6" s="1"/>
  <c r="T56" i="6"/>
  <c r="BE56" i="6"/>
  <c r="AM29" i="6"/>
  <c r="J56" i="6"/>
  <c r="AA56" i="6"/>
  <c r="E56" i="6"/>
  <c r="F56" i="6" s="1"/>
  <c r="S52" i="6"/>
  <c r="N53" i="6" s="1"/>
  <c r="O53" i="6" s="1"/>
  <c r="P53" i="6" s="1"/>
  <c r="L53" i="6"/>
  <c r="M53" i="6" s="1"/>
  <c r="G55" i="6"/>
  <c r="H54" i="6"/>
  <c r="I54" i="6" s="1"/>
  <c r="K54" i="6" s="1"/>
  <c r="AN29" i="6" l="1"/>
  <c r="AO29" i="6" s="1"/>
  <c r="BL28" i="6"/>
  <c r="BM28" i="6" s="1"/>
  <c r="BN28" i="6" s="1"/>
  <c r="R52" i="6"/>
  <c r="S53" i="6"/>
  <c r="N54" i="6" s="1"/>
  <c r="O54" i="6" s="1"/>
  <c r="P54" i="6" s="1"/>
  <c r="Q53" i="6"/>
  <c r="AJ55" i="6"/>
  <c r="AK55" i="6" s="1"/>
  <c r="AF56" i="6" s="1"/>
  <c r="AG56" i="6" s="1"/>
  <c r="AH56" i="6" s="1"/>
  <c r="AI55" i="6"/>
  <c r="BB38" i="6"/>
  <c r="BC38" i="6" s="1"/>
  <c r="BD38" i="6" s="1"/>
  <c r="BF30" i="6"/>
  <c r="BG30" i="6" s="1"/>
  <c r="BK30" i="6" s="1"/>
  <c r="L54" i="6"/>
  <c r="M54" i="6" s="1"/>
  <c r="G56" i="6"/>
  <c r="H56" i="6" s="1"/>
  <c r="F3" i="6" s="1"/>
  <c r="H55" i="6"/>
  <c r="I55" i="6" s="1"/>
  <c r="K55" i="6" s="1"/>
  <c r="AP29" i="6" l="1"/>
  <c r="AR29" i="6"/>
  <c r="AS29" i="6" s="1"/>
  <c r="BH30" i="6"/>
  <c r="R53" i="6"/>
  <c r="S54" i="6"/>
  <c r="N55" i="6" s="1"/>
  <c r="O55" i="6" s="1"/>
  <c r="P55" i="6" s="1"/>
  <c r="Q54" i="6"/>
  <c r="AU29" i="6"/>
  <c r="AJ56" i="6"/>
  <c r="AK56" i="6" s="1"/>
  <c r="AI56" i="6"/>
  <c r="AY39" i="6"/>
  <c r="AZ39" i="6" s="1"/>
  <c r="BA39" i="6" s="1"/>
  <c r="I56" i="6"/>
  <c r="L55" i="6"/>
  <c r="M55" i="6" s="1"/>
  <c r="U30" i="6"/>
  <c r="AV29" i="6" l="1"/>
  <c r="AW29" i="6" s="1"/>
  <c r="AX29" i="6" s="1"/>
  <c r="AQ29" i="6" s="1"/>
  <c r="R54" i="6"/>
  <c r="S55" i="6"/>
  <c r="N56" i="6" s="1"/>
  <c r="O56" i="6" s="1"/>
  <c r="P56" i="6" s="1"/>
  <c r="Q55" i="6"/>
  <c r="R55" i="6" s="1"/>
  <c r="BB39" i="6"/>
  <c r="BC39" i="6" s="1"/>
  <c r="BD39" i="6" s="1"/>
  <c r="BI29" i="6"/>
  <c r="E38" i="10"/>
  <c r="K56" i="6"/>
  <c r="L56" i="6" s="1"/>
  <c r="M56" i="6" s="1"/>
  <c r="H3" i="6" s="1"/>
  <c r="F38" i="10"/>
  <c r="AM30" i="6"/>
  <c r="AN30" i="6" l="1"/>
  <c r="BL29" i="6"/>
  <c r="BM29" i="6" s="1"/>
  <c r="BN29" i="6" s="1"/>
  <c r="S56" i="6"/>
  <c r="Q56" i="6"/>
  <c r="AY40" i="6"/>
  <c r="AZ40" i="6" s="1"/>
  <c r="BA40" i="6" s="1"/>
  <c r="G38" i="10"/>
  <c r="H38" i="10"/>
  <c r="BF31" i="6"/>
  <c r="BG31" i="6" s="1"/>
  <c r="BK31" i="6" s="1"/>
  <c r="AO30" i="6" l="1"/>
  <c r="AU30" i="6" s="1"/>
  <c r="AP30" i="6"/>
  <c r="AR30" i="6"/>
  <c r="AS30" i="6" s="1"/>
  <c r="BH31" i="6"/>
  <c r="R56" i="6"/>
  <c r="BB40" i="6"/>
  <c r="BC40" i="6" s="1"/>
  <c r="BD40" i="6" s="1"/>
  <c r="U31" i="6"/>
  <c r="AV30" i="6" l="1"/>
  <c r="AW30" i="6" s="1"/>
  <c r="AX30" i="6" s="1"/>
  <c r="AQ30" i="6" s="1"/>
  <c r="AY41" i="6"/>
  <c r="AZ41" i="6" s="1"/>
  <c r="BA41" i="6" s="1"/>
  <c r="BI30" i="6"/>
  <c r="AM31" i="6"/>
  <c r="AN31" i="6" l="1"/>
  <c r="AO31" i="6" s="1"/>
  <c r="AU31" i="6" s="1"/>
  <c r="BL30" i="6"/>
  <c r="BM30" i="6" s="1"/>
  <c r="BN30" i="6" s="1"/>
  <c r="BB41" i="6"/>
  <c r="BC41" i="6" s="1"/>
  <c r="BD41" i="6" s="1"/>
  <c r="BF32" i="6"/>
  <c r="BG32" i="6" s="1"/>
  <c r="BK32" i="6" s="1"/>
  <c r="AP31" i="6" l="1"/>
  <c r="AR31" i="6"/>
  <c r="AS31" i="6" s="1"/>
  <c r="AV31" i="6" s="1"/>
  <c r="AW31" i="6" s="1"/>
  <c r="BH32" i="6"/>
  <c r="AY42" i="6"/>
  <c r="AZ42" i="6" s="1"/>
  <c r="BA42" i="6" s="1"/>
  <c r="U32" i="6"/>
  <c r="AX31" i="6" l="1"/>
  <c r="AQ31" i="6" s="1"/>
  <c r="BB42" i="6"/>
  <c r="BC42" i="6" s="1"/>
  <c r="BD42" i="6" s="1"/>
  <c r="BI31" i="6"/>
  <c r="AM32" i="6"/>
  <c r="AN32" i="6" l="1"/>
  <c r="AO32" i="6" s="1"/>
  <c r="BL31" i="6"/>
  <c r="BM31" i="6" s="1"/>
  <c r="BN31" i="6" s="1"/>
  <c r="AY43" i="6"/>
  <c r="AZ43" i="6" s="1"/>
  <c r="BA43" i="6" s="1"/>
  <c r="BF33" i="6"/>
  <c r="BG33" i="6" s="1"/>
  <c r="BK33" i="6" s="1"/>
  <c r="AP32" i="6" l="1"/>
  <c r="AR32" i="6"/>
  <c r="AS32" i="6" s="1"/>
  <c r="BH33" i="6"/>
  <c r="AU32" i="6"/>
  <c r="BB43" i="6"/>
  <c r="BC43" i="6" s="1"/>
  <c r="BD43" i="6" s="1"/>
  <c r="U33" i="6"/>
  <c r="AV32" i="6" l="1"/>
  <c r="AW32" i="6" s="1"/>
  <c r="AX32" i="6" s="1"/>
  <c r="AQ32" i="6" s="1"/>
  <c r="AY44" i="6"/>
  <c r="AZ44" i="6" s="1"/>
  <c r="BA44" i="6" s="1"/>
  <c r="BI32" i="6"/>
  <c r="AM33" i="6"/>
  <c r="AN33" i="6" l="1"/>
  <c r="AO33" i="6" s="1"/>
  <c r="BL32" i="6"/>
  <c r="BM32" i="6" s="1"/>
  <c r="BN32" i="6" s="1"/>
  <c r="BB44" i="6"/>
  <c r="BC44" i="6" s="1"/>
  <c r="BD44" i="6" s="1"/>
  <c r="BF34" i="6"/>
  <c r="BG34" i="6" s="1"/>
  <c r="BK34" i="6" s="1"/>
  <c r="AP33" i="6" l="1"/>
  <c r="AR33" i="6"/>
  <c r="AS33" i="6" s="1"/>
  <c r="BH34" i="6"/>
  <c r="AU33" i="6"/>
  <c r="AY45" i="6"/>
  <c r="AZ45" i="6" s="1"/>
  <c r="BA45" i="6" s="1"/>
  <c r="U34" i="6"/>
  <c r="AV33" i="6" l="1"/>
  <c r="AW33" i="6" s="1"/>
  <c r="AX33" i="6" s="1"/>
  <c r="AQ33" i="6" s="1"/>
  <c r="BB45" i="6"/>
  <c r="BC45" i="6" s="1"/>
  <c r="BD45" i="6" s="1"/>
  <c r="BI33" i="6"/>
  <c r="AM34" i="6"/>
  <c r="AN34" i="6" l="1"/>
  <c r="AO34" i="6" s="1"/>
  <c r="AU34" i="6" s="1"/>
  <c r="BL33" i="6"/>
  <c r="BM33" i="6" s="1"/>
  <c r="BN33" i="6" s="1"/>
  <c r="AY46" i="6"/>
  <c r="AZ46" i="6" s="1"/>
  <c r="BA46" i="6" s="1"/>
  <c r="BF35" i="6"/>
  <c r="BG35" i="6" s="1"/>
  <c r="BK35" i="6" s="1"/>
  <c r="AP34" i="6" l="1"/>
  <c r="AR34" i="6"/>
  <c r="AS34" i="6" s="1"/>
  <c r="AV34" i="6" s="1"/>
  <c r="AW34" i="6" s="1"/>
  <c r="BH35" i="6"/>
  <c r="BB46" i="6"/>
  <c r="BC46" i="6" s="1"/>
  <c r="BD46" i="6" s="1"/>
  <c r="U35" i="6"/>
  <c r="AX34" i="6" l="1"/>
  <c r="AQ34" i="6" s="1"/>
  <c r="AY47" i="6"/>
  <c r="AZ47" i="6" s="1"/>
  <c r="BA47" i="6" s="1"/>
  <c r="BI34" i="6"/>
  <c r="AM35" i="6"/>
  <c r="AN35" i="6" l="1"/>
  <c r="AO35" i="6" s="1"/>
  <c r="BL34" i="6"/>
  <c r="BM34" i="6" s="1"/>
  <c r="BN34" i="6" s="1"/>
  <c r="BB47" i="6"/>
  <c r="BC47" i="6" s="1"/>
  <c r="BD47" i="6" s="1"/>
  <c r="BF36" i="6"/>
  <c r="BG36" i="6" s="1"/>
  <c r="BK36" i="6" s="1"/>
  <c r="AP35" i="6" l="1"/>
  <c r="AR35" i="6"/>
  <c r="AS35" i="6" s="1"/>
  <c r="BH36" i="6"/>
  <c r="AU35" i="6"/>
  <c r="AY48" i="6"/>
  <c r="AZ48" i="6" s="1"/>
  <c r="BA48" i="6" s="1"/>
  <c r="U36" i="6"/>
  <c r="AV35" i="6" l="1"/>
  <c r="AW35" i="6" s="1"/>
  <c r="AX35" i="6" s="1"/>
  <c r="AQ35" i="6" s="1"/>
  <c r="BB48" i="6"/>
  <c r="BC48" i="6" s="1"/>
  <c r="BD48" i="6" s="1"/>
  <c r="BI35" i="6"/>
  <c r="AM36" i="6"/>
  <c r="AN36" i="6" l="1"/>
  <c r="AO36" i="6" s="1"/>
  <c r="BL35" i="6"/>
  <c r="BM35" i="6" s="1"/>
  <c r="BN35" i="6" s="1"/>
  <c r="AY49" i="6"/>
  <c r="AZ49" i="6" s="1"/>
  <c r="BA49" i="6" s="1"/>
  <c r="BF37" i="6"/>
  <c r="BG37" i="6" s="1"/>
  <c r="BK37" i="6" s="1"/>
  <c r="AP36" i="6" l="1"/>
  <c r="AR36" i="6"/>
  <c r="AS36" i="6" s="1"/>
  <c r="BH37" i="6"/>
  <c r="AU36" i="6"/>
  <c r="BB49" i="6"/>
  <c r="BC49" i="6" s="1"/>
  <c r="BD49" i="6" s="1"/>
  <c r="U37" i="6"/>
  <c r="AV36" i="6" l="1"/>
  <c r="AW36" i="6" s="1"/>
  <c r="AX36" i="6" s="1"/>
  <c r="AQ36" i="6" s="1"/>
  <c r="AY50" i="6"/>
  <c r="AZ50" i="6" s="1"/>
  <c r="BA50" i="6" s="1"/>
  <c r="BI36" i="6"/>
  <c r="AM37" i="6"/>
  <c r="AN37" i="6" l="1"/>
  <c r="BL36" i="6"/>
  <c r="BM36" i="6" s="1"/>
  <c r="BN36" i="6" s="1"/>
  <c r="BB50" i="6"/>
  <c r="BC50" i="6" s="1"/>
  <c r="BD50" i="6" s="1"/>
  <c r="BF38" i="6"/>
  <c r="BG38" i="6" s="1"/>
  <c r="BK38" i="6" s="1"/>
  <c r="AP37" i="6" l="1"/>
  <c r="AR37" i="6"/>
  <c r="AS37" i="6" s="1"/>
  <c r="AO37" i="6"/>
  <c r="AU37" i="6" s="1"/>
  <c r="BH38" i="6"/>
  <c r="AY51" i="6"/>
  <c r="AZ51" i="6" s="1"/>
  <c r="BA51" i="6" s="1"/>
  <c r="U38" i="6"/>
  <c r="AV37" i="6" l="1"/>
  <c r="AW37" i="6" s="1"/>
  <c r="AX37" i="6" s="1"/>
  <c r="AQ37" i="6" s="1"/>
  <c r="BB51" i="6"/>
  <c r="BC51" i="6" s="1"/>
  <c r="BD51" i="6" s="1"/>
  <c r="BI37" i="6"/>
  <c r="AM38" i="6"/>
  <c r="AN38" i="6" l="1"/>
  <c r="BL37" i="6"/>
  <c r="BM37" i="6" s="1"/>
  <c r="BN37" i="6" s="1"/>
  <c r="AY52" i="6"/>
  <c r="AZ52" i="6" s="1"/>
  <c r="BA52" i="6" s="1"/>
  <c r="BF39" i="6"/>
  <c r="BG39" i="6" s="1"/>
  <c r="BK39" i="6" s="1"/>
  <c r="AP38" i="6" l="1"/>
  <c r="AR38" i="6"/>
  <c r="AS38" i="6" s="1"/>
  <c r="AO38" i="6"/>
  <c r="AU38" i="6" s="1"/>
  <c r="BH39" i="6"/>
  <c r="BB52" i="6"/>
  <c r="BC52" i="6" s="1"/>
  <c r="BD52" i="6" s="1"/>
  <c r="U39" i="6"/>
  <c r="AV38" i="6" l="1"/>
  <c r="AW38" i="6" s="1"/>
  <c r="AX38" i="6" s="1"/>
  <c r="AQ38" i="6" s="1"/>
  <c r="AY53" i="6"/>
  <c r="AZ53" i="6" s="1"/>
  <c r="BA53" i="6" s="1"/>
  <c r="BI38" i="6"/>
  <c r="AM39" i="6"/>
  <c r="AN39" i="6" l="1"/>
  <c r="BL38" i="6"/>
  <c r="BM38" i="6" s="1"/>
  <c r="BN38" i="6" s="1"/>
  <c r="BB53" i="6"/>
  <c r="BC53" i="6" s="1"/>
  <c r="BD53" i="6" s="1"/>
  <c r="BF40" i="6"/>
  <c r="BG40" i="6" s="1"/>
  <c r="BK40" i="6" s="1"/>
  <c r="AP39" i="6" l="1"/>
  <c r="AR39" i="6"/>
  <c r="AS39" i="6" s="1"/>
  <c r="AO39" i="6"/>
  <c r="AU39" i="6" s="1"/>
  <c r="BH40" i="6"/>
  <c r="AY54" i="6"/>
  <c r="AZ54" i="6" s="1"/>
  <c r="BA54" i="6" s="1"/>
  <c r="U40" i="6"/>
  <c r="AV39" i="6" l="1"/>
  <c r="AW39" i="6" s="1"/>
  <c r="AX39" i="6" s="1"/>
  <c r="AQ39" i="6" s="1"/>
  <c r="BB54" i="6"/>
  <c r="BC54" i="6" s="1"/>
  <c r="BD54" i="6" s="1"/>
  <c r="BI39" i="6"/>
  <c r="AM40" i="6"/>
  <c r="AN40" i="6" l="1"/>
  <c r="BL39" i="6"/>
  <c r="BM39" i="6" s="1"/>
  <c r="BN39" i="6" s="1"/>
  <c r="AY55" i="6"/>
  <c r="AZ55" i="6" s="1"/>
  <c r="BA55" i="6" s="1"/>
  <c r="BF41" i="6"/>
  <c r="BG41" i="6" s="1"/>
  <c r="BK41" i="6" s="1"/>
  <c r="AP40" i="6" l="1"/>
  <c r="AR40" i="6"/>
  <c r="AS40" i="6" s="1"/>
  <c r="AO40" i="6"/>
  <c r="AU40" i="6" s="1"/>
  <c r="BH41" i="6"/>
  <c r="E6" i="6" s="1"/>
  <c r="BB55" i="6"/>
  <c r="BC55" i="6" s="1"/>
  <c r="BD55" i="6" s="1"/>
  <c r="U41" i="6"/>
  <c r="AV40" i="6" l="1"/>
  <c r="AW40" i="6" s="1"/>
  <c r="AX40" i="6" s="1"/>
  <c r="AQ40" i="6" s="1"/>
  <c r="AY56" i="6"/>
  <c r="AZ56" i="6" s="1"/>
  <c r="BA56" i="6" s="1"/>
  <c r="BI40" i="6"/>
  <c r="AM41" i="6"/>
  <c r="AN41" i="6" l="1"/>
  <c r="BL40" i="6"/>
  <c r="BM40" i="6" s="1"/>
  <c r="BN40" i="6" s="1"/>
  <c r="BB56" i="6"/>
  <c r="BC56" i="6" s="1"/>
  <c r="BD56" i="6" s="1"/>
  <c r="BF42" i="6"/>
  <c r="BG42" i="6" s="1"/>
  <c r="BK42" i="6" s="1"/>
  <c r="AP41" i="6" l="1"/>
  <c r="AR41" i="6"/>
  <c r="AO41" i="6"/>
  <c r="AU41" i="6" s="1"/>
  <c r="BH42" i="6"/>
  <c r="U42" i="6"/>
  <c r="E5" i="6" l="1"/>
  <c r="AS41" i="6"/>
  <c r="AV41" i="6" s="1"/>
  <c r="AW41" i="6" s="1"/>
  <c r="AX41" i="6" s="1"/>
  <c r="G5" i="6" s="1"/>
  <c r="BI41" i="6"/>
  <c r="AM42" i="6"/>
  <c r="AQ41" i="6" l="1"/>
  <c r="AN42" i="6" s="1"/>
  <c r="AO42" i="6" s="1"/>
  <c r="AU42" i="6" s="1"/>
  <c r="BL41" i="6"/>
  <c r="BM41" i="6" s="1"/>
  <c r="BN41" i="6" s="1"/>
  <c r="G6" i="6" s="1"/>
  <c r="BF43" i="6"/>
  <c r="BG43" i="6" s="1"/>
  <c r="BK43" i="6" s="1"/>
  <c r="AP42" i="6" l="1"/>
  <c r="AR42" i="6"/>
  <c r="AS42" i="6" s="1"/>
  <c r="AV42" i="6" s="1"/>
  <c r="AW42" i="6" s="1"/>
  <c r="BH43" i="6"/>
  <c r="U43" i="6"/>
  <c r="AX42" i="6" l="1"/>
  <c r="AQ42" i="6" s="1"/>
  <c r="BI42" i="6"/>
  <c r="AM43" i="6"/>
  <c r="AN43" i="6" l="1"/>
  <c r="AO43" i="6" s="1"/>
  <c r="BL42" i="6"/>
  <c r="BM42" i="6" s="1"/>
  <c r="BN42" i="6" s="1"/>
  <c r="BF44" i="6"/>
  <c r="BG44" i="6" s="1"/>
  <c r="BK44" i="6" s="1"/>
  <c r="AP43" i="6" l="1"/>
  <c r="AR43" i="6"/>
  <c r="AS43" i="6" s="1"/>
  <c r="BH44" i="6"/>
  <c r="AU43" i="6"/>
  <c r="U44" i="6"/>
  <c r="AV43" i="6" l="1"/>
  <c r="AW43" i="6" s="1"/>
  <c r="AX43" i="6" s="1"/>
  <c r="AQ43" i="6" s="1"/>
  <c r="BI43" i="6"/>
  <c r="AM44" i="6"/>
  <c r="AN44" i="6" l="1"/>
  <c r="AO44" i="6" s="1"/>
  <c r="BL43" i="6"/>
  <c r="BM43" i="6" s="1"/>
  <c r="BN43" i="6" s="1"/>
  <c r="BF45" i="6"/>
  <c r="BG45" i="6" s="1"/>
  <c r="BK45" i="6" s="1"/>
  <c r="AP44" i="6" l="1"/>
  <c r="AR44" i="6"/>
  <c r="AS44" i="6" s="1"/>
  <c r="BH45" i="6"/>
  <c r="AU44" i="6"/>
  <c r="U45" i="6"/>
  <c r="AV44" i="6" l="1"/>
  <c r="AW44" i="6" s="1"/>
  <c r="AX44" i="6" s="1"/>
  <c r="AQ44" i="6" s="1"/>
  <c r="BI44" i="6"/>
  <c r="AM45" i="6"/>
  <c r="AN45" i="6" l="1"/>
  <c r="AO45" i="6" s="1"/>
  <c r="AU45" i="6" s="1"/>
  <c r="BL44" i="6"/>
  <c r="BM44" i="6" s="1"/>
  <c r="BN44" i="6" s="1"/>
  <c r="BF46" i="6"/>
  <c r="BG46" i="6" s="1"/>
  <c r="BK46" i="6" s="1"/>
  <c r="AP45" i="6" l="1"/>
  <c r="AR45" i="6"/>
  <c r="AS45" i="6" s="1"/>
  <c r="AV45" i="6" s="1"/>
  <c r="AW45" i="6" s="1"/>
  <c r="BH46" i="6"/>
  <c r="U46" i="6"/>
  <c r="AX45" i="6" l="1"/>
  <c r="AQ45" i="6" s="1"/>
  <c r="BI45" i="6"/>
  <c r="AM46" i="6"/>
  <c r="AN46" i="6" l="1"/>
  <c r="AP46" i="6" s="1"/>
  <c r="BL45" i="6"/>
  <c r="BM45" i="6" s="1"/>
  <c r="BN45" i="6" s="1"/>
  <c r="BF47" i="6"/>
  <c r="BG47" i="6" s="1"/>
  <c r="BK47" i="6" s="1"/>
  <c r="AO46" i="6" l="1"/>
  <c r="AU46" i="6" s="1"/>
  <c r="AR46" i="6"/>
  <c r="AS46" i="6" s="1"/>
  <c r="BH47" i="6"/>
  <c r="U47" i="6"/>
  <c r="AV46" i="6" l="1"/>
  <c r="AW46" i="6" s="1"/>
  <c r="AX46" i="6" s="1"/>
  <c r="AQ46" i="6" s="1"/>
  <c r="BI46" i="6"/>
  <c r="AM47" i="6"/>
  <c r="AN47" i="6" l="1"/>
  <c r="AO47" i="6" s="1"/>
  <c r="BL46" i="6"/>
  <c r="BM46" i="6" s="1"/>
  <c r="BN46" i="6" s="1"/>
  <c r="BF48" i="6"/>
  <c r="BG48" i="6" s="1"/>
  <c r="BK48" i="6" s="1"/>
  <c r="AP47" i="6" l="1"/>
  <c r="AR47" i="6"/>
  <c r="AS47" i="6" s="1"/>
  <c r="BH48" i="6"/>
  <c r="AU47" i="6"/>
  <c r="U48" i="6"/>
  <c r="AV47" i="6" l="1"/>
  <c r="AW47" i="6" s="1"/>
  <c r="AX47" i="6" s="1"/>
  <c r="AQ47" i="6" s="1"/>
  <c r="BI47" i="6"/>
  <c r="AM48" i="6"/>
  <c r="AN48" i="6" l="1"/>
  <c r="AO48" i="6" s="1"/>
  <c r="AU48" i="6" s="1"/>
  <c r="BL47" i="6"/>
  <c r="BM47" i="6" s="1"/>
  <c r="BN47" i="6" s="1"/>
  <c r="BF49" i="6"/>
  <c r="BG49" i="6" s="1"/>
  <c r="BK49" i="6" s="1"/>
  <c r="AP48" i="6" l="1"/>
  <c r="AR48" i="6"/>
  <c r="AS48" i="6" s="1"/>
  <c r="AV48" i="6" s="1"/>
  <c r="AW48" i="6" s="1"/>
  <c r="BH49" i="6"/>
  <c r="U49" i="6"/>
  <c r="AX48" i="6" l="1"/>
  <c r="AQ48" i="6" s="1"/>
  <c r="BI48" i="6"/>
  <c r="AM49" i="6"/>
  <c r="AN49" i="6" l="1"/>
  <c r="BL48" i="6"/>
  <c r="BM48" i="6" s="1"/>
  <c r="BN48" i="6" s="1"/>
  <c r="BF50" i="6"/>
  <c r="BG50" i="6" s="1"/>
  <c r="BK50" i="6" s="1"/>
  <c r="AP49" i="6" l="1"/>
  <c r="AO49" i="6"/>
  <c r="AU49" i="6" s="1"/>
  <c r="AR49" i="6"/>
  <c r="AS49" i="6" s="1"/>
  <c r="BH50" i="6"/>
  <c r="U50" i="6"/>
  <c r="AV49" i="6" l="1"/>
  <c r="AW49" i="6" s="1"/>
  <c r="AX49" i="6" s="1"/>
  <c r="AQ49" i="6" s="1"/>
  <c r="BI49" i="6"/>
  <c r="AM50" i="6"/>
  <c r="AN50" i="6" l="1"/>
  <c r="AO50" i="6" s="1"/>
  <c r="AU50" i="6" s="1"/>
  <c r="BL49" i="6"/>
  <c r="BM49" i="6" s="1"/>
  <c r="BN49" i="6" s="1"/>
  <c r="BF51" i="6"/>
  <c r="BG51" i="6" s="1"/>
  <c r="BK51" i="6" s="1"/>
  <c r="AP50" i="6" l="1"/>
  <c r="AR50" i="6"/>
  <c r="AS50" i="6" s="1"/>
  <c r="AV50" i="6" s="1"/>
  <c r="AW50" i="6" s="1"/>
  <c r="BH51" i="6"/>
  <c r="U51" i="6"/>
  <c r="AX50" i="6" l="1"/>
  <c r="AQ50" i="6" s="1"/>
  <c r="BI50" i="6"/>
  <c r="AM51" i="6"/>
  <c r="AN51" i="6" l="1"/>
  <c r="AO51" i="6" s="1"/>
  <c r="BL50" i="6"/>
  <c r="BM50" i="6" s="1"/>
  <c r="BN50" i="6" s="1"/>
  <c r="BF52" i="6"/>
  <c r="BG52" i="6" s="1"/>
  <c r="BK52" i="6" s="1"/>
  <c r="AP51" i="6" l="1"/>
  <c r="AR51" i="6"/>
  <c r="BH52" i="6"/>
  <c r="AU51" i="6"/>
  <c r="U52" i="6"/>
  <c r="AS51" i="6" l="1"/>
  <c r="AV51" i="6" s="1"/>
  <c r="AW51" i="6" s="1"/>
  <c r="AX51" i="6" s="1"/>
  <c r="AQ51" i="6" s="1"/>
  <c r="BI51" i="6"/>
  <c r="AM52" i="6"/>
  <c r="AN52" i="6" l="1"/>
  <c r="AP52" i="6" s="1"/>
  <c r="BL51" i="6"/>
  <c r="BM51" i="6" s="1"/>
  <c r="BN51" i="6" s="1"/>
  <c r="BF53" i="6"/>
  <c r="BG53" i="6" s="1"/>
  <c r="BK53" i="6" s="1"/>
  <c r="AO52" i="6" l="1"/>
  <c r="AU52" i="6" s="1"/>
  <c r="AR52" i="6"/>
  <c r="AS52" i="6" s="1"/>
  <c r="BH53" i="6"/>
  <c r="U53" i="6"/>
  <c r="AV52" i="6" l="1"/>
  <c r="AW52" i="6" s="1"/>
  <c r="AX52" i="6" s="1"/>
  <c r="AQ52" i="6" s="1"/>
  <c r="BI52" i="6"/>
  <c r="AM53" i="6"/>
  <c r="AN53" i="6" l="1"/>
  <c r="AO53" i="6" s="1"/>
  <c r="BL52" i="6"/>
  <c r="BM52" i="6" s="1"/>
  <c r="BN52" i="6" s="1"/>
  <c r="BF54" i="6"/>
  <c r="BG54" i="6" s="1"/>
  <c r="BK54" i="6" s="1"/>
  <c r="AP53" i="6" l="1"/>
  <c r="AR53" i="6"/>
  <c r="AS53" i="6" s="1"/>
  <c r="BH54" i="6"/>
  <c r="AU53" i="6"/>
  <c r="U54" i="6"/>
  <c r="AV53" i="6" l="1"/>
  <c r="AW53" i="6" s="1"/>
  <c r="AX53" i="6" s="1"/>
  <c r="AQ53" i="6" s="1"/>
  <c r="BI53" i="6"/>
  <c r="AM54" i="6"/>
  <c r="AN54" i="6" l="1"/>
  <c r="AO54" i="6" s="1"/>
  <c r="BL53" i="6"/>
  <c r="BM53" i="6" s="1"/>
  <c r="BN53" i="6" s="1"/>
  <c r="BF55" i="6"/>
  <c r="BG55" i="6" s="1"/>
  <c r="BK55" i="6" s="1"/>
  <c r="AP54" i="6" l="1"/>
  <c r="AR54" i="6"/>
  <c r="AS54" i="6" s="1"/>
  <c r="BH55" i="6"/>
  <c r="AU54" i="6"/>
  <c r="U55" i="6"/>
  <c r="AV54" i="6" l="1"/>
  <c r="AW54" i="6" s="1"/>
  <c r="AX54" i="6" s="1"/>
  <c r="AQ54" i="6" s="1"/>
  <c r="BI54" i="6"/>
  <c r="AM55" i="6"/>
  <c r="AN55" i="6" l="1"/>
  <c r="AO55" i="6" s="1"/>
  <c r="BL54" i="6"/>
  <c r="BM54" i="6" s="1"/>
  <c r="BN54" i="6" s="1"/>
  <c r="BF56" i="6"/>
  <c r="BG56" i="6" s="1"/>
  <c r="BK56" i="6" s="1"/>
  <c r="AP55" i="6" l="1"/>
  <c r="AR55" i="6"/>
  <c r="AS55" i="6" s="1"/>
  <c r="BH56" i="6"/>
  <c r="F6" i="6" s="1"/>
  <c r="AU55" i="6"/>
  <c r="U56" i="6"/>
  <c r="AV55" i="6" l="1"/>
  <c r="AW55" i="6" s="1"/>
  <c r="AX55" i="6" s="1"/>
  <c r="AQ55" i="6" s="1"/>
  <c r="BI55" i="6"/>
  <c r="AM56" i="6"/>
  <c r="AN56" i="6" l="1"/>
  <c r="AR56" i="6" s="1"/>
  <c r="F5" i="6" s="1"/>
  <c r="BL55" i="6"/>
  <c r="BM55" i="6" s="1"/>
  <c r="BN55" i="6" s="1"/>
  <c r="AP56" i="6" l="1"/>
  <c r="AO56" i="6"/>
  <c r="AU56" i="6" s="1"/>
  <c r="F40" i="10"/>
  <c r="AS56" i="6"/>
  <c r="E40" i="10"/>
  <c r="AV56" i="6" l="1"/>
  <c r="AW56" i="6" s="1"/>
  <c r="AX56" i="6" s="1"/>
  <c r="AQ56" i="6" s="1"/>
  <c r="Y17" i="6"/>
  <c r="H5" i="6" l="1"/>
  <c r="E41" i="10"/>
  <c r="BI56" i="6"/>
  <c r="G41" i="10"/>
  <c r="Z17" i="6"/>
  <c r="AC17" i="6" s="1"/>
  <c r="X18" i="6"/>
  <c r="BL56" i="6" l="1"/>
  <c r="BM56" i="6" s="1"/>
  <c r="Y18" i="6"/>
  <c r="V19" i="6"/>
  <c r="AB19" i="6" s="1"/>
  <c r="F41" i="10"/>
  <c r="AD17" i="6"/>
  <c r="AE17" i="6" s="1"/>
  <c r="G40" i="10"/>
  <c r="H40" i="10"/>
  <c r="W19" i="6" l="1"/>
  <c r="BN56" i="6"/>
  <c r="H6" i="6" s="1"/>
  <c r="H41" i="10" s="1"/>
  <c r="Z18" i="6"/>
  <c r="AC18" i="6" s="1"/>
  <c r="AD18" i="6" s="1"/>
  <c r="AE18" i="6" s="1"/>
  <c r="X19" i="6" l="1"/>
  <c r="V20" i="6" l="1"/>
  <c r="AB20" i="6" s="1"/>
  <c r="Y19" i="6"/>
  <c r="Z19" i="6" s="1"/>
  <c r="AC19" i="6" s="1"/>
  <c r="AD19" i="6" s="1"/>
  <c r="AE19" i="6" s="1"/>
  <c r="W20" i="6" l="1"/>
  <c r="X20" i="6" l="1"/>
  <c r="Y20" i="6" s="1"/>
  <c r="Z20" i="6" s="1"/>
  <c r="AC20" i="6" s="1"/>
  <c r="AD20" i="6" s="1"/>
  <c r="AE20" i="6" s="1"/>
  <c r="V21" i="6" l="1"/>
  <c r="AB21" i="6" s="1"/>
  <c r="W21" i="6" l="1"/>
  <c r="X21" i="6" s="1"/>
  <c r="Y21" i="6" s="1"/>
  <c r="Z21" i="6" s="1"/>
  <c r="AC21" i="6" s="1"/>
  <c r="AD21" i="6" s="1"/>
  <c r="AE21" i="6" s="1"/>
  <c r="V22" i="6" l="1"/>
  <c r="AB22" i="6" s="1"/>
  <c r="W22" i="6" l="1"/>
  <c r="X22" i="6" s="1"/>
  <c r="Y22" i="6" l="1"/>
  <c r="Z22" i="6" s="1"/>
  <c r="AC22" i="6" s="1"/>
  <c r="AD22" i="6" s="1"/>
  <c r="AE22" i="6" s="1"/>
  <c r="V23" i="6"/>
  <c r="W23" i="6" l="1"/>
  <c r="X23" i="6" s="1"/>
  <c r="Y23" i="6" s="1"/>
  <c r="Z23" i="6" s="1"/>
  <c r="AB23" i="6"/>
  <c r="AC23" i="6" l="1"/>
  <c r="AD23" i="6" s="1"/>
  <c r="AE23" i="6" s="1"/>
  <c r="V24" i="6"/>
  <c r="W24" i="6" s="1"/>
  <c r="AB24" i="6" l="1"/>
  <c r="X24" i="6"/>
  <c r="Y24" i="6" s="1"/>
  <c r="Z24" i="6" s="1"/>
  <c r="V25" i="6" l="1"/>
  <c r="AB25" i="6" s="1"/>
  <c r="AC24" i="6"/>
  <c r="AD24" i="6" s="1"/>
  <c r="AE24" i="6" s="1"/>
  <c r="W25" i="6" l="1"/>
  <c r="X25" i="6" s="1"/>
  <c r="Y25" i="6" s="1"/>
  <c r="Z25" i="6" s="1"/>
  <c r="AC25" i="6" s="1"/>
  <c r="AD25" i="6" s="1"/>
  <c r="AE25" i="6" s="1"/>
  <c r="V26" i="6" l="1"/>
  <c r="W26" i="6" s="1"/>
  <c r="X26" i="6" l="1"/>
  <c r="Y26" i="6" s="1"/>
  <c r="Z26" i="6" s="1"/>
  <c r="AB26" i="6"/>
  <c r="AC26" i="6" l="1"/>
  <c r="AD26" i="6" s="1"/>
  <c r="AE26" i="6" s="1"/>
  <c r="V27" i="6"/>
  <c r="AB27" i="6" s="1"/>
  <c r="W27" i="6" l="1"/>
  <c r="X27" i="6" s="1"/>
  <c r="Y27" i="6" s="1"/>
  <c r="Z27" i="6" s="1"/>
  <c r="AC27" i="6" s="1"/>
  <c r="AD27" i="6" s="1"/>
  <c r="AE27" i="6" s="1"/>
  <c r="V28" i="6" l="1"/>
  <c r="AB28" i="6" s="1"/>
  <c r="W28" i="6" l="1"/>
  <c r="X28" i="6" s="1"/>
  <c r="Y28" i="6" l="1"/>
  <c r="Z28" i="6" s="1"/>
  <c r="AC28" i="6" s="1"/>
  <c r="AD28" i="6" s="1"/>
  <c r="AE28" i="6" s="1"/>
  <c r="V29" i="6"/>
  <c r="W29" i="6" s="1"/>
  <c r="X29" i="6" l="1"/>
  <c r="Y29" i="6" s="1"/>
  <c r="Z29" i="6" s="1"/>
  <c r="AB29" i="6"/>
  <c r="AC29" i="6" l="1"/>
  <c r="AD29" i="6" s="1"/>
  <c r="AE29" i="6" s="1"/>
  <c r="V30" i="6"/>
  <c r="AB30" i="6" s="1"/>
  <c r="W30" i="6" l="1"/>
  <c r="X30" i="6" s="1"/>
  <c r="Y30" i="6" s="1"/>
  <c r="Z30" i="6" s="1"/>
  <c r="AC30" i="6" s="1"/>
  <c r="AD30" i="6" s="1"/>
  <c r="AE30" i="6" s="1"/>
  <c r="V31" i="6" l="1"/>
  <c r="AB31" i="6" s="1"/>
  <c r="W31" i="6" l="1"/>
  <c r="X31" i="6" s="1"/>
  <c r="Y31" i="6" s="1"/>
  <c r="Z31" i="6" s="1"/>
  <c r="AC31" i="6" s="1"/>
  <c r="AD31" i="6" s="1"/>
  <c r="AE31" i="6" s="1"/>
  <c r="V32" i="6" l="1"/>
  <c r="AB32" i="6" s="1"/>
  <c r="W32" i="6" l="1"/>
  <c r="X32" i="6" s="1"/>
  <c r="Y32" i="6" s="1"/>
  <c r="Z32" i="6" s="1"/>
  <c r="AC32" i="6" s="1"/>
  <c r="AD32" i="6" s="1"/>
  <c r="AE32" i="6" s="1"/>
  <c r="V33" i="6" l="1"/>
  <c r="W33" i="6" s="1"/>
  <c r="X33" i="6" s="1"/>
  <c r="Y33" i="6" s="1"/>
  <c r="AB33" i="6" l="1"/>
  <c r="V34" i="6"/>
  <c r="Z33" i="6"/>
  <c r="AC33" i="6" l="1"/>
  <c r="AD33" i="6" s="1"/>
  <c r="AE33" i="6" s="1"/>
  <c r="AB34" i="6"/>
  <c r="W34" i="6"/>
  <c r="X34" i="6" s="1"/>
  <c r="Y34" i="6" s="1"/>
  <c r="V35" i="6" l="1"/>
  <c r="Z34" i="6"/>
  <c r="AC34" i="6" s="1"/>
  <c r="AD34" i="6" s="1"/>
  <c r="AE34" i="6" s="1"/>
  <c r="W35" i="6" l="1"/>
  <c r="X35" i="6" s="1"/>
  <c r="Y35" i="6" s="1"/>
  <c r="AB35" i="6"/>
  <c r="V36" i="6" l="1"/>
  <c r="AB36" i="6" s="1"/>
  <c r="Z35" i="6"/>
  <c r="AC35" i="6" s="1"/>
  <c r="AD35" i="6" s="1"/>
  <c r="AE35" i="6" s="1"/>
  <c r="W36" i="6" l="1"/>
  <c r="X36" i="6" s="1"/>
  <c r="Y36" i="6" s="1"/>
  <c r="V37" i="6" l="1"/>
  <c r="Z36" i="6"/>
  <c r="AC36" i="6" s="1"/>
  <c r="AD36" i="6" s="1"/>
  <c r="AE36" i="6" s="1"/>
  <c r="W37" i="6" l="1"/>
  <c r="X37" i="6" s="1"/>
  <c r="Y37" i="6" s="1"/>
  <c r="AB37" i="6"/>
  <c r="V38" i="6" l="1"/>
  <c r="W38" i="6" s="1"/>
  <c r="Z37" i="6"/>
  <c r="AC37" i="6" s="1"/>
  <c r="AD37" i="6" s="1"/>
  <c r="AE37" i="6" s="1"/>
  <c r="AB38" i="6" l="1"/>
  <c r="X38" i="6"/>
  <c r="Y38" i="6" s="1"/>
  <c r="V39" i="6" l="1"/>
  <c r="W39" i="6" s="1"/>
  <c r="Z38" i="6"/>
  <c r="AC38" i="6" s="1"/>
  <c r="AD38" i="6" s="1"/>
  <c r="AE38" i="6" s="1"/>
  <c r="AB39" i="6" l="1"/>
  <c r="X39" i="6"/>
  <c r="Y39" i="6" s="1"/>
  <c r="V40" i="6" l="1"/>
  <c r="W40" i="6" s="1"/>
  <c r="Z39" i="6"/>
  <c r="AC39" i="6" s="1"/>
  <c r="AD39" i="6" s="1"/>
  <c r="AE39" i="6" s="1"/>
  <c r="AB40" i="6" l="1"/>
  <c r="X40" i="6"/>
  <c r="Y40" i="6" s="1"/>
  <c r="V41" i="6" l="1"/>
  <c r="W41" i="6" s="1"/>
  <c r="Z40" i="6"/>
  <c r="AC40" i="6" s="1"/>
  <c r="AD40" i="6" s="1"/>
  <c r="AE40" i="6" s="1"/>
  <c r="AB41" i="6" l="1"/>
  <c r="X41" i="6"/>
  <c r="Y41" i="6" s="1"/>
  <c r="E4" i="6" s="1"/>
  <c r="V42" i="6" l="1"/>
  <c r="W42" i="6" s="1"/>
  <c r="Z41" i="6"/>
  <c r="AC41" i="6" s="1"/>
  <c r="AD41" i="6" s="1"/>
  <c r="AE41" i="6" s="1"/>
  <c r="G4" i="6" s="1"/>
  <c r="AB42" i="6" l="1"/>
  <c r="X42" i="6"/>
  <c r="Y42" i="6" s="1"/>
  <c r="V43" i="6" l="1"/>
  <c r="W43" i="6" s="1"/>
  <c r="Z42" i="6"/>
  <c r="AC42" i="6" s="1"/>
  <c r="AD42" i="6" s="1"/>
  <c r="AE42" i="6" s="1"/>
  <c r="AB43" i="6" l="1"/>
  <c r="X43" i="6"/>
  <c r="Y43" i="6" s="1"/>
  <c r="V44" i="6" l="1"/>
  <c r="W44" i="6" s="1"/>
  <c r="Z43" i="6"/>
  <c r="AC43" i="6" s="1"/>
  <c r="AD43" i="6" s="1"/>
  <c r="AE43" i="6" s="1"/>
  <c r="AB44" i="6" l="1"/>
  <c r="X44" i="6"/>
  <c r="Y44" i="6" s="1"/>
  <c r="E39" i="10"/>
  <c r="V45" i="6" l="1"/>
  <c r="W45" i="6" s="1"/>
  <c r="Z44" i="6"/>
  <c r="AC44" i="6" s="1"/>
  <c r="AD44" i="6" s="1"/>
  <c r="AE44" i="6" s="1"/>
  <c r="AB45" i="6" l="1"/>
  <c r="G39" i="10"/>
  <c r="X45" i="6" l="1"/>
  <c r="Y45" i="6" s="1"/>
  <c r="V46" i="6" l="1"/>
  <c r="AB46" i="6" s="1"/>
  <c r="Z45" i="6"/>
  <c r="AC45" i="6" s="1"/>
  <c r="AD45" i="6" s="1"/>
  <c r="AE45" i="6" s="1"/>
  <c r="W46" i="6" l="1"/>
  <c r="X46" i="6" s="1"/>
  <c r="Y46" i="6" s="1"/>
  <c r="V47" i="6" l="1"/>
  <c r="Z46" i="6"/>
  <c r="AC46" i="6" s="1"/>
  <c r="AD46" i="6" s="1"/>
  <c r="AE46" i="6" s="1"/>
  <c r="W47" i="6" l="1"/>
  <c r="X47" i="6" s="1"/>
  <c r="Y47" i="6" s="1"/>
  <c r="AB47" i="6"/>
  <c r="V48" i="6" l="1"/>
  <c r="W48" i="6" s="1"/>
  <c r="Z47" i="6"/>
  <c r="AC47" i="6" s="1"/>
  <c r="AD47" i="6" s="1"/>
  <c r="AE47" i="6" s="1"/>
  <c r="AB48" i="6" l="1"/>
  <c r="X48" i="6"/>
  <c r="Y48" i="6" s="1"/>
  <c r="V49" i="6" l="1"/>
  <c r="W49" i="6" s="1"/>
  <c r="Z48" i="6"/>
  <c r="AC48" i="6" s="1"/>
  <c r="AD48" i="6" s="1"/>
  <c r="AE48" i="6" s="1"/>
  <c r="AB49" i="6" l="1"/>
  <c r="X49" i="6"/>
  <c r="Y49" i="6" s="1"/>
  <c r="V50" i="6" l="1"/>
  <c r="W50" i="6" s="1"/>
  <c r="Z49" i="6"/>
  <c r="AC49" i="6" s="1"/>
  <c r="AD49" i="6" s="1"/>
  <c r="AE49" i="6" s="1"/>
  <c r="AB50" i="6" l="1"/>
  <c r="X50" i="6"/>
  <c r="Y50" i="6" s="1"/>
  <c r="V51" i="6" l="1"/>
  <c r="W51" i="6" s="1"/>
  <c r="Z50" i="6"/>
  <c r="AC50" i="6" s="1"/>
  <c r="AD50" i="6" s="1"/>
  <c r="AE50" i="6" s="1"/>
  <c r="AB51" i="6" l="1"/>
  <c r="X51" i="6"/>
  <c r="Y51" i="6" s="1"/>
  <c r="V52" i="6" l="1"/>
  <c r="W52" i="6" s="1"/>
  <c r="Z51" i="6"/>
  <c r="AC51" i="6" s="1"/>
  <c r="AD51" i="6" s="1"/>
  <c r="AE51" i="6" s="1"/>
  <c r="AB52" i="6" l="1"/>
  <c r="X52" i="6"/>
  <c r="Y52" i="6" s="1"/>
  <c r="V53" i="6" l="1"/>
  <c r="W53" i="6" s="1"/>
  <c r="Z52" i="6"/>
  <c r="AC52" i="6" s="1"/>
  <c r="AD52" i="6" s="1"/>
  <c r="AE52" i="6" s="1"/>
  <c r="AB53" i="6" l="1"/>
  <c r="X53" i="6"/>
  <c r="Y53" i="6" s="1"/>
  <c r="V54" i="6" l="1"/>
  <c r="W54" i="6" s="1"/>
  <c r="Z53" i="6"/>
  <c r="AC53" i="6" s="1"/>
  <c r="AD53" i="6" s="1"/>
  <c r="AE53" i="6" s="1"/>
  <c r="AB54" i="6" l="1"/>
  <c r="X54" i="6"/>
  <c r="Y54" i="6" s="1"/>
  <c r="V55" i="6" l="1"/>
  <c r="W55" i="6" s="1"/>
  <c r="Z54" i="6"/>
  <c r="AC54" i="6" s="1"/>
  <c r="AD54" i="6" s="1"/>
  <c r="AE54" i="6" s="1"/>
  <c r="AB55" i="6" l="1"/>
  <c r="X55" i="6"/>
  <c r="Y55" i="6" s="1"/>
  <c r="V56" i="6" l="1"/>
  <c r="AB56" i="6" s="1"/>
  <c r="Z55" i="6"/>
  <c r="AC55" i="6" s="1"/>
  <c r="AD55" i="6" s="1"/>
  <c r="AE55" i="6" s="1"/>
  <c r="W56" i="6" l="1"/>
  <c r="X56" i="6" s="1"/>
  <c r="Y56" i="6" s="1"/>
  <c r="F4" i="6" s="1"/>
  <c r="F39" i="10" l="1"/>
  <c r="Z56" i="6"/>
  <c r="AC56" i="6" s="1"/>
  <c r="AD56" i="6" s="1"/>
  <c r="AE56" i="6" s="1"/>
  <c r="H4" i="6" s="1"/>
  <c r="H39" i="10" l="1"/>
</calcChain>
</file>

<file path=xl/sharedStrings.xml><?xml version="1.0" encoding="utf-8"?>
<sst xmlns="http://schemas.openxmlformats.org/spreadsheetml/2006/main" count="131" uniqueCount="69">
  <si>
    <t>Ausschüttungen p.a.</t>
  </si>
  <si>
    <t>Inflation</t>
  </si>
  <si>
    <t>Gesamteinzahlungen</t>
  </si>
  <si>
    <t>Anlagezeit [Jahre]</t>
  </si>
  <si>
    <t>Kapitalertragsteuer</t>
  </si>
  <si>
    <t>Transaktionskosten</t>
  </si>
  <si>
    <t>Sparrate/Monat zum Start</t>
  </si>
  <si>
    <t>Fondsrendite p.a.</t>
  </si>
  <si>
    <t>Jahreseinzahlung Brutto</t>
  </si>
  <si>
    <t>Jahreseinzahlung abzgl. Transaktionskosten</t>
  </si>
  <si>
    <t>Kurs am 01.01.</t>
  </si>
  <si>
    <t>Kurs am 31.12.</t>
  </si>
  <si>
    <t>Gesamtwert am 31.12</t>
  </si>
  <si>
    <t>gekaufte Anteile am 01.01.</t>
  </si>
  <si>
    <t>Gesamtanteile am 31.12.</t>
  </si>
  <si>
    <t>Gesamtwert am 31.12.</t>
  </si>
  <si>
    <t>Verkaufserlös</t>
  </si>
  <si>
    <t>Gewinn</t>
  </si>
  <si>
    <t>Erlös abzgl. Steuer</t>
  </si>
  <si>
    <t>Anlagezeit</t>
  </si>
  <si>
    <t>Erlös abzg. Steuern</t>
  </si>
  <si>
    <t>Einzahlungen/Jahr</t>
  </si>
  <si>
    <t>Rendite p.a.</t>
  </si>
  <si>
    <t>TER</t>
  </si>
  <si>
    <t>Anlagedauer/Jahre</t>
  </si>
  <si>
    <t>Endkapital</t>
  </si>
  <si>
    <t>AA</t>
  </si>
  <si>
    <t>Ausschüttungen werden direkt nach Abzug der Steuern reinvestiert</t>
  </si>
  <si>
    <t>Erlös abzgl. Steuer und Kapitalertragsteuer für ausschüttungsgleiche Erträge des Verkaufsjahres</t>
  </si>
  <si>
    <t>Erträge werden vollständig weggeswapped (keine auschütungsgleichen Erträge)</t>
  </si>
  <si>
    <t>ausschüttungsgleiche Erträge werden direkt nach Abzug der Steuern ohne Gebühren vom Fonds automatisch reinvestiert</t>
  </si>
  <si>
    <t>durchschn. Quellensteuer</t>
  </si>
  <si>
    <t>Einmalzahlung zu Beginn</t>
  </si>
  <si>
    <t>inländisch thesaurierender Fonds</t>
  </si>
  <si>
    <t>ausländisch thesaurierender Fonds</t>
  </si>
  <si>
    <t>ausschüttender Fonds</t>
  </si>
  <si>
    <t>SWAP Fonds</t>
  </si>
  <si>
    <t>Kurs (01.01.)</t>
  </si>
  <si>
    <t>Dividende (31.12.)</t>
  </si>
  <si>
    <t>Kapitalertragsteuer auf Dividende (31.12.)</t>
  </si>
  <si>
    <t>Thesaurierungsbetrag (31.12.)</t>
  </si>
  <si>
    <t>Kurs nach Thesaurierung (31.12.)</t>
  </si>
  <si>
    <t>Kurs vor Thesaurierung (31.12.)</t>
  </si>
  <si>
    <t>gekaufte Anteile (01.01.)</t>
  </si>
  <si>
    <t>Gesamtanteile (31.12.)</t>
  </si>
  <si>
    <t>Gesamtwert nach Thesaurierung (31.12.)</t>
  </si>
  <si>
    <t>Summe versteuerte Dividenden</t>
  </si>
  <si>
    <t>Erlös abzgl. Transaktionskosten</t>
  </si>
  <si>
    <t>Kurs vor Ausschüttung (31.12.)</t>
  </si>
  <si>
    <t>Ausschüttung (31.12.)</t>
  </si>
  <si>
    <t>Kurs nach Ausschüttung (31.12.)</t>
  </si>
  <si>
    <t>Jahreseinzahlung abzgl. Transaktionskosten (01.01.)</t>
  </si>
  <si>
    <t>Gesamtanteile vor Ausschüttung (31.12.)</t>
  </si>
  <si>
    <t>Gesamtanteile nach Ausschüttung (31.12.)</t>
  </si>
  <si>
    <t>Gesamtwert inkl. Ausschüttungen (31.12.)</t>
  </si>
  <si>
    <t>Anteile durch reinvestierte Ausschüttungen (31.12.)</t>
  </si>
  <si>
    <t>zu verkaufende Anteile zur Finanzierung</t>
  </si>
  <si>
    <t>Steuern auf ausschüttungsgleiche Erträge werden durch Verkauf von Fondsanteilen finanziert</t>
  </si>
  <si>
    <t>reinvestierte Gesamtausschüttungen</t>
  </si>
  <si>
    <t>Summe Thesaurierungen</t>
  </si>
  <si>
    <t>Sparrate/Jahr zum Start</t>
  </si>
  <si>
    <t>JA</t>
  </si>
  <si>
    <t>NEIN</t>
  </si>
  <si>
    <t>Kapitalertragsteuer auf Thesaurierungen bei ausl. Thesaurierer durch Anteilsverkauf?</t>
  </si>
  <si>
    <t>Kapitalertragsteuer auf
Thesaurierungen bei ausl.
Thesaurierer durch
Anteilsverkauf?</t>
  </si>
  <si>
    <t>Solidaritätszuschlag</t>
  </si>
  <si>
    <t>Kirchensteuer</t>
  </si>
  <si>
    <t>Steuerbelastung (Kursgewinne)</t>
  </si>
  <si>
    <t>Steuerbelastung (Dividenden)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</si>
</sst>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  <numFmt numFmtId="165" formatCode="_-* #,##0\ &quot;€&quot;_-;\-* #,##0\ &quot;€&quot;_-;_-* &quot;-&quot;??\ &quot;€&quot;_-;_-@_-"/>
    <numFmt numFmtId="166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0" fillId="2" borderId="1" xfId="0" applyFill="1" applyBorder="1"/>
    <xf numFmtId="44" fontId="0" fillId="2" borderId="1" xfId="0" applyNumberFormat="1" applyFill="1" applyBorder="1"/>
    <xf numFmtId="0" fontId="0" fillId="2" borderId="1" xfId="0" applyNumberFormat="1" applyFill="1" applyBorder="1"/>
    <xf numFmtId="0" fontId="0" fillId="3" borderId="1" xfId="0" applyFill="1" applyBorder="1"/>
    <xf numFmtId="44" fontId="0" fillId="3" borderId="1" xfId="0" applyNumberFormat="1" applyFill="1" applyBorder="1"/>
    <xf numFmtId="0" fontId="0" fillId="0" borderId="0" xfId="0" applyBorder="1"/>
    <xf numFmtId="9" fontId="0" fillId="0" borderId="0" xfId="2" applyFont="1" applyBorder="1"/>
    <xf numFmtId="0" fontId="0" fillId="0" borderId="1" xfId="0" applyFill="1" applyBorder="1"/>
    <xf numFmtId="0" fontId="0" fillId="0" borderId="0" xfId="0" applyFill="1"/>
    <xf numFmtId="44" fontId="0" fillId="2" borderId="1" xfId="1" applyFont="1" applyFill="1" applyBorder="1"/>
    <xf numFmtId="0" fontId="0" fillId="4" borderId="1" xfId="0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0" fontId="0" fillId="4" borderId="1" xfId="0" applyNumberFormat="1" applyFill="1" applyBorder="1"/>
    <xf numFmtId="44" fontId="0" fillId="3" borderId="1" xfId="1" applyFont="1" applyFill="1" applyBorder="1"/>
    <xf numFmtId="0" fontId="0" fillId="3" borderId="1" xfId="0" applyNumberFormat="1" applyFill="1" applyBorder="1"/>
    <xf numFmtId="164" fontId="0" fillId="0" borderId="1" xfId="2" applyNumberFormat="1" applyFont="1" applyBorder="1"/>
    <xf numFmtId="0" fontId="0" fillId="5" borderId="1" xfId="0" applyFill="1" applyBorder="1"/>
    <xf numFmtId="165" fontId="0" fillId="0" borderId="0" xfId="1" applyNumberFormat="1" applyFont="1"/>
    <xf numFmtId="164" fontId="0" fillId="0" borderId="0" xfId="2" applyNumberFormat="1" applyFont="1" applyAlignment="1"/>
    <xf numFmtId="9" fontId="0" fillId="0" borderId="0" xfId="2" applyFont="1"/>
    <xf numFmtId="164" fontId="0" fillId="0" borderId="0" xfId="2" applyNumberFormat="1" applyFont="1"/>
    <xf numFmtId="8" fontId="0" fillId="0" borderId="0" xfId="0" applyNumberFormat="1"/>
    <xf numFmtId="0" fontId="0" fillId="2" borderId="2" xfId="0" applyFill="1" applyBorder="1"/>
    <xf numFmtId="44" fontId="0" fillId="4" borderId="6" xfId="1" applyFont="1" applyFill="1" applyBorder="1"/>
    <xf numFmtId="44" fontId="0" fillId="0" borderId="0" xfId="0" applyNumberFormat="1"/>
    <xf numFmtId="44" fontId="0" fillId="0" borderId="0" xfId="1" applyFont="1"/>
    <xf numFmtId="0" fontId="0" fillId="0" borderId="0" xfId="0" applyFill="1" applyBorder="1"/>
    <xf numFmtId="44" fontId="0" fillId="0" borderId="0" xfId="1" applyFont="1" applyBorder="1" applyProtection="1">
      <protection locked="0"/>
    </xf>
    <xf numFmtId="0" fontId="0" fillId="0" borderId="3" xfId="0" applyBorder="1"/>
    <xf numFmtId="164" fontId="0" fillId="0" borderId="7" xfId="2" applyNumberFormat="1" applyFont="1" applyBorder="1" applyProtection="1">
      <protection locked="0"/>
    </xf>
    <xf numFmtId="0" fontId="0" fillId="0" borderId="3" xfId="0" applyFill="1" applyBorder="1"/>
    <xf numFmtId="44" fontId="0" fillId="0" borderId="7" xfId="1" applyFont="1" applyBorder="1" applyProtection="1">
      <protection locked="0"/>
    </xf>
    <xf numFmtId="165" fontId="0" fillId="0" borderId="7" xfId="1" applyNumberFormat="1" applyFont="1" applyBorder="1" applyProtection="1">
      <protection locked="0"/>
    </xf>
    <xf numFmtId="164" fontId="0" fillId="0" borderId="7" xfId="2" applyNumberFormat="1" applyFont="1" applyBorder="1" applyAlignment="1" applyProtection="1">
      <protection locked="0"/>
    </xf>
    <xf numFmtId="0" fontId="0" fillId="5" borderId="3" xfId="0" applyFill="1" applyBorder="1"/>
    <xf numFmtId="0" fontId="0" fillId="0" borderId="5" xfId="0" applyFill="1" applyBorder="1"/>
    <xf numFmtId="44" fontId="0" fillId="3" borderId="8" xfId="1" applyFont="1" applyFill="1" applyBorder="1"/>
    <xf numFmtId="44" fontId="0" fillId="0" borderId="0" xfId="1" applyFont="1" applyFill="1" applyBorder="1"/>
    <xf numFmtId="0" fontId="0" fillId="6" borderId="1" xfId="0" applyFill="1" applyBorder="1"/>
    <xf numFmtId="44" fontId="0" fillId="6" borderId="1" xfId="1" applyFont="1" applyFill="1" applyBorder="1"/>
    <xf numFmtId="44" fontId="0" fillId="6" borderId="1" xfId="0" applyNumberFormat="1" applyFill="1" applyBorder="1"/>
    <xf numFmtId="0" fontId="0" fillId="7" borderId="1" xfId="0" applyFill="1" applyBorder="1"/>
    <xf numFmtId="44" fontId="0" fillId="7" borderId="1" xfId="1" applyFont="1" applyFill="1" applyBorder="1"/>
    <xf numFmtId="44" fontId="0" fillId="7" borderId="1" xfId="0" applyNumberFormat="1" applyFill="1" applyBorder="1"/>
    <xf numFmtId="0" fontId="0" fillId="8" borderId="1" xfId="0" applyFill="1" applyBorder="1"/>
    <xf numFmtId="44" fontId="0" fillId="8" borderId="1" xfId="0" applyNumberFormat="1" applyFill="1" applyBorder="1"/>
    <xf numFmtId="0" fontId="0" fillId="8" borderId="1" xfId="0" applyNumberFormat="1" applyFill="1" applyBorder="1"/>
    <xf numFmtId="44" fontId="0" fillId="8" borderId="1" xfId="1" applyFont="1" applyFill="1" applyBorder="1"/>
    <xf numFmtId="0" fontId="0" fillId="9" borderId="1" xfId="0" applyFill="1" applyBorder="1"/>
    <xf numFmtId="44" fontId="0" fillId="9" borderId="1" xfId="1" applyFont="1" applyFill="1" applyBorder="1"/>
    <xf numFmtId="44" fontId="0" fillId="9" borderId="1" xfId="0" applyNumberFormat="1" applyFill="1" applyBorder="1"/>
    <xf numFmtId="0" fontId="0" fillId="10" borderId="1" xfId="0" applyFill="1" applyBorder="1"/>
    <xf numFmtId="44" fontId="0" fillId="10" borderId="1" xfId="1" applyFont="1" applyFill="1" applyBorder="1"/>
    <xf numFmtId="44" fontId="0" fillId="10" borderId="1" xfId="0" applyNumberFormat="1" applyFill="1" applyBorder="1"/>
    <xf numFmtId="166" fontId="0" fillId="0" borderId="0" xfId="2" applyNumberFormat="1" applyFont="1" applyFill="1"/>
    <xf numFmtId="0" fontId="0" fillId="0" borderId="1" xfId="0" applyNumberFormat="1" applyBorder="1"/>
    <xf numFmtId="0" fontId="0" fillId="0" borderId="1" xfId="0" applyFill="1" applyBorder="1" applyAlignment="1">
      <alignment wrapText="1"/>
    </xf>
    <xf numFmtId="44" fontId="0" fillId="0" borderId="7" xfId="1" applyFont="1" applyBorder="1" applyAlignment="1" applyProtection="1">
      <alignment horizontal="center" vertical="center"/>
      <protection locked="0"/>
    </xf>
    <xf numFmtId="0" fontId="0" fillId="0" borderId="9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6" fontId="0" fillId="0" borderId="1" xfId="2" applyNumberFormat="1" applyFont="1" applyBorder="1"/>
    <xf numFmtId="166" fontId="0" fillId="0" borderId="2" xfId="2" applyNumberFormat="1" applyFont="1" applyBorder="1" applyProtection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'AA (Berechnungen)'!$A$1</c:f>
          <c:strCache>
            <c:ptCount val="1"/>
            <c:pt idx="0">
              <c:v>Einfluss des AA (1200€ p.a. bei 5% p.a. Rendite)</c:v>
            </c:pt>
          </c:strCache>
        </c:strRef>
      </c:tx>
      <c:layout/>
      <c:overlay val="0"/>
      <c:txPr>
        <a:bodyPr/>
        <a:lstStyle/>
        <a:p>
          <a:pPr>
            <a:defRPr sz="1600"/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'AA (Berechnungen)'!$B$5</c:f>
              <c:strCache>
                <c:ptCount val="1"/>
                <c:pt idx="0">
                  <c:v>0,0%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(Berechnungen)'!$B$7:$B$46</c:f>
              <c:numCache>
                <c:formatCode>"€"#,##0.00_);[Red]\("€"#,##0.00\)</c:formatCode>
                <c:ptCount val="40"/>
                <c:pt idx="0">
                  <c:v>1260.0000000000011</c:v>
                </c:pt>
                <c:pt idx="1">
                  <c:v>2583.0000000000009</c:v>
                </c:pt>
                <c:pt idx="2">
                  <c:v>3972.1500000000033</c:v>
                </c:pt>
                <c:pt idx="3">
                  <c:v>5430.7574999999997</c:v>
                </c:pt>
                <c:pt idx="4">
                  <c:v>6962.2953750000033</c:v>
                </c:pt>
                <c:pt idx="5">
                  <c:v>8570.4101437499994</c:v>
                </c:pt>
                <c:pt idx="6">
                  <c:v>10258.930650937507</c:v>
                </c:pt>
                <c:pt idx="7">
                  <c:v>12031.877183484377</c:v>
                </c:pt>
                <c:pt idx="8">
                  <c:v>13893.471042658599</c:v>
                </c:pt>
                <c:pt idx="9">
                  <c:v>15848.144594791525</c:v>
                </c:pt>
                <c:pt idx="10">
                  <c:v>17900.551824531107</c:v>
                </c:pt>
                <c:pt idx="11">
                  <c:v>20055.579415757653</c:v>
                </c:pt>
                <c:pt idx="12">
                  <c:v>22318.358386545548</c:v>
                </c:pt>
                <c:pt idx="13">
                  <c:v>24694.276305872812</c:v>
                </c:pt>
                <c:pt idx="14">
                  <c:v>27188.990121166473</c:v>
                </c:pt>
                <c:pt idx="15">
                  <c:v>29808.43962722479</c:v>
                </c:pt>
                <c:pt idx="16">
                  <c:v>32558.861608586038</c:v>
                </c:pt>
                <c:pt idx="17">
                  <c:v>35446.804689015335</c:v>
                </c:pt>
                <c:pt idx="18">
                  <c:v>38479.144923466105</c:v>
                </c:pt>
                <c:pt idx="19">
                  <c:v>41663.102169639402</c:v>
                </c:pt>
                <c:pt idx="20">
                  <c:v>45006.257278121382</c:v>
                </c:pt>
                <c:pt idx="21">
                  <c:v>48516.570142027442</c:v>
                </c:pt>
                <c:pt idx="22">
                  <c:v>52202.398649128816</c:v>
                </c:pt>
                <c:pt idx="23">
                  <c:v>56072.518581585253</c:v>
                </c:pt>
                <c:pt idx="24">
                  <c:v>60136.144510664526</c:v>
                </c:pt>
                <c:pt idx="25">
                  <c:v>64402.951736197756</c:v>
                </c:pt>
                <c:pt idx="26">
                  <c:v>68883.099323007642</c:v>
                </c:pt>
                <c:pt idx="27">
                  <c:v>73587.254289158009</c:v>
                </c:pt>
                <c:pt idx="28">
                  <c:v>78526.617003615931</c:v>
                </c:pt>
                <c:pt idx="29">
                  <c:v>83712.947853796708</c:v>
                </c:pt>
                <c:pt idx="30">
                  <c:v>89158.595246486584</c:v>
                </c:pt>
                <c:pt idx="31">
                  <c:v>94876.525008810888</c:v>
                </c:pt>
                <c:pt idx="32">
                  <c:v>100880.35125925145</c:v>
                </c:pt>
                <c:pt idx="33">
                  <c:v>107184.368822214</c:v>
                </c:pt>
                <c:pt idx="34">
                  <c:v>113803.58726332473</c:v>
                </c:pt>
                <c:pt idx="35">
                  <c:v>120753.76662649095</c:v>
                </c:pt>
                <c:pt idx="36">
                  <c:v>128051.45495781551</c:v>
                </c:pt>
                <c:pt idx="37">
                  <c:v>135714.02770570625</c:v>
                </c:pt>
                <c:pt idx="38">
                  <c:v>143759.7290909916</c:v>
                </c:pt>
                <c:pt idx="39">
                  <c:v>152207.71554554114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'AA (Berechnungen)'!$C$5</c:f>
              <c:strCache>
                <c:ptCount val="1"/>
                <c:pt idx="0">
                  <c:v>1,0%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(Berechnungen)'!$C$7:$C$46</c:f>
              <c:numCache>
                <c:formatCode>"€"#,##0.00_);[Red]\("€"#,##0.00\)</c:formatCode>
                <c:ptCount val="40"/>
                <c:pt idx="0">
                  <c:v>1247.400000000001</c:v>
                </c:pt>
                <c:pt idx="1">
                  <c:v>2557.170000000001</c:v>
                </c:pt>
                <c:pt idx="2">
                  <c:v>3932.4285000000036</c:v>
                </c:pt>
                <c:pt idx="3">
                  <c:v>5376.4499249999999</c:v>
                </c:pt>
                <c:pt idx="4">
                  <c:v>6892.6724212500039</c:v>
                </c:pt>
                <c:pt idx="5">
                  <c:v>8484.7060423124985</c:v>
                </c:pt>
                <c:pt idx="6">
                  <c:v>10156.341344428132</c:v>
                </c:pt>
                <c:pt idx="7">
                  <c:v>11911.558411649532</c:v>
                </c:pt>
                <c:pt idx="8">
                  <c:v>13754.536332232014</c:v>
                </c:pt>
                <c:pt idx="9">
                  <c:v>15689.663148843611</c:v>
                </c:pt>
                <c:pt idx="10">
                  <c:v>17721.546306285796</c:v>
                </c:pt>
                <c:pt idx="11">
                  <c:v>19855.023621600078</c:v>
                </c:pt>
                <c:pt idx="12">
                  <c:v>22095.174802680092</c:v>
                </c:pt>
                <c:pt idx="13">
                  <c:v>24447.333542814085</c:v>
                </c:pt>
                <c:pt idx="14">
                  <c:v>26917.100219954809</c:v>
                </c:pt>
                <c:pt idx="15">
                  <c:v>29510.355230952544</c:v>
                </c:pt>
                <c:pt idx="16">
                  <c:v>32233.272992500177</c:v>
                </c:pt>
                <c:pt idx="17">
                  <c:v>35092.336642125185</c:v>
                </c:pt>
                <c:pt idx="18">
                  <c:v>38094.353474231444</c:v>
                </c:pt>
                <c:pt idx="19">
                  <c:v>41246.471147943012</c:v>
                </c:pt>
                <c:pt idx="20">
                  <c:v>44556.194705340167</c:v>
                </c:pt>
                <c:pt idx="21">
                  <c:v>48031.404440607163</c:v>
                </c:pt>
                <c:pt idx="22">
                  <c:v>51680.374662637529</c:v>
                </c:pt>
                <c:pt idx="23">
                  <c:v>55511.793395769397</c:v>
                </c:pt>
                <c:pt idx="24">
                  <c:v>59534.78306555788</c:v>
                </c:pt>
                <c:pt idx="25">
                  <c:v>63758.922218835774</c:v>
                </c:pt>
                <c:pt idx="26">
                  <c:v>68194.268329777566</c:v>
                </c:pt>
                <c:pt idx="27">
                  <c:v>72851.38174626643</c:v>
                </c:pt>
                <c:pt idx="28">
                  <c:v>77741.350833579781</c:v>
                </c:pt>
                <c:pt idx="29">
                  <c:v>82875.818375258736</c:v>
                </c:pt>
                <c:pt idx="30">
                  <c:v>88267.009294021715</c:v>
                </c:pt>
                <c:pt idx="31">
                  <c:v>93927.759758722779</c:v>
                </c:pt>
                <c:pt idx="32">
                  <c:v>99871.547746658936</c:v>
                </c:pt>
                <c:pt idx="33">
                  <c:v>106112.52513399186</c:v>
                </c:pt>
                <c:pt idx="34">
                  <c:v>112665.55139069149</c:v>
                </c:pt>
                <c:pt idx="35">
                  <c:v>119546.22896022603</c:v>
                </c:pt>
                <c:pt idx="36">
                  <c:v>126770.94040823735</c:v>
                </c:pt>
                <c:pt idx="37">
                  <c:v>134356.88742864918</c:v>
                </c:pt>
                <c:pt idx="38">
                  <c:v>142322.1318000817</c:v>
                </c:pt>
                <c:pt idx="39">
                  <c:v>150685.63839008575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'AA (Berechnungen)'!$D$5</c:f>
              <c:strCache>
                <c:ptCount val="1"/>
                <c:pt idx="0">
                  <c:v>2,0%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(Berechnungen)'!$D$7:$D$46</c:f>
              <c:numCache>
                <c:formatCode>"€"#,##0.00_);[Red]\("€"#,##0.00\)</c:formatCode>
                <c:ptCount val="40"/>
                <c:pt idx="0">
                  <c:v>1234.8000000000011</c:v>
                </c:pt>
                <c:pt idx="1">
                  <c:v>2531.3400000000011</c:v>
                </c:pt>
                <c:pt idx="2">
                  <c:v>3892.7070000000035</c:v>
                </c:pt>
                <c:pt idx="3">
                  <c:v>5322.1423500000001</c:v>
                </c:pt>
                <c:pt idx="4">
                  <c:v>6823.0494675000036</c:v>
                </c:pt>
                <c:pt idx="5">
                  <c:v>8399.0019408749995</c:v>
                </c:pt>
                <c:pt idx="6">
                  <c:v>10053.752037918757</c:v>
                </c:pt>
                <c:pt idx="7">
                  <c:v>11791.239639814688</c:v>
                </c:pt>
                <c:pt idx="8">
                  <c:v>13615.601621805426</c:v>
                </c:pt>
                <c:pt idx="9">
                  <c:v>15531.181702895696</c:v>
                </c:pt>
                <c:pt idx="10">
                  <c:v>17542.540788040485</c:v>
                </c:pt>
                <c:pt idx="11">
                  <c:v>19654.467827442502</c:v>
                </c:pt>
                <c:pt idx="12">
                  <c:v>21871.991218814637</c:v>
                </c:pt>
                <c:pt idx="13">
                  <c:v>24200.390779755355</c:v>
                </c:pt>
                <c:pt idx="14">
                  <c:v>26645.210318743146</c:v>
                </c:pt>
                <c:pt idx="15">
                  <c:v>29212.270834680297</c:v>
                </c:pt>
                <c:pt idx="16">
                  <c:v>31907.684376414316</c:v>
                </c:pt>
                <c:pt idx="17">
                  <c:v>34737.868595235028</c:v>
                </c:pt>
                <c:pt idx="18">
                  <c:v>37709.562024996783</c:v>
                </c:pt>
                <c:pt idx="19">
                  <c:v>40829.840126246614</c:v>
                </c:pt>
                <c:pt idx="20">
                  <c:v>44106.132132558952</c:v>
                </c:pt>
                <c:pt idx="21">
                  <c:v>47546.238739186891</c:v>
                </c:pt>
                <c:pt idx="22">
                  <c:v>51158.350676146241</c:v>
                </c:pt>
                <c:pt idx="23">
                  <c:v>54951.068209953548</c:v>
                </c:pt>
                <c:pt idx="24">
                  <c:v>58933.421620451234</c:v>
                </c:pt>
                <c:pt idx="25">
                  <c:v>63114.8927014738</c:v>
                </c:pt>
                <c:pt idx="26">
                  <c:v>67505.437336547489</c:v>
                </c:pt>
                <c:pt idx="27">
                  <c:v>72115.509203374851</c:v>
                </c:pt>
                <c:pt idx="28">
                  <c:v>76956.084663543617</c:v>
                </c:pt>
                <c:pt idx="29">
                  <c:v>82038.688896720763</c:v>
                </c:pt>
                <c:pt idx="30">
                  <c:v>87375.423341556845</c:v>
                </c:pt>
                <c:pt idx="31">
                  <c:v>92978.994508634671</c:v>
                </c:pt>
                <c:pt idx="32">
                  <c:v>98862.744234066427</c:v>
                </c:pt>
                <c:pt idx="33">
                  <c:v>105040.68144576972</c:v>
                </c:pt>
                <c:pt idx="34">
                  <c:v>111527.51551805824</c:v>
                </c:pt>
                <c:pt idx="35">
                  <c:v>118338.69129396112</c:v>
                </c:pt>
                <c:pt idx="36">
                  <c:v>125490.4258586592</c:v>
                </c:pt>
                <c:pt idx="37">
                  <c:v>132999.74715159214</c:v>
                </c:pt>
                <c:pt idx="38">
                  <c:v>140884.53450917176</c:v>
                </c:pt>
                <c:pt idx="39">
                  <c:v>149163.56123463032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'AA (Berechnungen)'!$E$5</c:f>
              <c:strCache>
                <c:ptCount val="1"/>
                <c:pt idx="0">
                  <c:v>3,0%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(Berechnungen)'!$E$7:$E$46</c:f>
              <c:numCache>
                <c:formatCode>"€"#,##0.00_);[Red]\("€"#,##0.00\)</c:formatCode>
                <c:ptCount val="40"/>
                <c:pt idx="0">
                  <c:v>1222.2000000000012</c:v>
                </c:pt>
                <c:pt idx="1">
                  <c:v>2505.5100000000007</c:v>
                </c:pt>
                <c:pt idx="2">
                  <c:v>3852.9855000000034</c:v>
                </c:pt>
                <c:pt idx="3">
                  <c:v>5267.8347750000003</c:v>
                </c:pt>
                <c:pt idx="4">
                  <c:v>6753.4265137500033</c:v>
                </c:pt>
                <c:pt idx="5">
                  <c:v>8313.2978394374986</c:v>
                </c:pt>
                <c:pt idx="6">
                  <c:v>9951.1627314093821</c:v>
                </c:pt>
                <c:pt idx="7">
                  <c:v>11670.920867979845</c:v>
                </c:pt>
                <c:pt idx="8">
                  <c:v>13476.666911378841</c:v>
                </c:pt>
                <c:pt idx="9">
                  <c:v>15372.700256947781</c:v>
                </c:pt>
                <c:pt idx="10">
                  <c:v>17363.535269795175</c:v>
                </c:pt>
                <c:pt idx="11">
                  <c:v>19453.912033284923</c:v>
                </c:pt>
                <c:pt idx="12">
                  <c:v>21648.807634949182</c:v>
                </c:pt>
                <c:pt idx="13">
                  <c:v>23953.448016696628</c:v>
                </c:pt>
                <c:pt idx="14">
                  <c:v>26373.320417531479</c:v>
                </c:pt>
                <c:pt idx="15">
                  <c:v>28914.186438408047</c:v>
                </c:pt>
                <c:pt idx="16">
                  <c:v>31582.095760328455</c:v>
                </c:pt>
                <c:pt idx="17">
                  <c:v>34383.400548344871</c:v>
                </c:pt>
                <c:pt idx="18">
                  <c:v>37324.770575762122</c:v>
                </c:pt>
                <c:pt idx="19">
                  <c:v>40413.209104550224</c:v>
                </c:pt>
                <c:pt idx="20">
                  <c:v>43656.069559777738</c:v>
                </c:pt>
                <c:pt idx="21">
                  <c:v>47061.073037766619</c:v>
                </c:pt>
                <c:pt idx="22">
                  <c:v>50636.326689654954</c:v>
                </c:pt>
                <c:pt idx="23">
                  <c:v>54390.343024137692</c:v>
                </c:pt>
                <c:pt idx="24">
                  <c:v>58332.060175344588</c:v>
                </c:pt>
                <c:pt idx="25">
                  <c:v>62470.863184111826</c:v>
                </c:pt>
                <c:pt idx="26">
                  <c:v>66816.606343317413</c:v>
                </c:pt>
                <c:pt idx="27">
                  <c:v>71379.636660483273</c:v>
                </c:pt>
                <c:pt idx="28">
                  <c:v>76170.818493507453</c:v>
                </c:pt>
                <c:pt idx="29">
                  <c:v>81201.559418182806</c:v>
                </c:pt>
                <c:pt idx="30">
                  <c:v>86483.837389091976</c:v>
                </c:pt>
                <c:pt idx="31">
                  <c:v>92030.229258546562</c:v>
                </c:pt>
                <c:pt idx="32">
                  <c:v>97853.940721473904</c:v>
                </c:pt>
                <c:pt idx="33">
                  <c:v>103968.83775754759</c:v>
                </c:pt>
                <c:pt idx="34">
                  <c:v>110389.47964542499</c:v>
                </c:pt>
                <c:pt idx="35">
                  <c:v>117131.15362769621</c:v>
                </c:pt>
                <c:pt idx="36">
                  <c:v>124209.91130908104</c:v>
                </c:pt>
                <c:pt idx="37">
                  <c:v>131642.60687453506</c:v>
                </c:pt>
                <c:pt idx="38">
                  <c:v>139446.93721826185</c:v>
                </c:pt>
                <c:pt idx="39">
                  <c:v>147641.48407917493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'AA (Berechnungen)'!$F$5</c:f>
              <c:strCache>
                <c:ptCount val="1"/>
                <c:pt idx="0">
                  <c:v>4,0%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(Berechnungen)'!$F$7:$F$46</c:f>
              <c:numCache>
                <c:formatCode>"€"#,##0.00_);[Red]\("€"#,##0.00\)</c:formatCode>
                <c:ptCount val="40"/>
                <c:pt idx="0">
                  <c:v>1209.600000000001</c:v>
                </c:pt>
                <c:pt idx="1">
                  <c:v>2479.6800000000007</c:v>
                </c:pt>
                <c:pt idx="2">
                  <c:v>3813.2640000000033</c:v>
                </c:pt>
                <c:pt idx="3">
                  <c:v>5213.5272000000004</c:v>
                </c:pt>
                <c:pt idx="4">
                  <c:v>6683.8035600000039</c:v>
                </c:pt>
                <c:pt idx="5">
                  <c:v>8227.5937379999996</c:v>
                </c:pt>
                <c:pt idx="6">
                  <c:v>9848.573424900007</c:v>
                </c:pt>
                <c:pt idx="7">
                  <c:v>11550.602096145001</c:v>
                </c:pt>
                <c:pt idx="8">
                  <c:v>13337.732200952254</c:v>
                </c:pt>
                <c:pt idx="9">
                  <c:v>15214.218810999864</c:v>
                </c:pt>
                <c:pt idx="10">
                  <c:v>17184.529751549864</c:v>
                </c:pt>
                <c:pt idx="11">
                  <c:v>19253.356239127348</c:v>
                </c:pt>
                <c:pt idx="12">
                  <c:v>21425.624051083727</c:v>
                </c:pt>
                <c:pt idx="13">
                  <c:v>23706.505253637901</c:v>
                </c:pt>
                <c:pt idx="14">
                  <c:v>26101.430516319815</c:v>
                </c:pt>
                <c:pt idx="15">
                  <c:v>28616.102042135801</c:v>
                </c:pt>
                <c:pt idx="16">
                  <c:v>31256.507144242594</c:v>
                </c:pt>
                <c:pt idx="17">
                  <c:v>34028.932501454721</c:v>
                </c:pt>
                <c:pt idx="18">
                  <c:v>36939.979126527462</c:v>
                </c:pt>
                <c:pt idx="19">
                  <c:v>39996.578082853826</c:v>
                </c:pt>
                <c:pt idx="20">
                  <c:v>43206.006986996523</c:v>
                </c:pt>
                <c:pt idx="21">
                  <c:v>46575.907336346339</c:v>
                </c:pt>
                <c:pt idx="22">
                  <c:v>50114.302703163667</c:v>
                </c:pt>
                <c:pt idx="23">
                  <c:v>53829.617838321843</c:v>
                </c:pt>
                <c:pt idx="24">
                  <c:v>57730.698730237942</c:v>
                </c:pt>
                <c:pt idx="25">
                  <c:v>61826.833666749844</c:v>
                </c:pt>
                <c:pt idx="26">
                  <c:v>66127.775350087337</c:v>
                </c:pt>
                <c:pt idx="27">
                  <c:v>70643.764117591694</c:v>
                </c:pt>
                <c:pt idx="28">
                  <c:v>75385.552323471289</c:v>
                </c:pt>
                <c:pt idx="29">
                  <c:v>80364.429939644833</c:v>
                </c:pt>
                <c:pt idx="30">
                  <c:v>85592.251436627121</c:v>
                </c:pt>
                <c:pt idx="31">
                  <c:v>91081.464008458453</c:v>
                </c:pt>
                <c:pt idx="32">
                  <c:v>96845.137208881395</c:v>
                </c:pt>
                <c:pt idx="33">
                  <c:v>102896.99406932545</c:v>
                </c:pt>
                <c:pt idx="34">
                  <c:v>109251.44377279174</c:v>
                </c:pt>
                <c:pt idx="35">
                  <c:v>115923.61596143131</c:v>
                </c:pt>
                <c:pt idx="36">
                  <c:v>122929.39675950288</c:v>
                </c:pt>
                <c:pt idx="37">
                  <c:v>130285.46659747799</c:v>
                </c:pt>
                <c:pt idx="38">
                  <c:v>138009.33992735195</c:v>
                </c:pt>
                <c:pt idx="39">
                  <c:v>146119.40692371951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'AA (Berechnungen)'!$G$5</c:f>
              <c:strCache>
                <c:ptCount val="1"/>
                <c:pt idx="0">
                  <c:v>5,0%</c:v>
                </c:pt>
              </c:strCache>
            </c:strRef>
          </c:tx>
          <c:marker>
            <c:symbol val="none"/>
          </c:marker>
          <c:xVal>
            <c:numRef>
              <c:f>'AA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'AA (Berechnungen)'!$G$7:$G$46</c:f>
              <c:numCache>
                <c:formatCode>"€"#,##0.00_);[Red]\("€"#,##0.00\)</c:formatCode>
                <c:ptCount val="40"/>
                <c:pt idx="0">
                  <c:v>1197.0000000000011</c:v>
                </c:pt>
                <c:pt idx="1">
                  <c:v>2453.8500000000008</c:v>
                </c:pt>
                <c:pt idx="2">
                  <c:v>3773.5425000000032</c:v>
                </c:pt>
                <c:pt idx="3">
                  <c:v>5159.2196249999997</c:v>
                </c:pt>
                <c:pt idx="4">
                  <c:v>6614.1806062500036</c:v>
                </c:pt>
                <c:pt idx="5">
                  <c:v>8141.8896365624996</c:v>
                </c:pt>
                <c:pt idx="6">
                  <c:v>9745.9841183906319</c:v>
                </c:pt>
                <c:pt idx="7">
                  <c:v>11430.283324310158</c:v>
                </c:pt>
                <c:pt idx="8">
                  <c:v>13198.797490525669</c:v>
                </c:pt>
                <c:pt idx="9">
                  <c:v>15055.737365051949</c:v>
                </c:pt>
                <c:pt idx="10">
                  <c:v>17005.524233304553</c:v>
                </c:pt>
                <c:pt idx="11">
                  <c:v>19052.800444969773</c:v>
                </c:pt>
                <c:pt idx="12">
                  <c:v>21202.440467218272</c:v>
                </c:pt>
                <c:pt idx="13">
                  <c:v>23459.56249057917</c:v>
                </c:pt>
                <c:pt idx="14">
                  <c:v>25829.540615108152</c:v>
                </c:pt>
                <c:pt idx="15">
                  <c:v>28318.017645863551</c:v>
                </c:pt>
                <c:pt idx="16">
                  <c:v>30930.918528156733</c:v>
                </c:pt>
                <c:pt idx="17">
                  <c:v>33674.464454564571</c:v>
                </c:pt>
                <c:pt idx="18">
                  <c:v>36555.187677292801</c:v>
                </c:pt>
                <c:pt idx="19">
                  <c:v>39579.947061157436</c:v>
                </c:pt>
                <c:pt idx="20">
                  <c:v>42755.944414215308</c:v>
                </c:pt>
                <c:pt idx="21">
                  <c:v>46090.741634926067</c:v>
                </c:pt>
                <c:pt idx="22">
                  <c:v>49592.278716672379</c:v>
                </c:pt>
                <c:pt idx="23">
                  <c:v>53268.892652505987</c:v>
                </c:pt>
                <c:pt idx="24">
                  <c:v>57129.337285131296</c:v>
                </c:pt>
                <c:pt idx="25">
                  <c:v>61182.80414938787</c:v>
                </c:pt>
                <c:pt idx="26">
                  <c:v>65438.944356857261</c:v>
                </c:pt>
                <c:pt idx="27">
                  <c:v>69907.891574700116</c:v>
                </c:pt>
                <c:pt idx="28">
                  <c:v>74600.28615343514</c:v>
                </c:pt>
                <c:pt idx="29">
                  <c:v>79527.300461106861</c:v>
                </c:pt>
                <c:pt idx="30">
                  <c:v>84700.665484162251</c:v>
                </c:pt>
                <c:pt idx="31">
                  <c:v>90132.698758370345</c:v>
                </c:pt>
                <c:pt idx="32">
                  <c:v>95836.333696288872</c:v>
                </c:pt>
                <c:pt idx="33">
                  <c:v>101825.1503811033</c:v>
                </c:pt>
                <c:pt idx="34">
                  <c:v>108113.40790015849</c:v>
                </c:pt>
                <c:pt idx="35">
                  <c:v>114716.0782951664</c:v>
                </c:pt>
                <c:pt idx="36">
                  <c:v>121648.88220992473</c:v>
                </c:pt>
                <c:pt idx="37">
                  <c:v>128928.32632042094</c:v>
                </c:pt>
                <c:pt idx="38">
                  <c:v>136571.74263644201</c:v>
                </c:pt>
                <c:pt idx="39">
                  <c:v>144597.32976826408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963392"/>
        <c:axId val="181973760"/>
      </c:scatterChart>
      <c:valAx>
        <c:axId val="181963392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</a:t>
                </a:r>
                <a:r>
                  <a:rPr lang="de-DE" baseline="0"/>
                  <a:t> </a:t>
                </a:r>
                <a:r>
                  <a:rPr lang="de-DE"/>
                  <a:t>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1973760"/>
        <c:crosses val="autoZero"/>
        <c:crossBetween val="midCat"/>
      </c:valAx>
      <c:valAx>
        <c:axId val="181973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Endkaital</a:t>
                </a:r>
              </a:p>
            </c:rich>
          </c:tx>
          <c:layout/>
          <c:overlay val="0"/>
        </c:title>
        <c:numFmt formatCode="&quot;€&quot;#,##0.00_);[Red]\(&quot;€&quot;#,##0.00\)" sourceLinked="1"/>
        <c:majorTickMark val="out"/>
        <c:minorTickMark val="none"/>
        <c:tickLblPos val="nextTo"/>
        <c:crossAx val="18196339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'TER (Berechnungen)'!$A$1</c:f>
          <c:strCache>
            <c:ptCount val="1"/>
            <c:pt idx="0">
              <c:v>Einfluss der TER (1200€ p.a. bei 5% p.a. Rendite)</c:v>
            </c:pt>
          </c:strCache>
        </c:strRef>
      </c:tx>
      <c:layout/>
      <c:overlay val="0"/>
      <c:txPr>
        <a:bodyPr/>
        <a:lstStyle/>
        <a:p>
          <a:pPr>
            <a:defRPr sz="1600"/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'TER (Berechnungen)'!$B$5</c:f>
              <c:strCache>
                <c:ptCount val="1"/>
                <c:pt idx="0">
                  <c:v>0,2%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(Berechnungen)'!$B$7:$B$46</c:f>
              <c:numCache>
                <c:formatCode>"€"#,##0.00_);[Red]\("€"#,##0.00\)</c:formatCode>
                <c:ptCount val="40"/>
                <c:pt idx="0">
                  <c:v>1257.600000000001</c:v>
                </c:pt>
                <c:pt idx="1">
                  <c:v>2575.5648000000047</c:v>
                </c:pt>
                <c:pt idx="2">
                  <c:v>3956.7919104000034</c:v>
                </c:pt>
                <c:pt idx="3">
                  <c:v>5404.3179220992115</c:v>
                </c:pt>
                <c:pt idx="4">
                  <c:v>6921.325182359974</c:v>
                </c:pt>
                <c:pt idx="5">
                  <c:v>8511.1487911132572</c:v>
                </c:pt>
                <c:pt idx="6">
                  <c:v>10177.283933086694</c:v>
                </c:pt>
                <c:pt idx="7">
                  <c:v>11923.393561874864</c:v>
                </c:pt>
                <c:pt idx="8">
                  <c:v>13753.316452844856</c:v>
                </c:pt>
                <c:pt idx="9">
                  <c:v>15671.075642581414</c:v>
                </c:pt>
                <c:pt idx="10">
                  <c:v>17680.88727342532</c:v>
                </c:pt>
                <c:pt idx="11">
                  <c:v>19787.169862549748</c:v>
                </c:pt>
                <c:pt idx="12">
                  <c:v>21994.554015952137</c:v>
                </c:pt>
                <c:pt idx="13">
                  <c:v>24307.892608717852</c:v>
                </c:pt>
                <c:pt idx="14">
                  <c:v>26732.271453936301</c:v>
                </c:pt>
                <c:pt idx="15">
                  <c:v>29273.02048372526</c:v>
                </c:pt>
                <c:pt idx="16">
                  <c:v>31935.725466944081</c:v>
                </c:pt>
                <c:pt idx="17">
                  <c:v>34726.240289357404</c:v>
                </c:pt>
                <c:pt idx="18">
                  <c:v>37650.699823246548</c:v>
                </c:pt>
                <c:pt idx="19">
                  <c:v>40715.533414762416</c:v>
                </c:pt>
                <c:pt idx="20">
                  <c:v>43927.479018671002</c:v>
                </c:pt>
                <c:pt idx="21">
                  <c:v>47293.598011567221</c:v>
                </c:pt>
                <c:pt idx="22">
                  <c:v>50821.290716122443</c:v>
                </c:pt>
                <c:pt idx="23">
                  <c:v>54518.312670496343</c:v>
                </c:pt>
                <c:pt idx="24">
                  <c:v>58392.791678680165</c:v>
                </c:pt>
                <c:pt idx="25">
                  <c:v>62453.245679256812</c:v>
                </c:pt>
                <c:pt idx="26">
                  <c:v>66708.60147186114</c:v>
                </c:pt>
                <c:pt idx="27">
                  <c:v>71168.214342510502</c:v>
                </c:pt>
                <c:pt idx="28">
                  <c:v>75841.888630950998</c:v>
                </c:pt>
                <c:pt idx="29">
                  <c:v>80739.899285236679</c:v>
                </c:pt>
                <c:pt idx="30">
                  <c:v>85873.014450928022</c:v>
                </c:pt>
                <c:pt idx="31">
                  <c:v>91252.519144572623</c:v>
                </c:pt>
                <c:pt idx="32">
                  <c:v>96890.240063512116</c:v>
                </c:pt>
                <c:pt idx="33">
                  <c:v>102798.57158656071</c:v>
                </c:pt>
                <c:pt idx="34">
                  <c:v>108990.50302271561</c:v>
                </c:pt>
                <c:pt idx="35">
                  <c:v>115479.647167806</c:v>
                </c:pt>
                <c:pt idx="36">
                  <c:v>122280.2702318607</c:v>
                </c:pt>
                <c:pt idx="37">
                  <c:v>129407.32320299004</c:v>
                </c:pt>
                <c:pt idx="38">
                  <c:v>136876.47471673356</c:v>
                </c:pt>
                <c:pt idx="39">
                  <c:v>144704.1455031368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'TER (Berechnungen)'!$C$5</c:f>
              <c:strCache>
                <c:ptCount val="1"/>
                <c:pt idx="0">
                  <c:v>0,3%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(Berechnungen)'!$C$7:$C$46</c:f>
              <c:numCache>
                <c:formatCode>"€"#,##0.00_);[Red]\("€"#,##0.00\)</c:formatCode>
                <c:ptCount val="40"/>
                <c:pt idx="0">
                  <c:v>1256.399999999998</c:v>
                </c:pt>
                <c:pt idx="1">
                  <c:v>2571.8507999999933</c:v>
                </c:pt>
                <c:pt idx="2">
                  <c:v>3949.1277875999899</c:v>
                </c:pt>
                <c:pt idx="3">
                  <c:v>5391.1367936171873</c:v>
                </c:pt>
                <c:pt idx="4">
                  <c:v>6900.9202229171951</c:v>
                </c:pt>
                <c:pt idx="5">
                  <c:v>8481.6634733942938</c:v>
                </c:pt>
                <c:pt idx="6">
                  <c:v>10136.701656643823</c:v>
                </c:pt>
                <c:pt idx="7">
                  <c:v>11869.526634506077</c:v>
                </c:pt>
                <c:pt idx="8">
                  <c:v>13683.794386327865</c:v>
                </c:pt>
                <c:pt idx="9">
                  <c:v>15583.332722485266</c:v>
                </c:pt>
                <c:pt idx="10">
                  <c:v>17572.149360442065</c:v>
                </c:pt>
                <c:pt idx="11">
                  <c:v>19654.440380382839</c:v>
                </c:pt>
                <c:pt idx="12">
                  <c:v>21834.599078260835</c:v>
                </c:pt>
                <c:pt idx="13">
                  <c:v>24117.225234939076</c:v>
                </c:pt>
                <c:pt idx="14">
                  <c:v>26507.134820981217</c:v>
                </c:pt>
                <c:pt idx="15">
                  <c:v>29009.370157567319</c:v>
                </c:pt>
                <c:pt idx="16">
                  <c:v>31629.210554972979</c:v>
                </c:pt>
                <c:pt idx="17">
                  <c:v>34372.183451056691</c:v>
                </c:pt>
                <c:pt idx="18">
                  <c:v>37244.076073256358</c:v>
                </c:pt>
                <c:pt idx="19">
                  <c:v>40250.947648699403</c:v>
                </c:pt>
                <c:pt idx="20">
                  <c:v>43399.142188188271</c:v>
                </c:pt>
                <c:pt idx="21">
                  <c:v>46695.301871033109</c:v>
                </c:pt>
                <c:pt idx="22">
                  <c:v>50146.38105897166</c:v>
                </c:pt>
                <c:pt idx="23">
                  <c:v>53759.660968743316</c:v>
                </c:pt>
                <c:pt idx="24">
                  <c:v>57542.765034274242</c:v>
                </c:pt>
                <c:pt idx="25">
                  <c:v>61503.67499088512</c:v>
                </c:pt>
                <c:pt idx="26">
                  <c:v>65650.747715456702</c:v>
                </c:pt>
                <c:pt idx="27">
                  <c:v>69992.732858083167</c:v>
                </c:pt>
                <c:pt idx="28">
                  <c:v>74538.791302413068</c:v>
                </c:pt>
                <c:pt idx="29">
                  <c:v>79298.514493626455</c:v>
                </c:pt>
                <c:pt idx="30">
                  <c:v>84281.944674826882</c:v>
                </c:pt>
                <c:pt idx="31">
                  <c:v>89499.596074543733</c:v>
                </c:pt>
                <c:pt idx="32">
                  <c:v>94962.477090047309</c:v>
                </c:pt>
                <c:pt idx="33">
                  <c:v>100682.11351327949</c:v>
                </c:pt>
                <c:pt idx="34">
                  <c:v>106670.57284840359</c:v>
                </c:pt>
                <c:pt idx="35">
                  <c:v>112940.48977227858</c:v>
                </c:pt>
                <c:pt idx="36">
                  <c:v>119505.09279157566</c:v>
                </c:pt>
                <c:pt idx="37">
                  <c:v>126378.23215277969</c:v>
                </c:pt>
                <c:pt idx="38">
                  <c:v>133574.40906396031</c:v>
                </c:pt>
                <c:pt idx="39">
                  <c:v>141108.80628996642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'TER (Berechnungen)'!$D$5</c:f>
              <c:strCache>
                <c:ptCount val="1"/>
                <c:pt idx="0">
                  <c:v>0,4%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(Berechnungen)'!$D$7:$D$46</c:f>
              <c:numCache>
                <c:formatCode>"€"#,##0.00_);[Red]\("€"#,##0.00\)</c:formatCode>
                <c:ptCount val="40"/>
                <c:pt idx="0">
                  <c:v>1255.2000000000012</c:v>
                </c:pt>
                <c:pt idx="1">
                  <c:v>2568.1392000000023</c:v>
                </c:pt>
                <c:pt idx="2">
                  <c:v>3941.4736032000055</c:v>
                </c:pt>
                <c:pt idx="3">
                  <c:v>5377.9813889472052</c:v>
                </c:pt>
                <c:pt idx="4">
                  <c:v>6880.5685328387772</c:v>
                </c:pt>
                <c:pt idx="5">
                  <c:v>8452.2746853493645</c:v>
                </c:pt>
                <c:pt idx="6">
                  <c:v>10096.279320875439</c:v>
                </c:pt>
                <c:pt idx="7">
                  <c:v>11815.908169635706</c:v>
                </c:pt>
                <c:pt idx="8">
                  <c:v>13614.63994543895</c:v>
                </c:pt>
                <c:pt idx="9">
                  <c:v>15496.113382929141</c:v>
                </c:pt>
                <c:pt idx="10">
                  <c:v>17464.134598543893</c:v>
                </c:pt>
                <c:pt idx="11">
                  <c:v>19522.684790076903</c:v>
                </c:pt>
                <c:pt idx="12">
                  <c:v>21675.928290420448</c:v>
                </c:pt>
                <c:pt idx="13">
                  <c:v>23928.220991779788</c:v>
                </c:pt>
                <c:pt idx="14">
                  <c:v>26284.119157401667</c:v>
                </c:pt>
                <c:pt idx="15">
                  <c:v>28748.38863864214</c:v>
                </c:pt>
                <c:pt idx="16">
                  <c:v>31326.014516019684</c:v>
                </c:pt>
                <c:pt idx="17">
                  <c:v>34022.21118375659</c:v>
                </c:pt>
                <c:pt idx="18">
                  <c:v>36842.432898209401</c:v>
                </c:pt>
                <c:pt idx="19">
                  <c:v>39792.384811527023</c:v>
                </c:pt>
                <c:pt idx="20">
                  <c:v>42878.034512857274</c:v>
                </c:pt>
                <c:pt idx="21">
                  <c:v>46105.624100448709</c:v>
                </c:pt>
                <c:pt idx="22">
                  <c:v>49481.682809069353</c:v>
                </c:pt>
                <c:pt idx="23">
                  <c:v>53013.040218286551</c:v>
                </c:pt>
                <c:pt idx="24">
                  <c:v>56706.840068327736</c:v>
                </c:pt>
                <c:pt idx="25">
                  <c:v>60570.554711470802</c:v>
                </c:pt>
                <c:pt idx="26">
                  <c:v>64612.000228198493</c:v>
                </c:pt>
                <c:pt idx="27">
                  <c:v>68839.352238695603</c:v>
                </c:pt>
                <c:pt idx="28">
                  <c:v>73261.162441675609</c:v>
                </c:pt>
                <c:pt idx="29">
                  <c:v>77886.375913992699</c:v>
                </c:pt>
                <c:pt idx="30">
                  <c:v>82724.349206036379</c:v>
                </c:pt>
                <c:pt idx="31">
                  <c:v>87784.869269514034</c:v>
                </c:pt>
                <c:pt idx="32">
                  <c:v>93078.173255911694</c:v>
                </c:pt>
                <c:pt idx="33">
                  <c:v>98614.969225683613</c:v>
                </c:pt>
                <c:pt idx="34">
                  <c:v>104406.45781006508</c:v>
                </c:pt>
                <c:pt idx="35">
                  <c:v>110464.35486932809</c:v>
                </c:pt>
                <c:pt idx="36">
                  <c:v>116800.91519331717</c:v>
                </c:pt>
                <c:pt idx="37">
                  <c:v>123428.95729220979</c:v>
                </c:pt>
                <c:pt idx="38">
                  <c:v>130361.88932765143</c:v>
                </c:pt>
                <c:pt idx="39">
                  <c:v>137613.7362367234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'TER (Berechnungen)'!$E$5</c:f>
              <c:strCache>
                <c:ptCount val="1"/>
                <c:pt idx="0">
                  <c:v>0,5%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(Berechnungen)'!$E$7:$E$46</c:f>
              <c:numCache>
                <c:formatCode>"€"#,##0.00_);[Red]\("€"#,##0.00\)</c:formatCode>
                <c:ptCount val="40"/>
                <c:pt idx="0">
                  <c:v>1253.9999999999977</c:v>
                </c:pt>
                <c:pt idx="1">
                  <c:v>2564.4299999999939</c:v>
                </c:pt>
                <c:pt idx="2">
                  <c:v>3933.8293499999941</c:v>
                </c:pt>
                <c:pt idx="3">
                  <c:v>5364.8516707499848</c:v>
                </c:pt>
                <c:pt idx="4">
                  <c:v>6860.2699959337333</c:v>
                </c:pt>
                <c:pt idx="5">
                  <c:v>8422.9821457507423</c:v>
                </c:pt>
                <c:pt idx="6">
                  <c:v>10056.016342309527</c:v>
                </c:pt>
                <c:pt idx="7">
                  <c:v>11762.537077713445</c:v>
                </c:pt>
                <c:pt idx="8">
                  <c:v>13545.851246210546</c:v>
                </c:pt>
                <c:pt idx="9">
                  <c:v>15409.414552290014</c:v>
                </c:pt>
                <c:pt idx="10">
                  <c:v>17356.838207143064</c:v>
                </c:pt>
                <c:pt idx="11">
                  <c:v>19391.895926464491</c:v>
                </c:pt>
                <c:pt idx="12">
                  <c:v>21518.531243155398</c:v>
                </c:pt>
                <c:pt idx="13">
                  <c:v>23740.865149097375</c:v>
                </c:pt>
                <c:pt idx="14">
                  <c:v>26063.204080806765</c:v>
                </c:pt>
                <c:pt idx="15">
                  <c:v>28490.048264443045</c:v>
                </c:pt>
                <c:pt idx="16">
                  <c:v>31026.100436342982</c:v>
                </c:pt>
                <c:pt idx="17">
                  <c:v>33676.274955978406</c:v>
                </c:pt>
                <c:pt idx="18">
                  <c:v>36445.707328997429</c:v>
                </c:pt>
                <c:pt idx="19">
                  <c:v>39339.764158802289</c:v>
                </c:pt>
                <c:pt idx="20">
                  <c:v>42364.053545948409</c:v>
                </c:pt>
                <c:pt idx="21">
                  <c:v>45524.435955516055</c:v>
                </c:pt>
                <c:pt idx="22">
                  <c:v>48827.03557351428</c:v>
                </c:pt>
                <c:pt idx="23">
                  <c:v>52278.252174322406</c:v>
                </c:pt>
                <c:pt idx="24">
                  <c:v>55884.773522166914</c:v>
                </c:pt>
                <c:pt idx="25">
                  <c:v>59653.588330664403</c:v>
                </c:pt>
                <c:pt idx="26">
                  <c:v>63591.999805544307</c:v>
                </c:pt>
                <c:pt idx="27">
                  <c:v>67707.639796793766</c:v>
                </c:pt>
                <c:pt idx="28">
                  <c:v>72008.483587649505</c:v>
                </c:pt>
                <c:pt idx="29">
                  <c:v>76502.865349093699</c:v>
                </c:pt>
                <c:pt idx="30">
                  <c:v>81199.494289802926</c:v>
                </c:pt>
                <c:pt idx="31">
                  <c:v>86107.471532844007</c:v>
                </c:pt>
                <c:pt idx="32">
                  <c:v>91236.307751821951</c:v>
                </c:pt>
                <c:pt idx="33">
                  <c:v>96595.941600653925</c:v>
                </c:pt>
                <c:pt idx="34">
                  <c:v>102196.75897268337</c:v>
                </c:pt>
                <c:pt idx="35">
                  <c:v>108049.61312645407</c:v>
                </c:pt>
                <c:pt idx="36">
                  <c:v>114165.84571714452</c:v>
                </c:pt>
                <c:pt idx="37">
                  <c:v>120557.30877441599</c:v>
                </c:pt>
                <c:pt idx="38">
                  <c:v>127236.38766926472</c:v>
                </c:pt>
                <c:pt idx="39">
                  <c:v>134216.0251143816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'TER (Berechnungen)'!$F$5</c:f>
              <c:strCache>
                <c:ptCount val="1"/>
                <c:pt idx="0">
                  <c:v>0,6%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(Berechnungen)'!$F$7:$F$46</c:f>
              <c:numCache>
                <c:formatCode>"€"#,##0.00_);[Red]\("€"#,##0.00\)</c:formatCode>
                <c:ptCount val="40"/>
                <c:pt idx="0">
                  <c:v>1252.8000000000011</c:v>
                </c:pt>
                <c:pt idx="1">
                  <c:v>2560.7232000000004</c:v>
                </c:pt>
                <c:pt idx="2">
                  <c:v>3926.1950208000044</c:v>
                </c:pt>
                <c:pt idx="3">
                  <c:v>5351.7476017152021</c:v>
                </c:pt>
                <c:pt idx="4">
                  <c:v>6840.0244961906683</c:v>
                </c:pt>
                <c:pt idx="5">
                  <c:v>8393.7855740230643</c:v>
                </c:pt>
                <c:pt idx="6">
                  <c:v>10015.912139280081</c:v>
                </c:pt>
                <c:pt idx="7">
                  <c:v>11709.412273408403</c:v>
                </c:pt>
                <c:pt idx="8">
                  <c:v>13477.426413438376</c:v>
                </c:pt>
                <c:pt idx="9">
                  <c:v>15323.233175629664</c:v>
                </c:pt>
                <c:pt idx="10">
                  <c:v>17250.255435357372</c:v>
                </c:pt>
                <c:pt idx="11">
                  <c:v>19262.066674513095</c:v>
                </c:pt>
                <c:pt idx="12">
                  <c:v>21362.397608191666</c:v>
                </c:pt>
                <c:pt idx="13">
                  <c:v>23555.143102952105</c:v>
                </c:pt>
                <c:pt idx="14">
                  <c:v>25844.369399482006</c:v>
                </c:pt>
                <c:pt idx="15">
                  <c:v>28234.321653059207</c:v>
                </c:pt>
                <c:pt idx="16">
                  <c:v>30729.431805793807</c:v>
                </c:pt>
                <c:pt idx="17">
                  <c:v>33334.32680524874</c:v>
                </c:pt>
                <c:pt idx="18">
                  <c:v>36053.837184679694</c:v>
                </c:pt>
                <c:pt idx="19">
                  <c:v>38893.006020805602</c:v>
                </c:pt>
                <c:pt idx="20">
                  <c:v>41857.09828572104</c:v>
                </c:pt>
                <c:pt idx="21">
                  <c:v>44951.610610292766</c:v>
                </c:pt>
                <c:pt idx="22">
                  <c:v>48182.281477145654</c:v>
                </c:pt>
                <c:pt idx="23">
                  <c:v>51555.101862140065</c:v>
                </c:pt>
                <c:pt idx="24">
                  <c:v>55076.326344074238</c:v>
                </c:pt>
                <c:pt idx="25">
                  <c:v>58752.4847032135</c:v>
                </c:pt>
                <c:pt idx="26">
                  <c:v>62590.394030154901</c:v>
                </c:pt>
                <c:pt idx="27">
                  <c:v>66597.171367481715</c:v>
                </c:pt>
                <c:pt idx="28">
                  <c:v>70780.246907650901</c:v>
                </c:pt>
                <c:pt idx="29">
                  <c:v>75147.377771587548</c:v>
                </c:pt>
                <c:pt idx="30">
                  <c:v>79706.662393537408</c:v>
                </c:pt>
                <c:pt idx="31">
                  <c:v>84466.555538853048</c:v>
                </c:pt>
                <c:pt idx="32">
                  <c:v>89435.883982562606</c:v>
                </c:pt>
                <c:pt idx="33">
                  <c:v>94623.862877795356</c:v>
                </c:pt>
                <c:pt idx="34">
                  <c:v>100040.11284441834</c:v>
                </c:pt>
                <c:pt idx="35">
                  <c:v>105694.67780957276</c:v>
                </c:pt>
                <c:pt idx="36">
                  <c:v>111598.04363319394</c:v>
                </c:pt>
                <c:pt idx="37">
                  <c:v>117761.15755305451</c:v>
                </c:pt>
                <c:pt idx="38">
                  <c:v>124195.44848538893</c:v>
                </c:pt>
                <c:pt idx="39">
                  <c:v>130912.84821874599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'TER (Berechnungen)'!$G$5</c:f>
              <c:strCache>
                <c:ptCount val="1"/>
                <c:pt idx="0">
                  <c:v>0,7%</c:v>
                </c:pt>
              </c:strCache>
            </c:strRef>
          </c:tx>
          <c:marker>
            <c:symbol val="none"/>
          </c:marker>
          <c:xVal>
            <c:numRef>
              <c:f>'TER (Berechnungen)'!$A$7:$A$46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'TER (Berechnungen)'!$G$7:$G$46</c:f>
              <c:numCache>
                <c:formatCode>"€"#,##0.00_);[Red]\("€"#,##0.00\)</c:formatCode>
                <c:ptCount val="40"/>
                <c:pt idx="0">
                  <c:v>1251.5999999999979</c:v>
                </c:pt>
                <c:pt idx="1">
                  <c:v>2557.0187999999953</c:v>
                </c:pt>
                <c:pt idx="2">
                  <c:v>3918.5706083999894</c:v>
                </c:pt>
                <c:pt idx="3">
                  <c:v>5338.6691445611877</c:v>
                </c:pt>
                <c:pt idx="4">
                  <c:v>6819.8319177773183</c:v>
                </c:pt>
                <c:pt idx="5">
                  <c:v>8364.6846902417401</c:v>
                </c:pt>
                <c:pt idx="6">
                  <c:v>9975.9661319221268</c:v>
                </c:pt>
                <c:pt idx="7">
                  <c:v>11656.532675594779</c:v>
                </c:pt>
                <c:pt idx="8">
                  <c:v>13409.363580645349</c:v>
                </c:pt>
                <c:pt idx="9">
                  <c:v>15237.5662146131</c:v>
                </c:pt>
                <c:pt idx="10">
                  <c:v>17144.381561841452</c:v>
                </c:pt>
                <c:pt idx="11">
                  <c:v>19133.189969000636</c:v>
                </c:pt>
                <c:pt idx="12">
                  <c:v>21207.517137667659</c:v>
                </c:pt>
                <c:pt idx="13">
                  <c:v>23371.040374587374</c:v>
                </c:pt>
                <c:pt idx="14">
                  <c:v>25627.595110694616</c:v>
                </c:pt>
                <c:pt idx="15">
                  <c:v>27981.181700454479</c:v>
                </c:pt>
                <c:pt idx="16">
                  <c:v>30435.972513574026</c:v>
                </c:pt>
                <c:pt idx="17">
                  <c:v>32996.319331657694</c:v>
                </c:pt>
                <c:pt idx="18">
                  <c:v>35666.761062918973</c:v>
                </c:pt>
                <c:pt idx="19">
                  <c:v>38452.031788624481</c:v>
                </c:pt>
                <c:pt idx="20">
                  <c:v>41357.069155535333</c:v>
                </c:pt>
                <c:pt idx="21">
                  <c:v>44387.023129223358</c:v>
                </c:pt>
                <c:pt idx="22">
                  <c:v>47547.265123779929</c:v>
                </c:pt>
                <c:pt idx="23">
                  <c:v>50843.397524102482</c:v>
                </c:pt>
                <c:pt idx="24">
                  <c:v>54281.263617638877</c:v>
                </c:pt>
                <c:pt idx="25">
                  <c:v>57866.95795319735</c:v>
                </c:pt>
                <c:pt idx="26">
                  <c:v>61606.837145184822</c:v>
                </c:pt>
                <c:pt idx="27">
                  <c:v>65507.531142427753</c:v>
                </c:pt>
                <c:pt idx="28">
                  <c:v>69575.954981552146</c:v>
                </c:pt>
                <c:pt idx="29">
                  <c:v>73819.321045758887</c:v>
                </c:pt>
                <c:pt idx="30">
                  <c:v>78245.151850726499</c:v>
                </c:pt>
                <c:pt idx="31">
                  <c:v>82861.293380307747</c:v>
                </c:pt>
                <c:pt idx="32">
                  <c:v>87675.928995660972</c:v>
                </c:pt>
                <c:pt idx="33">
                  <c:v>92697.593942474385</c:v>
                </c:pt>
                <c:pt idx="34">
                  <c:v>97935.190482000762</c:v>
                </c:pt>
                <c:pt idx="35">
                  <c:v>103398.0036727268</c:v>
                </c:pt>
                <c:pt idx="36">
                  <c:v>109095.71783065403</c:v>
                </c:pt>
                <c:pt idx="37">
                  <c:v>115038.43369737217</c:v>
                </c:pt>
                <c:pt idx="38">
                  <c:v>121236.68634635911</c:v>
                </c:pt>
                <c:pt idx="39">
                  <c:v>127701.46385925257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63840"/>
        <c:axId val="181365760"/>
      </c:scatterChart>
      <c:valAx>
        <c:axId val="181363840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1365760"/>
        <c:crosses val="autoZero"/>
        <c:crossBetween val="midCat"/>
      </c:valAx>
      <c:valAx>
        <c:axId val="181365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Endkaital</a:t>
                </a:r>
              </a:p>
            </c:rich>
          </c:tx>
          <c:layout/>
          <c:overlay val="0"/>
        </c:title>
        <c:numFmt formatCode="&quot;€&quot;#,##0.00_);[Red]\(&quot;€&quot;#,##0.00\)" sourceLinked="1"/>
        <c:majorTickMark val="out"/>
        <c:minorTickMark val="none"/>
        <c:tickLblPos val="nextTo"/>
        <c:crossAx val="181363840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DE" sz="1800" b="1" i="0" baseline="0">
                <a:effectLst/>
              </a:rPr>
              <a:t>Einfluss der ETF-Besteuerung (Depotwert nach Steuern)</a:t>
            </a:r>
            <a:endParaRPr lang="de-DE">
              <a:effectLst/>
            </a:endParaRP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'ETF-Besteuerung (Berechnungen)'!$C$15</c:f>
              <c:strCache>
                <c:ptCount val="1"/>
                <c:pt idx="0">
                  <c:v>SWAP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(Berechnungen)'!$M$17:$M$56</c:f>
              <c:numCache>
                <c:formatCode>_("€"* #,##0.00_);_("€"* \(#,##0.00\);_("€"* "-"??_);_(@_)</c:formatCode>
                <c:ptCount val="40"/>
                <c:pt idx="0">
                  <c:v>1216.1892194376528</c:v>
                </c:pt>
                <c:pt idx="1">
                  <c:v>2500.7146182212709</c:v>
                </c:pt>
                <c:pt idx="2">
                  <c:v>3857.1435396856359</c:v>
                </c:pt>
                <c:pt idx="3">
                  <c:v>5289.2247050196147</c:v>
                </c:pt>
                <c:pt idx="4">
                  <c:v>6800.8973423726165</c:v>
                </c:pt>
                <c:pt idx="5">
                  <c:v>8396.30077362064</c:v>
                </c:pt>
                <c:pt idx="6">
                  <c:v>10079.784481698982</c:v>
                </c:pt>
                <c:pt idx="7">
                  <c:v>11855.918682554518</c:v>
                </c:pt>
                <c:pt idx="8">
                  <c:v>13729.50542697357</c:v>
                </c:pt>
                <c:pt idx="9">
                  <c:v>15705.590258804732</c:v>
                </c:pt>
                <c:pt idx="10">
                  <c:v>17789.474457422435</c:v>
                </c:pt>
                <c:pt idx="11">
                  <c:v>19986.727893669904</c:v>
                </c:pt>
                <c:pt idx="12">
                  <c:v>22303.202529982595</c:v>
                </c:pt>
                <c:pt idx="13">
                  <c:v>24745.046596928842</c:v>
                </c:pt>
                <c:pt idx="14">
                  <c:v>27318.719480016673</c:v>
                </c:pt>
                <c:pt idx="15">
                  <c:v>30031.007352309054</c:v>
                </c:pt>
                <c:pt idx="16">
                  <c:v>32889.039590167209</c:v>
                </c:pt>
                <c:pt idx="17">
                  <c:v>35900.306011308472</c:v>
                </c:pt>
                <c:pt idx="18">
                  <c:v>39072.674976324772</c:v>
                </c:pt>
                <c:pt idx="19">
                  <c:v>42414.412396866232</c:v>
                </c:pt>
                <c:pt idx="20">
                  <c:v>45934.201695854601</c:v>
                </c:pt>
                <c:pt idx="21">
                  <c:v>49641.164767360628</c:v>
                </c:pt>
                <c:pt idx="22">
                  <c:v>53544.883986161549</c:v>
                </c:pt>
                <c:pt idx="23">
                  <c:v>57655.425319496513</c:v>
                </c:pt>
                <c:pt idx="24">
                  <c:v>61983.362596164072</c:v>
                </c:pt>
                <c:pt idx="25">
                  <c:v>66539.802990864206</c:v>
                </c:pt>
                <c:pt idx="26">
                  <c:v>71336.413784582517</c:v>
                </c:pt>
                <c:pt idx="27">
                  <c:v>76385.450464855574</c:v>
                </c:pt>
                <c:pt idx="28">
                  <c:v>81699.786232948492</c:v>
                </c:pt>
                <c:pt idx="29">
                  <c:v>87292.942988328388</c:v>
                </c:pt>
                <c:pt idx="30">
                  <c:v>93179.123864337264</c:v>
                </c:pt>
                <c:pt idx="31">
                  <c:v>99373.247392663747</c:v>
                </c:pt>
                <c:pt idx="32">
                  <c:v>105890.9833780941</c:v>
                </c:pt>
                <c:pt idx="33">
                  <c:v>112748.79056909723</c:v>
                </c:pt>
                <c:pt idx="34">
                  <c:v>119963.95621407779</c:v>
                </c:pt>
                <c:pt idx="35">
                  <c:v>127554.63759762325</c:v>
                </c:pt>
                <c:pt idx="36">
                  <c:v>135539.90565578814</c:v>
                </c:pt>
                <c:pt idx="37">
                  <c:v>143939.79077441231</c:v>
                </c:pt>
                <c:pt idx="38">
                  <c:v>152775.33087966967</c:v>
                </c:pt>
                <c:pt idx="39">
                  <c:v>162068.621935506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'ETF-Besteuerung (Berechnungen)'!$N$15</c:f>
              <c:strCache>
                <c:ptCount val="1"/>
                <c:pt idx="0">
                  <c:v>ausschüttender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(Berechnungen)'!$AE$17:$AE$56</c:f>
              <c:numCache>
                <c:formatCode>_("€"* #,##0.00_);_("€"* \(#,##0.00\);_("€"* "-"??_);_(@_)</c:formatCode>
                <c:ptCount val="40"/>
                <c:pt idx="0">
                  <c:v>1217.6220607254279</c:v>
                </c:pt>
                <c:pt idx="1">
                  <c:v>2507.1359063205732</c:v>
                </c:pt>
                <c:pt idx="2">
                  <c:v>3869.906397883331</c:v>
                </c:pt>
                <c:pt idx="3">
                  <c:v>5310.3404786944011</c:v>
                </c:pt>
                <c:pt idx="4">
                  <c:v>6832.3013488623492</c:v>
                </c:pt>
                <c:pt idx="5">
                  <c:v>8439.8353237490755</c:v>
                </c:pt>
                <c:pt idx="6">
                  <c:v>10137.180346852825</c:v>
                </c:pt>
                <c:pt idx="7">
                  <c:v>11928.774895224036</c:v>
                </c:pt>
                <c:pt idx="8">
                  <c:v>13819.267295450338</c:v>
                </c:pt>
                <c:pt idx="9">
                  <c:v>15813.52546907448</c:v>
                </c:pt>
                <c:pt idx="10">
                  <c:v>17916.647127174358</c:v>
                </c:pt>
                <c:pt idx="11">
                  <c:v>20133.970434739462</c:v>
                </c:pt>
                <c:pt idx="12">
                  <c:v>22471.085166424607</c:v>
                </c:pt>
                <c:pt idx="13">
                  <c:v>24933.844376251771</c:v>
                </c:pt>
                <c:pt idx="14">
                  <c:v>27528.376604866371</c:v>
                </c:pt>
                <c:pt idx="15">
                  <c:v>30261.098649036936</c:v>
                </c:pt>
                <c:pt idx="16">
                  <c:v>33138.728919219822</c:v>
                </c:pt>
                <c:pt idx="17">
                  <c:v>36168.301412194895</c:v>
                </c:pt>
                <c:pt idx="18">
                  <c:v>39357.180327016787</c:v>
                </c:pt>
                <c:pt idx="19">
                  <c:v>42713.07535382206</c:v>
                </c:pt>
                <c:pt idx="20">
                  <c:v>46244.057666386914</c:v>
                </c:pt>
                <c:pt idx="21">
                  <c:v>49958.576650747884</c:v>
                </c:pt>
                <c:pt idx="22">
                  <c:v>53865.47740367912</c:v>
                </c:pt>
                <c:pt idx="23">
                  <c:v>57974.019036370235</c:v>
                </c:pt>
                <c:pt idx="24">
                  <c:v>62293.893820269303</c:v>
                </c:pt>
                <c:pt idx="25">
                  <c:v>66835.24721375115</c:v>
                </c:pt>
                <c:pt idx="26">
                  <c:v>71608.698810043745</c:v>
                </c:pt>
                <c:pt idx="27">
                  <c:v>76625.36424869961</c:v>
                </c:pt>
                <c:pt idx="28">
                  <c:v>81896.878134838975</c:v>
                </c:pt>
                <c:pt idx="29">
                  <c:v>87435.418012418522</c:v>
                </c:pt>
                <c:pt idx="30">
                  <c:v>93253.729439901799</c:v>
                </c:pt>
                <c:pt idx="31">
                  <c:v>99365.152218924384</c:v>
                </c:pt>
                <c:pt idx="32">
                  <c:v>105783.64782886804</c:v>
                </c:pt>
                <c:pt idx="33">
                  <c:v>112523.82812268357</c:v>
                </c:pt>
                <c:pt idx="34">
                  <c:v>119600.98534184007</c:v>
                </c:pt>
                <c:pt idx="35">
                  <c:v>127031.12351093195</c:v>
                </c:pt>
                <c:pt idx="36">
                  <c:v>134830.9912752503</c:v>
                </c:pt>
                <c:pt idx="37">
                  <c:v>143018.11624752873</c:v>
                </c:pt>
                <c:pt idx="38">
                  <c:v>151610.84093310824</c:v>
                </c:pt>
                <c:pt idx="39">
                  <c:v>160628.36030594213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'ETF-Besteuerung (Berechnungen)'!$AF$15</c:f>
              <c:strCache>
                <c:ptCount val="1"/>
                <c:pt idx="0">
                  <c:v>ausländisch thesaurierender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(Berechnungen)'!$AX$17:$AX$56</c:f>
              <c:numCache>
                <c:formatCode>_("€"* #,##0.00_);_("€"* \(#,##0.00\);_("€"* "-"??_);_(@_)</c:formatCode>
                <c:ptCount val="40"/>
                <c:pt idx="0">
                  <c:v>1217.850869193154</c:v>
                </c:pt>
                <c:pt idx="1">
                  <c:v>2508.9332555628607</c:v>
                </c:pt>
                <c:pt idx="2">
                  <c:v>3874.8885144387791</c:v>
                </c:pt>
                <c:pt idx="3">
                  <c:v>5320.1411801594004</c:v>
                </c:pt>
                <c:pt idx="4">
                  <c:v>6848.6407603883672</c:v>
                </c:pt>
                <c:pt idx="5">
                  <c:v>8464.5227992219643</c:v>
                </c:pt>
                <c:pt idx="6">
                  <c:v>10172.117447056909</c:v>
                </c:pt>
                <c:pt idx="7">
                  <c:v>11975.958421580332</c:v>
                </c:pt>
                <c:pt idx="8">
                  <c:v>13880.79237765815</c:v>
                </c:pt>
                <c:pt idx="9">
                  <c:v>15891.588704704425</c:v>
                </c:pt>
                <c:pt idx="10">
                  <c:v>18013.549770957372</c:v>
                </c:pt>
                <c:pt idx="11">
                  <c:v>20252.121634968833</c:v>
                </c:pt>
                <c:pt idx="12">
                  <c:v>22613.005245535402</c:v>
                </c:pt>
                <c:pt idx="13">
                  <c:v>25102.16815226202</c:v>
                </c:pt>
                <c:pt idx="14">
                  <c:v>27725.856749955776</c:v>
                </c:pt>
                <c:pt idx="15">
                  <c:v>30490.609081099621</c:v>
                </c:pt>
                <c:pt idx="16">
                  <c:v>33403.268221755832</c:v>
                </c:pt>
                <c:pt idx="17">
                  <c:v>36470.996277398626</c:v>
                </c:pt>
                <c:pt idx="18">
                  <c:v>39701.289016377399</c:v>
                </c:pt>
                <c:pt idx="19">
                  <c:v>43101.991169968431</c:v>
                </c:pt>
                <c:pt idx="20">
                  <c:v>46681.312429285957</c:v>
                </c:pt>
                <c:pt idx="21">
                  <c:v>50447.844170696968</c:v>
                </c:pt>
                <c:pt idx="22">
                  <c:v>54410.576942818276</c:v>
                </c:pt>
                <c:pt idx="23">
                  <c:v>58578.918749675548</c:v>
                </c:pt>
                <c:pt idx="24">
                  <c:v>62962.71416617123</c:v>
                </c:pt>
                <c:pt idx="25">
                  <c:v>67572.26432364808</c:v>
                </c:pt>
                <c:pt idx="26">
                  <c:v>72418.347805048208</c:v>
                </c:pt>
                <c:pt idx="27">
                  <c:v>77512.242490958815</c:v>
                </c:pt>
                <c:pt idx="28">
                  <c:v>82865.748399708071</c:v>
                </c:pt>
                <c:pt idx="29">
                  <c:v>88491.211566631959</c:v>
                </c:pt>
                <c:pt idx="30">
                  <c:v>94401.54900967842</c:v>
                </c:pt>
                <c:pt idx="31">
                  <c:v>100610.27483065413</c:v>
                </c:pt>
                <c:pt idx="32">
                  <c:v>107131.52750365494</c:v>
                </c:pt>
                <c:pt idx="33">
                  <c:v>113980.09840455688</c:v>
                </c:pt>
                <c:pt idx="34">
                  <c:v>121171.46163788886</c:v>
                </c:pt>
                <c:pt idx="35">
                  <c:v>128721.80521996068</c:v>
                </c:pt>
                <c:pt idx="36">
                  <c:v>136648.06367978902</c:v>
                </c:pt>
                <c:pt idx="37">
                  <c:v>144967.95214215523</c:v>
                </c:pt>
                <c:pt idx="38">
                  <c:v>153700.0019600447</c:v>
                </c:pt>
                <c:pt idx="39">
                  <c:v>162863.59796676578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'ETF-Besteuerung (Berechnungen)'!$AY$15:$BN$15</c:f>
              <c:strCache>
                <c:ptCount val="1"/>
                <c:pt idx="0">
                  <c:v>inländisch thesaurierender Fonds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(Berechnungen)'!$BN$17:$BN$56</c:f>
              <c:numCache>
                <c:formatCode>_("€"* #,##0.00_);_("€"* \(#,##0.00\);_("€"* "-"??_);_(@_)</c:formatCode>
                <c:ptCount val="40"/>
                <c:pt idx="0">
                  <c:v>1217.9203586552569</c:v>
                </c:pt>
                <c:pt idx="1">
                  <c:v>2507.8057577267268</c:v>
                </c:pt>
                <c:pt idx="2">
                  <c:v>3871.2990723769981</c:v>
                </c:pt>
                <c:pt idx="3">
                  <c:v>5312.7533606746574</c:v>
                </c:pt>
                <c:pt idx="4">
                  <c:v>6836.063723022502</c:v>
                </c:pt>
                <c:pt idx="5">
                  <c:v>8445.3108008237687</c:v>
                </c:pt>
                <c:pt idx="6">
                  <c:v>10144.769447380597</c:v>
                </c:pt>
                <c:pt idx="7">
                  <c:v>11938.917800774285</c:v>
                </c:pt>
                <c:pt idx="8">
                  <c:v>13832.446777299319</c:v>
                </c:pt>
                <c:pt idx="9">
                  <c:v>15830.27000488002</c:v>
                </c:pt>
                <c:pt idx="10">
                  <c:v>17937.534216794786</c:v>
                </c:pt>
                <c:pt idx="11">
                  <c:v>20159.630126970744</c:v>
                </c:pt>
                <c:pt idx="12">
                  <c:v>22502.203809092163</c:v>
                </c:pt>
                <c:pt idx="13">
                  <c:v>24971.168602792262</c:v>
                </c:pt>
                <c:pt idx="14">
                  <c:v>27572.717571271292</c:v>
                </c:pt>
                <c:pt idx="15">
                  <c:v>30313.336535806538</c:v>
                </c:pt>
                <c:pt idx="16">
                  <c:v>33199.817713794655</c:v>
                </c:pt>
                <c:pt idx="17">
                  <c:v>36239.273988195302</c:v>
                </c:pt>
                <c:pt idx="18">
                  <c:v>39439.15383753051</c:v>
                </c:pt>
                <c:pt idx="19">
                  <c:v>42807.256956938865</c:v>
                </c:pt>
                <c:pt idx="20">
                  <c:v>46351.750602190208</c:v>
                </c:pt>
                <c:pt idx="21">
                  <c:v>50081.186690037895</c:v>
                </c:pt>
                <c:pt idx="22">
                  <c:v>54004.519689825232</c:v>
                </c:pt>
                <c:pt idx="23">
                  <c:v>58131.125342872605</c:v>
                </c:pt>
                <c:pt idx="24">
                  <c:v>62470.820247856595</c:v>
                </c:pt>
                <c:pt idx="25">
                  <c:v>67033.88235215428</c:v>
                </c:pt>
                <c:pt idx="26">
                  <c:v>71831.072390969508</c:v>
                </c:pt>
                <c:pt idx="27">
                  <c:v>76873.656317985922</c:v>
                </c:pt>
                <c:pt idx="28">
                  <c:v>82173.428773309104</c:v>
                </c:pt>
                <c:pt idx="29">
                  <c:v>87742.737636570106</c:v>
                </c:pt>
                <c:pt idx="30">
                  <c:v>93594.509715270193</c:v>
                </c:pt>
                <c:pt idx="31">
                  <c:v>99742.277620755965</c:v>
                </c:pt>
                <c:pt idx="32">
                  <c:v>106200.20788662936</c:v>
                </c:pt>
                <c:pt idx="33">
                  <c:v>112983.13038692434</c:v>
                </c:pt>
                <c:pt idx="34">
                  <c:v>120106.56911402552</c:v>
                </c:pt>
                <c:pt idx="35">
                  <c:v>127586.77437906893</c:v>
                </c:pt>
                <c:pt idx="36">
                  <c:v>135440.75650045837</c:v>
                </c:pt>
                <c:pt idx="37">
                  <c:v>143686.32104915686</c:v>
                </c:pt>
                <c:pt idx="38">
                  <c:v>152342.10572257769</c:v>
                </c:pt>
                <c:pt idx="39">
                  <c:v>161427.61892221202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97376"/>
        <c:axId val="188882944"/>
      </c:scatterChart>
      <c:valAx>
        <c:axId val="181397376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882944"/>
        <c:crosses val="autoZero"/>
        <c:crossBetween val="midCat"/>
      </c:valAx>
      <c:valAx>
        <c:axId val="188882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Erlös abzg. Steuern am Ende der Anlagezeit</a:t>
                </a:r>
              </a:p>
            </c:rich>
          </c:tx>
          <c:layout/>
          <c:overlay val="0"/>
        </c:title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8139737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Einfluss der ETF-Besteuerung (Depotwert</a:t>
            </a:r>
            <a:r>
              <a:rPr lang="de-DE" baseline="0"/>
              <a:t> vor Steuern)</a:t>
            </a:r>
            <a:endParaRPr lang="de-DE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'ETF-Besteuerung (Berechnungen)'!$C$15</c:f>
              <c:strCache>
                <c:ptCount val="1"/>
                <c:pt idx="0">
                  <c:v>SWAP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(Berechnungen)'!$H$17:$H$56</c:f>
              <c:numCache>
                <c:formatCode>_("€"* #,##0.00_);_("€"* \(#,##0.00\);_("€"* "-"??_);_(@_)</c:formatCode>
                <c:ptCount val="40"/>
                <c:pt idx="0">
                  <c:v>1241.1000000000001</c:v>
                </c:pt>
                <c:pt idx="1">
                  <c:v>2569.0769999999998</c:v>
                </c:pt>
                <c:pt idx="2">
                  <c:v>3988.7712900000001</c:v>
                </c:pt>
                <c:pt idx="3">
                  <c:v>5505.2751033000004</c:v>
                </c:pt>
                <c:pt idx="4">
                  <c:v>7123.9454122410007</c:v>
                </c:pt>
                <c:pt idx="5">
                  <c:v>8850.4173677045728</c:v>
                </c:pt>
                <c:pt idx="6">
                  <c:v>10690.618414638353</c:v>
                </c:pt>
                <c:pt idx="7">
                  <c:v>12650.783117489795</c:v>
                </c:pt>
                <c:pt idx="8">
                  <c:v>14737.468731126195</c:v>
                </c:pt>
                <c:pt idx="9">
                  <c:v>16957.571554599654</c:v>
                </c:pt>
                <c:pt idx="10">
                  <c:v>19318.344106985132</c:v>
                </c:pt>
                <c:pt idx="11">
                  <c:v>21827.413166482995</c:v>
                </c:pt>
                <c:pt idx="12">
                  <c:v>24492.798716038717</c:v>
                </c:pt>
                <c:pt idx="13">
                  <c:v>27322.933840896865</c:v>
                </c:pt>
                <c:pt idx="14">
                  <c:v>30326.685625779042</c:v>
                </c:pt>
                <c:pt idx="15">
                  <c:v>33513.377101762075</c:v>
                </c:pt>
                <c:pt idx="16">
                  <c:v>36892.810295438139</c:v>
                </c:pt>
                <c:pt idx="17">
                  <c:v>40475.290435569768</c:v>
                </c:pt>
                <c:pt idx="18">
                  <c:v>44271.651375215173</c:v>
                </c:pt>
                <c:pt idx="19">
                  <c:v>48293.282290200179</c:v>
                </c:pt>
                <c:pt idx="20">
                  <c:v>52552.155717858928</c:v>
                </c:pt>
                <c:pt idx="21">
                  <c:v>57060.85700316359</c:v>
                </c:pt>
                <c:pt idx="22">
                  <c:v>61832.615222721717</c:v>
                </c:pt>
                <c:pt idx="23">
                  <c:v>66881.335660645753</c:v>
                </c:pt>
                <c:pt idx="24">
                  <c:v>72221.633914001737</c:v>
                </c:pt>
                <c:pt idx="25">
                  <c:v>77868.871709432002</c:v>
                </c:pt>
                <c:pt idx="26">
                  <c:v>83839.194516628399</c:v>
                </c:pt>
                <c:pt idx="27">
                  <c:v>90149.571048619095</c:v>
                </c:pt>
                <c:pt idx="28">
                  <c:v>96817.834743332511</c:v>
                </c:pt>
                <c:pt idx="29">
                  <c:v>103862.72732562726</c:v>
                </c:pt>
                <c:pt idx="30">
                  <c:v>111303.94455393931</c:v>
                </c:pt>
                <c:pt idx="31">
                  <c:v>119162.18426090755</c:v>
                </c:pt>
                <c:pt idx="32">
                  <c:v>127459.19680280965</c:v>
                </c:pt>
                <c:pt idx="33">
                  <c:v>136217.83803838398</c:v>
                </c:pt>
                <c:pt idx="34">
                  <c:v>145462.12496364568</c:v>
                </c:pt>
                <c:pt idx="35">
                  <c:v>155217.29413563735</c:v>
                </c:pt>
                <c:pt idx="36">
                  <c:v>165509.8630247048</c:v>
                </c:pt>
                <c:pt idx="37">
                  <c:v>176367.69444187131</c:v>
                </c:pt>
                <c:pt idx="38">
                  <c:v>187820.06419521477</c:v>
                </c:pt>
                <c:pt idx="39">
                  <c:v>199897.73213685045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'ETF-Besteuerung (Berechnungen)'!$N$15</c:f>
              <c:strCache>
                <c:ptCount val="1"/>
                <c:pt idx="0">
                  <c:v>ausschüttender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(Berechnungen)'!$Y$17:$Y$56</c:f>
              <c:numCache>
                <c:formatCode>_("€"* #,##0.00_);_("€"* \(#,##0.00\);_("€"* "-"??_);_(@_)</c:formatCode>
                <c:ptCount val="40"/>
                <c:pt idx="0">
                  <c:v>1236.1645286552568</c:v>
                </c:pt>
                <c:pt idx="1">
                  <c:v>2553.6989375917069</c:v>
                </c:pt>
                <c:pt idx="2">
                  <c:v>3956.8264246107992</c:v>
                </c:pt>
                <c:pt idx="3">
                  <c:v>5449.9736026494465</c:v>
                </c:pt>
                <c:pt idx="4">
                  <c:v>7037.7800189580003</c:v>
                </c:pt>
                <c:pt idx="5">
                  <c:v>8725.1081144452819</c:v>
                </c:pt>
                <c:pt idx="6">
                  <c:v>10517.053643440207</c:v>
                </c:pt>
                <c:pt idx="7">
                  <c:v>12418.956575049047</c:v>
                </c:pt>
                <c:pt idx="8">
                  <c:v>14436.412498259489</c:v>
                </c:pt>
                <c:pt idx="9">
                  <c:v>16575.284553959435</c:v>
                </c:pt>
                <c:pt idx="10">
                  <c:v>18841.71591810169</c:v>
                </c:pt>
                <c:pt idx="11">
                  <c:v>21242.142861357934</c:v>
                </c:pt>
                <c:pt idx="12">
                  <c:v>23783.308411768354</c:v>
                </c:pt>
                <c:pt idx="13">
                  <c:v>26472.276648109731</c:v>
                </c:pt>
                <c:pt idx="14">
                  <c:v>29316.447652977149</c:v>
                </c:pt>
                <c:pt idx="15">
                  <c:v>32323.573155904745</c:v>
                </c:pt>
                <c:pt idx="16">
                  <c:v>35501.772898242729</c:v>
                </c:pt>
                <c:pt idx="17">
                  <c:v>38859.551752963125</c:v>
                </c:pt>
                <c:pt idx="18">
                  <c:v>42405.817634088686</c:v>
                </c:pt>
                <c:pt idx="19">
                  <c:v>46149.900232031621</c:v>
                </c:pt>
                <c:pt idx="20">
                  <c:v>50101.570612793061</c:v>
                </c:pt>
                <c:pt idx="21">
                  <c:v>54271.061720716069</c:v>
                </c:pt>
                <c:pt idx="22">
                  <c:v>58669.089826305426</c:v>
                </c:pt>
                <c:pt idx="23">
                  <c:v>63306.876962532267</c:v>
                </c:pt>
                <c:pt idx="24">
                  <c:v>68196.17439503326</c:v>
                </c:pt>
                <c:pt idx="25">
                  <c:v>73349.287173697405</c:v>
                </c:pt>
                <c:pt idx="26">
                  <c:v>78779.099815311958</c:v>
                </c:pt>
                <c:pt idx="27">
                  <c:v>84499.103169217487</c:v>
                </c:pt>
                <c:pt idx="28">
                  <c:v>90523.422520305321</c:v>
                </c:pt>
                <c:pt idx="29">
                  <c:v>96866.846986182543</c:v>
                </c:pt>
                <c:pt idx="30">
                  <c:v>103544.86026793653</c:v>
                </c:pt>
                <c:pt idx="31">
                  <c:v>110573.67281665657</c:v>
                </c:pt>
                <c:pt idx="32">
                  <c:v>117970.25548072143</c:v>
                </c:pt>
                <c:pt idx="33">
                  <c:v>125752.37470184325</c:v>
                </c:pt>
                <c:pt idx="34">
                  <c:v>133938.62933097631</c:v>
                </c:pt>
                <c:pt idx="35">
                  <c:v>142548.48913846092</c:v>
                </c:pt>
                <c:pt idx="36">
                  <c:v>151602.33509618268</c:v>
                </c:pt>
                <c:pt idx="37">
                  <c:v>161121.50151309546</c:v>
                </c:pt>
                <c:pt idx="38">
                  <c:v>171128.32010918626</c:v>
                </c:pt>
                <c:pt idx="39">
                  <c:v>181646.16611686238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'ETF-Besteuerung (Berechnungen)'!$AF$15</c:f>
              <c:strCache>
                <c:ptCount val="1"/>
                <c:pt idx="0">
                  <c:v>ausländisch thesaurierender Fonds</c:v>
                </c:pt>
              </c:strCache>
            </c:strRef>
          </c:tx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(Berechnungen)'!$AR$17:$AR$56</c:f>
              <c:numCache>
                <c:formatCode>_("€"* #,##0.00_);_("€"* \(#,##0.00\);_("€"* "-"??_);_(@_)</c:formatCode>
                <c:ptCount val="40"/>
                <c:pt idx="0">
                  <c:v>1241.1000000000001</c:v>
                </c:pt>
                <c:pt idx="1">
                  <c:v>2564.1198774558457</c:v>
                </c:pt>
                <c:pt idx="2">
                  <c:v>3973.2956654106674</c:v>
                </c:pt>
                <c:pt idx="3">
                  <c:v>5473.0576149175149</c:v>
                </c:pt>
                <c:pt idx="4">
                  <c:v>7068.0498562532275</c:v>
                </c:pt>
                <c:pt idx="5">
                  <c:v>8763.1376342081294</c:v>
                </c:pt>
                <c:pt idx="6">
                  <c:v>10563.417539800548</c:v>
                </c:pt>
                <c:pt idx="7">
                  <c:v>12474.228209871208</c:v>
                </c:pt>
                <c:pt idx="8">
                  <c:v>14501.161515839756</c:v>
                </c:pt>
                <c:pt idx="9">
                  <c:v>16650.074263871611</c:v>
                </c:pt>
                <c:pt idx="10">
                  <c:v>18927.100429712878</c:v>
                </c:pt>
                <c:pt idx="11">
                  <c:v>21338.663952506638</c:v>
                </c:pt>
                <c:pt idx="12">
                  <c:v>23891.492113007222</c:v>
                </c:pt>
                <c:pt idx="13">
                  <c:v>26592.629522762272</c:v>
                </c:pt>
                <c:pt idx="14">
                  <c:v>29449.4527520382</c:v>
                </c:pt>
                <c:pt idx="15">
                  <c:v>32469.685625524769</c:v>
                </c:pt>
                <c:pt idx="16">
                  <c:v>35661.415216172121</c:v>
                </c:pt>
                <c:pt idx="17">
                  <c:v>39033.108568890471</c:v>
                </c:pt>
                <c:pt idx="18">
                  <c:v>42593.630187282513</c:v>
                </c:pt>
                <c:pt idx="19">
                  <c:v>46352.260318083303</c:v>
                </c:pt>
                <c:pt idx="20">
                  <c:v>50318.714069555426</c:v>
                </c:pt>
                <c:pt idx="21">
                  <c:v>54503.161401731682</c:v>
                </c:pt>
                <c:pt idx="22">
                  <c:v>58916.248028116373</c:v>
                </c:pt>
                <c:pt idx="23">
                  <c:v>63569.117270253264</c:v>
                </c:pt>
                <c:pt idx="24">
                  <c:v>68473.432908446324</c:v>
                </c:pt>
                <c:pt idx="25">
                  <c:v>73641.40307388299</c:v>
                </c:pt>
                <c:pt idx="26">
                  <c:v>79085.805229462159</c:v>
                </c:pt>
                <c:pt idx="27">
                  <c:v>84820.012288774145</c:v>
                </c:pt>
                <c:pt idx="28">
                  <c:v>90858.019924923399</c:v>
                </c:pt>
                <c:pt idx="29">
                  <c:v>97214.475123228112</c:v>
                </c:pt>
                <c:pt idx="30">
                  <c:v>103904.70603428238</c:v>
                </c:pt>
                <c:pt idx="31">
                  <c:v>110944.75318642765</c:v>
                </c:pt>
                <c:pt idx="32">
                  <c:v>118351.40211935849</c:v>
                </c:pt>
                <c:pt idx="33">
                  <c:v>126142.21750338645</c:v>
                </c:pt>
                <c:pt idx="34">
                  <c:v>134335.5788118123</c:v>
                </c:pt>
                <c:pt idx="35">
                  <c:v>142950.71761691524</c:v>
                </c:pt>
                <c:pt idx="36">
                  <c:v>152007.75658326515</c:v>
                </c:pt>
                <c:pt idx="37">
                  <c:v>161527.7502354063</c:v>
                </c:pt>
                <c:pt idx="38">
                  <c:v>171532.72758045464</c:v>
                </c:pt>
                <c:pt idx="39">
                  <c:v>182045.73666980199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'ETF-Besteuerung (Berechnungen)'!$AY$15:$BN$15</c:f>
              <c:strCache>
                <c:ptCount val="1"/>
                <c:pt idx="0">
                  <c:v>inländisch thesaurierender Fonds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'ETF-Besteuerung (Berechnungen)'!$A$17:$A$56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'ETF-Besteuerung (Berechnungen)'!$BH$17:$BH$56</c:f>
              <c:numCache>
                <c:formatCode>_("€"* #,##0.00_);_("€"* \(#,##0.00\);_("€"* "-"??_);_(@_)</c:formatCode>
                <c:ptCount val="40"/>
                <c:pt idx="0">
                  <c:v>1236.4673691931541</c:v>
                </c:pt>
                <c:pt idx="1">
                  <c:v>2554.6413486239203</c:v>
                </c:pt>
                <c:pt idx="2">
                  <c:v>3958.7816217757909</c:v>
                </c:pt>
                <c:pt idx="3">
                  <c:v>5453.3540530022947</c:v>
                </c:pt>
                <c:pt idx="4">
                  <c:v>7043.0403863174224</c:v>
                </c:pt>
                <c:pt idx="5">
                  <c:v>8732.7483950696405</c:v>
                </c:pt>
                <c:pt idx="6">
                  <c:v>10527.622503355666</c:v>
                </c:pt>
                <c:pt idx="7">
                  <c:v>12433.054900992813</c:v>
                </c:pt>
                <c:pt idx="8">
                  <c:v>14454.697174875741</c:v>
                </c:pt>
                <c:pt idx="9">
                  <c:v>16598.472480596945</c:v>
                </c:pt>
                <c:pt idx="10">
                  <c:v>18870.588279312349</c:v>
                </c:pt>
                <c:pt idx="11">
                  <c:v>21277.549665986298</c:v>
                </c:pt>
                <c:pt idx="12">
                  <c:v>23826.173316356173</c:v>
                </c:pt>
                <c:pt idx="13">
                  <c:v>26523.602081218582</c:v>
                </c:pt>
                <c:pt idx="14">
                  <c:v>29377.32025795892</c:v>
                </c:pt>
                <c:pt idx="15">
                  <c:v>32395.16957062656</c:v>
                </c:pt>
                <c:pt idx="16">
                  <c:v>35585.365891302594</c:v>
                </c:pt>
                <c:pt idx="17">
                  <c:v>38956.516737017642</c:v>
                </c:pt>
                <c:pt idx="18">
                  <c:v>42517.639578058057</c:v>
                </c:pt>
                <c:pt idx="19">
                  <c:v>46278.180995152135</c:v>
                </c:pt>
                <c:pt idx="20">
                  <c:v>50248.036724757825</c:v>
                </c:pt>
                <c:pt idx="21">
                  <c:v>54437.57263348269</c:v>
                </c:pt>
                <c:pt idx="22">
                  <c:v>58857.646664559827</c:v>
                </c:pt>
                <c:pt idx="23">
                  <c:v>63519.631801283547</c:v>
                </c:pt>
                <c:pt idx="24">
                  <c:v>68435.440094380101</c:v>
                </c:pt>
                <c:pt idx="25">
                  <c:v>73617.54780245549</c:v>
                </c:pt>
                <c:pt idx="26">
                  <c:v>79079.021696929383</c:v>
                </c:pt>
                <c:pt idx="27">
                  <c:v>84833.54658523525</c:v>
                </c:pt>
                <c:pt idx="28">
                  <c:v>90895.454108547987</c:v>
                </c:pt>
                <c:pt idx="29">
                  <c:v>97279.7528728943</c:v>
                </c:pt>
                <c:pt idx="30">
                  <c:v>104002.15997521693</c:v>
                </c:pt>
                <c:pt idx="31">
                  <c:v>111079.13398880254</c:v>
                </c:pt>
                <c:pt idx="32">
                  <c:v>118527.90947545446</c:v>
                </c:pt>
                <c:pt idx="33">
                  <c:v>126366.53309489856</c:v>
                </c:pt>
                <c:pt idx="34">
                  <c:v>134613.90138516182</c:v>
                </c:pt>
                <c:pt idx="35">
                  <c:v>143289.80029106361</c:v>
                </c:pt>
                <c:pt idx="36">
                  <c:v>152414.94652151718</c:v>
                </c:pt>
                <c:pt idx="37">
                  <c:v>162011.03082006064</c:v>
                </c:pt>
                <c:pt idx="38">
                  <c:v>172100.76323692908</c:v>
                </c:pt>
                <c:pt idx="39">
                  <c:v>182707.92049505273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920192"/>
        <c:axId val="188922112"/>
      </c:scatterChart>
      <c:valAx>
        <c:axId val="188920192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Anlagezeit [Jahre]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922112"/>
        <c:crosses val="autoZero"/>
        <c:crossBetween val="midCat"/>
      </c:valAx>
      <c:valAx>
        <c:axId val="188922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Gesamtwert am 31.12.</a:t>
                </a:r>
              </a:p>
            </c:rich>
          </c:tx>
          <c:layout/>
          <c:overlay val="0"/>
        </c:title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8892019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2</xdr:row>
      <xdr:rowOff>57149</xdr:rowOff>
    </xdr:from>
    <xdr:to>
      <xdr:col>5</xdr:col>
      <xdr:colOff>808723</xdr:colOff>
      <xdr:row>28</xdr:row>
      <xdr:rowOff>134624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895350</xdr:colOff>
      <xdr:row>2</xdr:row>
      <xdr:rowOff>66674</xdr:rowOff>
    </xdr:from>
    <xdr:to>
      <xdr:col>14</xdr:col>
      <xdr:colOff>265800</xdr:colOff>
      <xdr:row>28</xdr:row>
      <xdr:rowOff>144149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absoluteAnchor>
    <xdr:pos x="7343775" y="8734425"/>
    <xdr:ext cx="7200000" cy="5040000"/>
    <xdr:graphicFrame macro="">
      <xdr:nvGraphicFramePr>
        <xdr:cNvPr id="4" name="Diagramm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9050" y="8724899"/>
    <xdr:ext cx="7200000" cy="5038725"/>
    <xdr:graphicFrame macro="">
      <xdr:nvGraphicFramePr>
        <xdr:cNvPr id="5" name="Diagramm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topLeftCell="A25" workbookViewId="0">
      <selection activeCell="B35" sqref="B35"/>
    </sheetView>
  </sheetViews>
  <sheetFormatPr baseColWidth="10" defaultRowHeight="15" x14ac:dyDescent="0.25"/>
  <cols>
    <col min="1" max="1" width="24.140625" bestFit="1" customWidth="1"/>
    <col min="2" max="3" width="13" bestFit="1" customWidth="1"/>
    <col min="4" max="4" width="32.42578125" bestFit="1" customWidth="1"/>
    <col min="5" max="8" width="14.28515625" customWidth="1"/>
    <col min="11" max="11" width="17.42578125" bestFit="1" customWidth="1"/>
  </cols>
  <sheetData>
    <row r="1" spans="1:2" ht="16.5" thickTop="1" thickBot="1" x14ac:dyDescent="0.3">
      <c r="A1" s="33" t="s">
        <v>21</v>
      </c>
      <c r="B1" s="37">
        <v>1200</v>
      </c>
    </row>
    <row r="2" spans="1:2" ht="16.5" thickTop="1" thickBot="1" x14ac:dyDescent="0.3">
      <c r="A2" s="33" t="s">
        <v>22</v>
      </c>
      <c r="B2" s="38">
        <v>0.05</v>
      </c>
    </row>
    <row r="3" spans="1:2" ht="15.75" thickTop="1" x14ac:dyDescent="0.25"/>
    <row r="24" spans="1:12" x14ac:dyDescent="0.25">
      <c r="L24" s="22"/>
    </row>
    <row r="25" spans="1:12" x14ac:dyDescent="0.25">
      <c r="L25" s="23"/>
    </row>
    <row r="26" spans="1:12" x14ac:dyDescent="0.25">
      <c r="L26" s="23"/>
    </row>
    <row r="27" spans="1:12" x14ac:dyDescent="0.25">
      <c r="L27" s="23"/>
    </row>
    <row r="28" spans="1:12" x14ac:dyDescent="0.25">
      <c r="L28" s="23"/>
    </row>
    <row r="29" spans="1:12" x14ac:dyDescent="0.25">
      <c r="L29" s="23"/>
    </row>
    <row r="30" spans="1:12" ht="15.75" thickBot="1" x14ac:dyDescent="0.3"/>
    <row r="31" spans="1:12" ht="16.5" thickTop="1" thickBot="1" x14ac:dyDescent="0.3">
      <c r="A31" s="33" t="s">
        <v>7</v>
      </c>
      <c r="B31" s="34">
        <v>0.05</v>
      </c>
      <c r="D31" s="7" t="s">
        <v>36</v>
      </c>
      <c r="E31" s="65" t="s">
        <v>29</v>
      </c>
      <c r="F31" s="65"/>
      <c r="G31" s="65"/>
      <c r="H31" s="65"/>
      <c r="I31" s="65"/>
      <c r="J31" s="65"/>
      <c r="K31" s="65"/>
      <c r="L31" s="65"/>
    </row>
    <row r="32" spans="1:12" ht="16.5" thickTop="1" thickBot="1" x14ac:dyDescent="0.3">
      <c r="A32" s="33" t="s">
        <v>0</v>
      </c>
      <c r="B32" s="34">
        <v>0.02</v>
      </c>
      <c r="D32" s="4" t="s">
        <v>35</v>
      </c>
      <c r="E32" s="66" t="s">
        <v>27</v>
      </c>
      <c r="F32" s="66"/>
      <c r="G32" s="66"/>
      <c r="H32" s="66"/>
      <c r="I32" s="66"/>
      <c r="J32" s="66"/>
      <c r="K32" s="66"/>
      <c r="L32" s="66"/>
    </row>
    <row r="33" spans="1:12" ht="16.5" thickTop="1" thickBot="1" x14ac:dyDescent="0.3">
      <c r="A33" s="33" t="s">
        <v>1</v>
      </c>
      <c r="B33" s="34">
        <v>0.02</v>
      </c>
      <c r="D33" s="14" t="s">
        <v>34</v>
      </c>
      <c r="E33" s="67" t="s">
        <v>57</v>
      </c>
      <c r="F33" s="67"/>
      <c r="G33" s="67"/>
      <c r="H33" s="67"/>
      <c r="I33" s="67"/>
      <c r="J33" s="67"/>
      <c r="K33" s="67"/>
      <c r="L33" s="67"/>
    </row>
    <row r="34" spans="1:12" ht="16.5" thickTop="1" thickBot="1" x14ac:dyDescent="0.3">
      <c r="A34" s="33" t="s">
        <v>31</v>
      </c>
      <c r="B34" s="34">
        <v>0.1</v>
      </c>
      <c r="D34" s="49" t="s">
        <v>33</v>
      </c>
      <c r="E34" s="68" t="s">
        <v>30</v>
      </c>
      <c r="F34" s="68"/>
      <c r="G34" s="68"/>
      <c r="H34" s="68"/>
      <c r="I34" s="68"/>
      <c r="J34" s="68"/>
      <c r="K34" s="68"/>
      <c r="L34" s="68"/>
    </row>
    <row r="35" spans="1:12" ht="16.5" thickTop="1" thickBot="1" x14ac:dyDescent="0.3">
      <c r="A35" s="33" t="s">
        <v>4</v>
      </c>
      <c r="B35" s="34">
        <v>0.25</v>
      </c>
    </row>
    <row r="36" spans="1:12" ht="16.5" thickTop="1" thickBot="1" x14ac:dyDescent="0.3">
      <c r="A36" s="33" t="s">
        <v>65</v>
      </c>
      <c r="B36" s="34">
        <v>5.5E-2</v>
      </c>
      <c r="E36" s="69" t="s">
        <v>15</v>
      </c>
      <c r="F36" s="69"/>
      <c r="G36" s="70" t="s">
        <v>20</v>
      </c>
      <c r="H36" s="71"/>
    </row>
    <row r="37" spans="1:12" ht="16.5" thickTop="1" thickBot="1" x14ac:dyDescent="0.3">
      <c r="A37" s="33" t="s">
        <v>66</v>
      </c>
      <c r="B37" s="34">
        <v>0.09</v>
      </c>
      <c r="D37" s="39" t="s">
        <v>19</v>
      </c>
      <c r="E37" s="63">
        <v>20</v>
      </c>
      <c r="F37" s="64">
        <v>35</v>
      </c>
      <c r="G37" s="40">
        <f>E37</f>
        <v>20</v>
      </c>
      <c r="H37" s="11">
        <f>F37</f>
        <v>35</v>
      </c>
    </row>
    <row r="38" spans="1:12" ht="16.5" thickTop="1" thickBot="1" x14ac:dyDescent="0.3">
      <c r="A38" s="35" t="s">
        <v>5</v>
      </c>
      <c r="B38" s="34">
        <v>1.4999999999999999E-2</v>
      </c>
      <c r="D38" s="7" t="s">
        <v>36</v>
      </c>
      <c r="E38" s="41">
        <f>'ETF-Besteuerung (Berechnungen)'!E3</f>
        <v>48293.282290200179</v>
      </c>
      <c r="F38" s="41">
        <f>'ETF-Besteuerung (Berechnungen)'!F3</f>
        <v>145462.12496364568</v>
      </c>
      <c r="G38" s="18">
        <f>'ETF-Besteuerung (Berechnungen)'!G3</f>
        <v>42414.412396866232</v>
      </c>
      <c r="H38" s="18">
        <f>'ETF-Besteuerung (Berechnungen)'!H3</f>
        <v>119963.95621407779</v>
      </c>
    </row>
    <row r="39" spans="1:12" ht="16.5" thickTop="1" thickBot="1" x14ac:dyDescent="0.3">
      <c r="A39" s="35" t="s">
        <v>60</v>
      </c>
      <c r="B39" s="36">
        <v>1200</v>
      </c>
      <c r="D39" s="4" t="s">
        <v>35</v>
      </c>
      <c r="E39" s="13">
        <f>'ETF-Besteuerung (Berechnungen)'!E4</f>
        <v>46149.900232031621</v>
      </c>
      <c r="F39" s="13">
        <f>'ETF-Besteuerung (Berechnungen)'!F4</f>
        <v>133938.62933097631</v>
      </c>
      <c r="G39" s="13">
        <f>'ETF-Besteuerung (Berechnungen)'!G4</f>
        <v>42713.07535382206</v>
      </c>
      <c r="H39" s="13">
        <f>'ETF-Besteuerung (Berechnungen)'!H4</f>
        <v>119600.98534184007</v>
      </c>
    </row>
    <row r="40" spans="1:12" ht="16.5" thickTop="1" thickBot="1" x14ac:dyDescent="0.3">
      <c r="A40" s="11" t="s">
        <v>32</v>
      </c>
      <c r="B40" s="36">
        <v>0</v>
      </c>
      <c r="D40" s="14" t="s">
        <v>34</v>
      </c>
      <c r="E40" s="15">
        <f>'ETF-Besteuerung (Berechnungen)'!E5</f>
        <v>46352.260318083303</v>
      </c>
      <c r="F40" s="15">
        <f>'ETF-Besteuerung (Berechnungen)'!F5</f>
        <v>134335.5788118123</v>
      </c>
      <c r="G40" s="15">
        <f>'ETF-Besteuerung (Berechnungen)'!G5</f>
        <v>43101.991169968431</v>
      </c>
      <c r="H40" s="15">
        <f>'ETF-Besteuerung (Berechnungen)'!H5</f>
        <v>121171.46163788886</v>
      </c>
    </row>
    <row r="41" spans="1:12" ht="61.5" thickTop="1" thickBot="1" x14ac:dyDescent="0.3">
      <c r="A41" s="61" t="s">
        <v>64</v>
      </c>
      <c r="B41" s="62" t="s">
        <v>61</v>
      </c>
      <c r="D41" s="49" t="s">
        <v>33</v>
      </c>
      <c r="E41" s="52">
        <f>'ETF-Besteuerung (Berechnungen)'!E6</f>
        <v>46278.180995152135</v>
      </c>
      <c r="F41" s="52">
        <f>'ETF-Besteuerung (Berechnungen)'!F6</f>
        <v>134613.90138516182</v>
      </c>
      <c r="G41" s="52">
        <f>'ETF-Besteuerung (Berechnungen)'!G6</f>
        <v>42807.256956938865</v>
      </c>
      <c r="H41" s="52">
        <f>'ETF-Besteuerung (Berechnungen)'!H6</f>
        <v>120106.56911402552</v>
      </c>
    </row>
    <row r="42" spans="1:12" ht="15.75" thickTop="1" x14ac:dyDescent="0.25">
      <c r="A42" s="31"/>
      <c r="B42" s="32"/>
    </row>
    <row r="43" spans="1:12" x14ac:dyDescent="0.25">
      <c r="A43" s="31"/>
      <c r="B43" s="32"/>
    </row>
    <row r="44" spans="1:12" x14ac:dyDescent="0.25">
      <c r="A44" s="31"/>
      <c r="B44" s="32"/>
    </row>
    <row r="75" spans="2:7" x14ac:dyDescent="0.25">
      <c r="D75" s="29"/>
      <c r="E75" s="29"/>
      <c r="F75" s="29"/>
      <c r="G75" s="29"/>
    </row>
    <row r="76" spans="2:7" x14ac:dyDescent="0.25">
      <c r="D76" s="30"/>
      <c r="E76" s="30"/>
      <c r="F76" s="30"/>
      <c r="G76" s="30"/>
    </row>
    <row r="77" spans="2:7" x14ac:dyDescent="0.25">
      <c r="C77" s="29"/>
    </row>
    <row r="78" spans="2:7" x14ac:dyDescent="0.25">
      <c r="C78" s="30"/>
    </row>
    <row r="80" spans="2:7" x14ac:dyDescent="0.25">
      <c r="B80" s="29"/>
    </row>
    <row r="81" spans="2:2" x14ac:dyDescent="0.25">
      <c r="B81" s="30"/>
    </row>
  </sheetData>
  <sheetProtection sheet="1" objects="1" scenarios="1"/>
  <mergeCells count="6">
    <mergeCell ref="E31:L31"/>
    <mergeCell ref="E32:L32"/>
    <mergeCell ref="E33:L33"/>
    <mergeCell ref="E34:L34"/>
    <mergeCell ref="E36:F36"/>
    <mergeCell ref="G36:H36"/>
  </mergeCells>
  <pageMargins left="0.7" right="0.7" top="0.78740157499999996" bottom="0.78740157499999996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'ETF-Besteuerung (Berechnungen)'!$C$13:$D$13</xm:f>
          </x14:formula1>
          <xm:sqref>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sqref="A1:G1"/>
    </sheetView>
  </sheetViews>
  <sheetFormatPr baseColWidth="10" defaultColWidth="18.140625" defaultRowHeight="15" x14ac:dyDescent="0.25"/>
  <cols>
    <col min="1" max="1" width="18" bestFit="1" customWidth="1"/>
    <col min="2" max="7" width="11.5703125" bestFit="1" customWidth="1"/>
  </cols>
  <sheetData>
    <row r="1" spans="1:7" x14ac:dyDescent="0.25">
      <c r="A1" s="73" t="str">
        <f>"Einfluss des AA ("&amp;B2&amp;"€ p.a. bei "&amp;B3*100&amp;"% p.a. Rendite)"</f>
        <v>Einfluss des AA (1200€ p.a. bei 5% p.a. Rendite)</v>
      </c>
      <c r="B1" s="73"/>
      <c r="C1" s="73"/>
      <c r="D1" s="73"/>
      <c r="E1" s="73"/>
      <c r="F1" s="73"/>
      <c r="G1" s="73"/>
    </row>
    <row r="2" spans="1:7" x14ac:dyDescent="0.25">
      <c r="A2" t="s">
        <v>21</v>
      </c>
      <c r="B2" s="22">
        <f>Ergebnisse!B1</f>
        <v>1200</v>
      </c>
    </row>
    <row r="3" spans="1:7" x14ac:dyDescent="0.25">
      <c r="A3" t="s">
        <v>22</v>
      </c>
      <c r="B3" s="23">
        <f>Ergebnisse!B2</f>
        <v>0.05</v>
      </c>
    </row>
    <row r="4" spans="1:7" x14ac:dyDescent="0.25">
      <c r="B4" s="24"/>
    </row>
    <row r="5" spans="1:7" x14ac:dyDescent="0.25">
      <c r="A5" t="s">
        <v>26</v>
      </c>
      <c r="B5" s="25">
        <v>0</v>
      </c>
      <c r="C5" s="25">
        <v>0.01</v>
      </c>
      <c r="D5" s="25">
        <v>0.02</v>
      </c>
      <c r="E5" s="25">
        <v>0.03</v>
      </c>
      <c r="F5" s="25">
        <v>0.04</v>
      </c>
      <c r="G5" s="25">
        <v>0.05</v>
      </c>
    </row>
    <row r="6" spans="1:7" x14ac:dyDescent="0.25">
      <c r="A6" t="s">
        <v>24</v>
      </c>
      <c r="B6" s="72" t="s">
        <v>25</v>
      </c>
      <c r="C6" s="72"/>
      <c r="D6" s="72"/>
      <c r="E6" s="72"/>
      <c r="F6" s="72"/>
      <c r="G6" s="72"/>
    </row>
    <row r="7" spans="1:7" x14ac:dyDescent="0.25">
      <c r="A7">
        <v>1</v>
      </c>
      <c r="B7" s="26">
        <f>FV($B$3,$A7,-$B$2*(1-B$5),0,1)</f>
        <v>1260.0000000000011</v>
      </c>
      <c r="C7" s="26">
        <f t="shared" ref="C7:G22" si="0">FV($B$3,$A7,-$B$2*(1-C$5),0,1)</f>
        <v>1247.400000000001</v>
      </c>
      <c r="D7" s="26">
        <f t="shared" si="0"/>
        <v>1234.8000000000011</v>
      </c>
      <c r="E7" s="26">
        <f t="shared" si="0"/>
        <v>1222.2000000000012</v>
      </c>
      <c r="F7" s="26">
        <f t="shared" si="0"/>
        <v>1209.600000000001</v>
      </c>
      <c r="G7" s="26">
        <f t="shared" si="0"/>
        <v>1197.0000000000011</v>
      </c>
    </row>
    <row r="8" spans="1:7" x14ac:dyDescent="0.25">
      <c r="A8">
        <v>2</v>
      </c>
      <c r="B8" s="26">
        <f t="shared" ref="B8:G46" si="1">FV($B$3,$A8,-$B$2*(1-B$5),0,1)</f>
        <v>2583.0000000000009</v>
      </c>
      <c r="C8" s="26">
        <f t="shared" si="0"/>
        <v>2557.170000000001</v>
      </c>
      <c r="D8" s="26">
        <f t="shared" si="0"/>
        <v>2531.3400000000011</v>
      </c>
      <c r="E8" s="26">
        <f t="shared" si="0"/>
        <v>2505.5100000000007</v>
      </c>
      <c r="F8" s="26">
        <f t="shared" si="0"/>
        <v>2479.6800000000007</v>
      </c>
      <c r="G8" s="26">
        <f t="shared" si="0"/>
        <v>2453.8500000000008</v>
      </c>
    </row>
    <row r="9" spans="1:7" x14ac:dyDescent="0.25">
      <c r="A9">
        <v>3</v>
      </c>
      <c r="B9" s="26">
        <f t="shared" si="1"/>
        <v>3972.1500000000033</v>
      </c>
      <c r="C9" s="26">
        <f t="shared" si="0"/>
        <v>3932.4285000000036</v>
      </c>
      <c r="D9" s="26">
        <f t="shared" si="0"/>
        <v>3892.7070000000035</v>
      </c>
      <c r="E9" s="26">
        <f t="shared" si="0"/>
        <v>3852.9855000000034</v>
      </c>
      <c r="F9" s="26">
        <f t="shared" si="0"/>
        <v>3813.2640000000033</v>
      </c>
      <c r="G9" s="26">
        <f t="shared" si="0"/>
        <v>3773.5425000000032</v>
      </c>
    </row>
    <row r="10" spans="1:7" x14ac:dyDescent="0.25">
      <c r="A10">
        <v>4</v>
      </c>
      <c r="B10" s="26">
        <f t="shared" si="1"/>
        <v>5430.7574999999997</v>
      </c>
      <c r="C10" s="26">
        <f t="shared" si="0"/>
        <v>5376.4499249999999</v>
      </c>
      <c r="D10" s="26">
        <f t="shared" si="0"/>
        <v>5322.1423500000001</v>
      </c>
      <c r="E10" s="26">
        <f t="shared" si="0"/>
        <v>5267.8347750000003</v>
      </c>
      <c r="F10" s="26">
        <f t="shared" si="0"/>
        <v>5213.5272000000004</v>
      </c>
      <c r="G10" s="26">
        <f t="shared" si="0"/>
        <v>5159.2196249999997</v>
      </c>
    </row>
    <row r="11" spans="1:7" x14ac:dyDescent="0.25">
      <c r="A11">
        <v>5</v>
      </c>
      <c r="B11" s="26">
        <f t="shared" si="1"/>
        <v>6962.2953750000033</v>
      </c>
      <c r="C11" s="26">
        <f t="shared" si="0"/>
        <v>6892.6724212500039</v>
      </c>
      <c r="D11" s="26">
        <f t="shared" si="0"/>
        <v>6823.0494675000036</v>
      </c>
      <c r="E11" s="26">
        <f t="shared" si="0"/>
        <v>6753.4265137500033</v>
      </c>
      <c r="F11" s="26">
        <f t="shared" si="0"/>
        <v>6683.8035600000039</v>
      </c>
      <c r="G11" s="26">
        <f t="shared" si="0"/>
        <v>6614.1806062500036</v>
      </c>
    </row>
    <row r="12" spans="1:7" x14ac:dyDescent="0.25">
      <c r="A12">
        <v>6</v>
      </c>
      <c r="B12" s="26">
        <f t="shared" si="1"/>
        <v>8570.4101437499994</v>
      </c>
      <c r="C12" s="26">
        <f t="shared" si="0"/>
        <v>8484.7060423124985</v>
      </c>
      <c r="D12" s="26">
        <f t="shared" si="0"/>
        <v>8399.0019408749995</v>
      </c>
      <c r="E12" s="26">
        <f t="shared" si="0"/>
        <v>8313.2978394374986</v>
      </c>
      <c r="F12" s="26">
        <f t="shared" si="0"/>
        <v>8227.5937379999996</v>
      </c>
      <c r="G12" s="26">
        <f t="shared" si="0"/>
        <v>8141.8896365624996</v>
      </c>
    </row>
    <row r="13" spans="1:7" x14ac:dyDescent="0.25">
      <c r="A13">
        <v>7</v>
      </c>
      <c r="B13" s="26">
        <f t="shared" si="1"/>
        <v>10258.930650937507</v>
      </c>
      <c r="C13" s="26">
        <f t="shared" si="0"/>
        <v>10156.341344428132</v>
      </c>
      <c r="D13" s="26">
        <f t="shared" si="0"/>
        <v>10053.752037918757</v>
      </c>
      <c r="E13" s="26">
        <f t="shared" si="0"/>
        <v>9951.1627314093821</v>
      </c>
      <c r="F13" s="26">
        <f t="shared" si="0"/>
        <v>9848.573424900007</v>
      </c>
      <c r="G13" s="26">
        <f t="shared" si="0"/>
        <v>9745.9841183906319</v>
      </c>
    </row>
    <row r="14" spans="1:7" x14ac:dyDescent="0.25">
      <c r="A14">
        <v>8</v>
      </c>
      <c r="B14" s="26">
        <f t="shared" si="1"/>
        <v>12031.877183484377</v>
      </c>
      <c r="C14" s="26">
        <f t="shared" si="0"/>
        <v>11911.558411649532</v>
      </c>
      <c r="D14" s="26">
        <f t="shared" si="0"/>
        <v>11791.239639814688</v>
      </c>
      <c r="E14" s="26">
        <f t="shared" si="0"/>
        <v>11670.920867979845</v>
      </c>
      <c r="F14" s="26">
        <f t="shared" si="0"/>
        <v>11550.602096145001</v>
      </c>
      <c r="G14" s="26">
        <f t="shared" si="0"/>
        <v>11430.283324310158</v>
      </c>
    </row>
    <row r="15" spans="1:7" x14ac:dyDescent="0.25">
      <c r="A15">
        <v>9</v>
      </c>
      <c r="B15" s="26">
        <f t="shared" si="1"/>
        <v>13893.471042658599</v>
      </c>
      <c r="C15" s="26">
        <f t="shared" si="0"/>
        <v>13754.536332232014</v>
      </c>
      <c r="D15" s="26">
        <f t="shared" si="0"/>
        <v>13615.601621805426</v>
      </c>
      <c r="E15" s="26">
        <f t="shared" si="0"/>
        <v>13476.666911378841</v>
      </c>
      <c r="F15" s="26">
        <f t="shared" si="0"/>
        <v>13337.732200952254</v>
      </c>
      <c r="G15" s="26">
        <f t="shared" si="0"/>
        <v>13198.797490525669</v>
      </c>
    </row>
    <row r="16" spans="1:7" x14ac:dyDescent="0.25">
      <c r="A16">
        <v>10</v>
      </c>
      <c r="B16" s="26">
        <f t="shared" si="1"/>
        <v>15848.144594791525</v>
      </c>
      <c r="C16" s="26">
        <f t="shared" si="0"/>
        <v>15689.663148843611</v>
      </c>
      <c r="D16" s="26">
        <f t="shared" si="0"/>
        <v>15531.181702895696</v>
      </c>
      <c r="E16" s="26">
        <f t="shared" si="0"/>
        <v>15372.700256947781</v>
      </c>
      <c r="F16" s="26">
        <f t="shared" si="0"/>
        <v>15214.218810999864</v>
      </c>
      <c r="G16" s="26">
        <f t="shared" si="0"/>
        <v>15055.737365051949</v>
      </c>
    </row>
    <row r="17" spans="1:7" x14ac:dyDescent="0.25">
      <c r="A17">
        <v>11</v>
      </c>
      <c r="B17" s="26">
        <f t="shared" si="1"/>
        <v>17900.551824531107</v>
      </c>
      <c r="C17" s="26">
        <f t="shared" si="0"/>
        <v>17721.546306285796</v>
      </c>
      <c r="D17" s="26">
        <f t="shared" si="0"/>
        <v>17542.540788040485</v>
      </c>
      <c r="E17" s="26">
        <f t="shared" si="0"/>
        <v>17363.535269795175</v>
      </c>
      <c r="F17" s="26">
        <f t="shared" si="0"/>
        <v>17184.529751549864</v>
      </c>
      <c r="G17" s="26">
        <f t="shared" si="0"/>
        <v>17005.524233304553</v>
      </c>
    </row>
    <row r="18" spans="1:7" x14ac:dyDescent="0.25">
      <c r="A18">
        <v>12</v>
      </c>
      <c r="B18" s="26">
        <f t="shared" si="1"/>
        <v>20055.579415757653</v>
      </c>
      <c r="C18" s="26">
        <f t="shared" si="0"/>
        <v>19855.023621600078</v>
      </c>
      <c r="D18" s="26">
        <f t="shared" si="0"/>
        <v>19654.467827442502</v>
      </c>
      <c r="E18" s="26">
        <f t="shared" si="0"/>
        <v>19453.912033284923</v>
      </c>
      <c r="F18" s="26">
        <f t="shared" si="0"/>
        <v>19253.356239127348</v>
      </c>
      <c r="G18" s="26">
        <f t="shared" si="0"/>
        <v>19052.800444969773</v>
      </c>
    </row>
    <row r="19" spans="1:7" x14ac:dyDescent="0.25">
      <c r="A19">
        <v>13</v>
      </c>
      <c r="B19" s="26">
        <f t="shared" si="1"/>
        <v>22318.358386545548</v>
      </c>
      <c r="C19" s="26">
        <f t="shared" si="0"/>
        <v>22095.174802680092</v>
      </c>
      <c r="D19" s="26">
        <f t="shared" si="0"/>
        <v>21871.991218814637</v>
      </c>
      <c r="E19" s="26">
        <f t="shared" si="0"/>
        <v>21648.807634949182</v>
      </c>
      <c r="F19" s="26">
        <f t="shared" si="0"/>
        <v>21425.624051083727</v>
      </c>
      <c r="G19" s="26">
        <f t="shared" si="0"/>
        <v>21202.440467218272</v>
      </c>
    </row>
    <row r="20" spans="1:7" x14ac:dyDescent="0.25">
      <c r="A20">
        <v>14</v>
      </c>
      <c r="B20" s="26">
        <f t="shared" si="1"/>
        <v>24694.276305872812</v>
      </c>
      <c r="C20" s="26">
        <f t="shared" si="0"/>
        <v>24447.333542814085</v>
      </c>
      <c r="D20" s="26">
        <f t="shared" si="0"/>
        <v>24200.390779755355</v>
      </c>
      <c r="E20" s="26">
        <f t="shared" si="0"/>
        <v>23953.448016696628</v>
      </c>
      <c r="F20" s="26">
        <f t="shared" si="0"/>
        <v>23706.505253637901</v>
      </c>
      <c r="G20" s="26">
        <f t="shared" si="0"/>
        <v>23459.56249057917</v>
      </c>
    </row>
    <row r="21" spans="1:7" x14ac:dyDescent="0.25">
      <c r="A21">
        <v>15</v>
      </c>
      <c r="B21" s="26">
        <f t="shared" si="1"/>
        <v>27188.990121166473</v>
      </c>
      <c r="C21" s="26">
        <f t="shared" si="0"/>
        <v>26917.100219954809</v>
      </c>
      <c r="D21" s="26">
        <f t="shared" si="0"/>
        <v>26645.210318743146</v>
      </c>
      <c r="E21" s="26">
        <f t="shared" si="0"/>
        <v>26373.320417531479</v>
      </c>
      <c r="F21" s="26">
        <f t="shared" si="0"/>
        <v>26101.430516319815</v>
      </c>
      <c r="G21" s="26">
        <f t="shared" si="0"/>
        <v>25829.540615108152</v>
      </c>
    </row>
    <row r="22" spans="1:7" x14ac:dyDescent="0.25">
      <c r="A22">
        <v>16</v>
      </c>
      <c r="B22" s="26">
        <f t="shared" si="1"/>
        <v>29808.43962722479</v>
      </c>
      <c r="C22" s="26">
        <f t="shared" si="0"/>
        <v>29510.355230952544</v>
      </c>
      <c r="D22" s="26">
        <f t="shared" si="0"/>
        <v>29212.270834680297</v>
      </c>
      <c r="E22" s="26">
        <f t="shared" si="0"/>
        <v>28914.186438408047</v>
      </c>
      <c r="F22" s="26">
        <f t="shared" si="0"/>
        <v>28616.102042135801</v>
      </c>
      <c r="G22" s="26">
        <f t="shared" si="0"/>
        <v>28318.017645863551</v>
      </c>
    </row>
    <row r="23" spans="1:7" x14ac:dyDescent="0.25">
      <c r="A23">
        <v>17</v>
      </c>
      <c r="B23" s="26">
        <f t="shared" si="1"/>
        <v>32558.861608586038</v>
      </c>
      <c r="C23" s="26">
        <f t="shared" si="1"/>
        <v>32233.272992500177</v>
      </c>
      <c r="D23" s="26">
        <f t="shared" si="1"/>
        <v>31907.684376414316</v>
      </c>
      <c r="E23" s="26">
        <f t="shared" si="1"/>
        <v>31582.095760328455</v>
      </c>
      <c r="F23" s="26">
        <f t="shared" si="1"/>
        <v>31256.507144242594</v>
      </c>
      <c r="G23" s="26">
        <f t="shared" si="1"/>
        <v>30930.918528156733</v>
      </c>
    </row>
    <row r="24" spans="1:7" x14ac:dyDescent="0.25">
      <c r="A24">
        <v>18</v>
      </c>
      <c r="B24" s="26">
        <f t="shared" si="1"/>
        <v>35446.804689015335</v>
      </c>
      <c r="C24" s="26">
        <f t="shared" si="1"/>
        <v>35092.336642125185</v>
      </c>
      <c r="D24" s="26">
        <f t="shared" si="1"/>
        <v>34737.868595235028</v>
      </c>
      <c r="E24" s="26">
        <f t="shared" si="1"/>
        <v>34383.400548344871</v>
      </c>
      <c r="F24" s="26">
        <f t="shared" si="1"/>
        <v>34028.932501454721</v>
      </c>
      <c r="G24" s="26">
        <f t="shared" si="1"/>
        <v>33674.464454564571</v>
      </c>
    </row>
    <row r="25" spans="1:7" x14ac:dyDescent="0.25">
      <c r="A25">
        <v>19</v>
      </c>
      <c r="B25" s="26">
        <f t="shared" si="1"/>
        <v>38479.144923466105</v>
      </c>
      <c r="C25" s="26">
        <f t="shared" si="1"/>
        <v>38094.353474231444</v>
      </c>
      <c r="D25" s="26">
        <f t="shared" si="1"/>
        <v>37709.562024996783</v>
      </c>
      <c r="E25" s="26">
        <f t="shared" si="1"/>
        <v>37324.770575762122</v>
      </c>
      <c r="F25" s="26">
        <f t="shared" si="1"/>
        <v>36939.979126527462</v>
      </c>
      <c r="G25" s="26">
        <f t="shared" si="1"/>
        <v>36555.187677292801</v>
      </c>
    </row>
    <row r="26" spans="1:7" x14ac:dyDescent="0.25">
      <c r="A26">
        <v>20</v>
      </c>
      <c r="B26" s="26">
        <f t="shared" si="1"/>
        <v>41663.102169639402</v>
      </c>
      <c r="C26" s="26">
        <f t="shared" si="1"/>
        <v>41246.471147943012</v>
      </c>
      <c r="D26" s="26">
        <f t="shared" si="1"/>
        <v>40829.840126246614</v>
      </c>
      <c r="E26" s="26">
        <f t="shared" si="1"/>
        <v>40413.209104550224</v>
      </c>
      <c r="F26" s="26">
        <f t="shared" si="1"/>
        <v>39996.578082853826</v>
      </c>
      <c r="G26" s="26">
        <f t="shared" si="1"/>
        <v>39579.947061157436</v>
      </c>
    </row>
    <row r="27" spans="1:7" x14ac:dyDescent="0.25">
      <c r="A27">
        <v>21</v>
      </c>
      <c r="B27" s="26">
        <f t="shared" si="1"/>
        <v>45006.257278121382</v>
      </c>
      <c r="C27" s="26">
        <f t="shared" si="1"/>
        <v>44556.194705340167</v>
      </c>
      <c r="D27" s="26">
        <f t="shared" si="1"/>
        <v>44106.132132558952</v>
      </c>
      <c r="E27" s="26">
        <f t="shared" si="1"/>
        <v>43656.069559777738</v>
      </c>
      <c r="F27" s="26">
        <f t="shared" si="1"/>
        <v>43206.006986996523</v>
      </c>
      <c r="G27" s="26">
        <f t="shared" si="1"/>
        <v>42755.944414215308</v>
      </c>
    </row>
    <row r="28" spans="1:7" x14ac:dyDescent="0.25">
      <c r="A28">
        <v>22</v>
      </c>
      <c r="B28" s="26">
        <f t="shared" si="1"/>
        <v>48516.570142027442</v>
      </c>
      <c r="C28" s="26">
        <f t="shared" si="1"/>
        <v>48031.404440607163</v>
      </c>
      <c r="D28" s="26">
        <f t="shared" si="1"/>
        <v>47546.238739186891</v>
      </c>
      <c r="E28" s="26">
        <f t="shared" si="1"/>
        <v>47061.073037766619</v>
      </c>
      <c r="F28" s="26">
        <f t="shared" si="1"/>
        <v>46575.907336346339</v>
      </c>
      <c r="G28" s="26">
        <f t="shared" si="1"/>
        <v>46090.741634926067</v>
      </c>
    </row>
    <row r="29" spans="1:7" x14ac:dyDescent="0.25">
      <c r="A29">
        <v>23</v>
      </c>
      <c r="B29" s="26">
        <f t="shared" si="1"/>
        <v>52202.398649128816</v>
      </c>
      <c r="C29" s="26">
        <f t="shared" si="1"/>
        <v>51680.374662637529</v>
      </c>
      <c r="D29" s="26">
        <f t="shared" si="1"/>
        <v>51158.350676146241</v>
      </c>
      <c r="E29" s="26">
        <f t="shared" si="1"/>
        <v>50636.326689654954</v>
      </c>
      <c r="F29" s="26">
        <f t="shared" si="1"/>
        <v>50114.302703163667</v>
      </c>
      <c r="G29" s="26">
        <f t="shared" si="1"/>
        <v>49592.278716672379</v>
      </c>
    </row>
    <row r="30" spans="1:7" x14ac:dyDescent="0.25">
      <c r="A30">
        <v>24</v>
      </c>
      <c r="B30" s="26">
        <f t="shared" si="1"/>
        <v>56072.518581585253</v>
      </c>
      <c r="C30" s="26">
        <f t="shared" si="1"/>
        <v>55511.793395769397</v>
      </c>
      <c r="D30" s="26">
        <f t="shared" si="1"/>
        <v>54951.068209953548</v>
      </c>
      <c r="E30" s="26">
        <f t="shared" si="1"/>
        <v>54390.343024137692</v>
      </c>
      <c r="F30" s="26">
        <f t="shared" si="1"/>
        <v>53829.617838321843</v>
      </c>
      <c r="G30" s="26">
        <f t="shared" si="1"/>
        <v>53268.892652505987</v>
      </c>
    </row>
    <row r="31" spans="1:7" x14ac:dyDescent="0.25">
      <c r="A31">
        <v>25</v>
      </c>
      <c r="B31" s="26">
        <f t="shared" si="1"/>
        <v>60136.144510664526</v>
      </c>
      <c r="C31" s="26">
        <f t="shared" si="1"/>
        <v>59534.78306555788</v>
      </c>
      <c r="D31" s="26">
        <f t="shared" si="1"/>
        <v>58933.421620451234</v>
      </c>
      <c r="E31" s="26">
        <f t="shared" si="1"/>
        <v>58332.060175344588</v>
      </c>
      <c r="F31" s="26">
        <f t="shared" si="1"/>
        <v>57730.698730237942</v>
      </c>
      <c r="G31" s="26">
        <f t="shared" si="1"/>
        <v>57129.337285131296</v>
      </c>
    </row>
    <row r="32" spans="1:7" x14ac:dyDescent="0.25">
      <c r="A32">
        <v>26</v>
      </c>
      <c r="B32" s="26">
        <f t="shared" si="1"/>
        <v>64402.951736197756</v>
      </c>
      <c r="C32" s="26">
        <f t="shared" si="1"/>
        <v>63758.922218835774</v>
      </c>
      <c r="D32" s="26">
        <f t="shared" si="1"/>
        <v>63114.8927014738</v>
      </c>
      <c r="E32" s="26">
        <f t="shared" si="1"/>
        <v>62470.863184111826</v>
      </c>
      <c r="F32" s="26">
        <f t="shared" si="1"/>
        <v>61826.833666749844</v>
      </c>
      <c r="G32" s="26">
        <f t="shared" si="1"/>
        <v>61182.80414938787</v>
      </c>
    </row>
    <row r="33" spans="1:7" x14ac:dyDescent="0.25">
      <c r="A33">
        <v>27</v>
      </c>
      <c r="B33" s="26">
        <f t="shared" si="1"/>
        <v>68883.099323007642</v>
      </c>
      <c r="C33" s="26">
        <f t="shared" si="1"/>
        <v>68194.268329777566</v>
      </c>
      <c r="D33" s="26">
        <f t="shared" si="1"/>
        <v>67505.437336547489</v>
      </c>
      <c r="E33" s="26">
        <f t="shared" si="1"/>
        <v>66816.606343317413</v>
      </c>
      <c r="F33" s="26">
        <f t="shared" si="1"/>
        <v>66127.775350087337</v>
      </c>
      <c r="G33" s="26">
        <f t="shared" si="1"/>
        <v>65438.944356857261</v>
      </c>
    </row>
    <row r="34" spans="1:7" x14ac:dyDescent="0.25">
      <c r="A34">
        <v>28</v>
      </c>
      <c r="B34" s="26">
        <f t="shared" si="1"/>
        <v>73587.254289158009</v>
      </c>
      <c r="C34" s="26">
        <f t="shared" si="1"/>
        <v>72851.38174626643</v>
      </c>
      <c r="D34" s="26">
        <f t="shared" si="1"/>
        <v>72115.509203374851</v>
      </c>
      <c r="E34" s="26">
        <f t="shared" si="1"/>
        <v>71379.636660483273</v>
      </c>
      <c r="F34" s="26">
        <f t="shared" si="1"/>
        <v>70643.764117591694</v>
      </c>
      <c r="G34" s="26">
        <f t="shared" si="1"/>
        <v>69907.891574700116</v>
      </c>
    </row>
    <row r="35" spans="1:7" x14ac:dyDescent="0.25">
      <c r="A35">
        <v>29</v>
      </c>
      <c r="B35" s="26">
        <f t="shared" si="1"/>
        <v>78526.617003615931</v>
      </c>
      <c r="C35" s="26">
        <f t="shared" si="1"/>
        <v>77741.350833579781</v>
      </c>
      <c r="D35" s="26">
        <f t="shared" si="1"/>
        <v>76956.084663543617</v>
      </c>
      <c r="E35" s="26">
        <f t="shared" si="1"/>
        <v>76170.818493507453</v>
      </c>
      <c r="F35" s="26">
        <f t="shared" si="1"/>
        <v>75385.552323471289</v>
      </c>
      <c r="G35" s="26">
        <f t="shared" si="1"/>
        <v>74600.28615343514</v>
      </c>
    </row>
    <row r="36" spans="1:7" x14ac:dyDescent="0.25">
      <c r="A36">
        <v>30</v>
      </c>
      <c r="B36" s="26">
        <f t="shared" si="1"/>
        <v>83712.947853796708</v>
      </c>
      <c r="C36" s="26">
        <f t="shared" si="1"/>
        <v>82875.818375258736</v>
      </c>
      <c r="D36" s="26">
        <f t="shared" si="1"/>
        <v>82038.688896720763</v>
      </c>
      <c r="E36" s="26">
        <f t="shared" si="1"/>
        <v>81201.559418182806</v>
      </c>
      <c r="F36" s="26">
        <f t="shared" si="1"/>
        <v>80364.429939644833</v>
      </c>
      <c r="G36" s="26">
        <f t="shared" si="1"/>
        <v>79527.300461106861</v>
      </c>
    </row>
    <row r="37" spans="1:7" x14ac:dyDescent="0.25">
      <c r="A37">
        <v>31</v>
      </c>
      <c r="B37" s="26">
        <f t="shared" si="1"/>
        <v>89158.595246486584</v>
      </c>
      <c r="C37" s="26">
        <f t="shared" si="1"/>
        <v>88267.009294021715</v>
      </c>
      <c r="D37" s="26">
        <f t="shared" si="1"/>
        <v>87375.423341556845</v>
      </c>
      <c r="E37" s="26">
        <f t="shared" si="1"/>
        <v>86483.837389091976</v>
      </c>
      <c r="F37" s="26">
        <f t="shared" si="1"/>
        <v>85592.251436627121</v>
      </c>
      <c r="G37" s="26">
        <f t="shared" si="1"/>
        <v>84700.665484162251</v>
      </c>
    </row>
    <row r="38" spans="1:7" x14ac:dyDescent="0.25">
      <c r="A38">
        <v>32</v>
      </c>
      <c r="B38" s="26">
        <f t="shared" si="1"/>
        <v>94876.525008810888</v>
      </c>
      <c r="C38" s="26">
        <f t="shared" si="1"/>
        <v>93927.759758722779</v>
      </c>
      <c r="D38" s="26">
        <f t="shared" si="1"/>
        <v>92978.994508634671</v>
      </c>
      <c r="E38" s="26">
        <f t="shared" si="1"/>
        <v>92030.229258546562</v>
      </c>
      <c r="F38" s="26">
        <f t="shared" si="1"/>
        <v>91081.464008458453</v>
      </c>
      <c r="G38" s="26">
        <f t="shared" si="1"/>
        <v>90132.698758370345</v>
      </c>
    </row>
    <row r="39" spans="1:7" x14ac:dyDescent="0.25">
      <c r="A39">
        <v>33</v>
      </c>
      <c r="B39" s="26">
        <f t="shared" si="1"/>
        <v>100880.35125925145</v>
      </c>
      <c r="C39" s="26">
        <f t="shared" si="1"/>
        <v>99871.547746658936</v>
      </c>
      <c r="D39" s="26">
        <f t="shared" si="1"/>
        <v>98862.744234066427</v>
      </c>
      <c r="E39" s="26">
        <f t="shared" si="1"/>
        <v>97853.940721473904</v>
      </c>
      <c r="F39" s="26">
        <f t="shared" si="1"/>
        <v>96845.137208881395</v>
      </c>
      <c r="G39" s="26">
        <f t="shared" si="1"/>
        <v>95836.333696288872</v>
      </c>
    </row>
    <row r="40" spans="1:7" x14ac:dyDescent="0.25">
      <c r="A40">
        <v>34</v>
      </c>
      <c r="B40" s="26">
        <f t="shared" si="1"/>
        <v>107184.368822214</v>
      </c>
      <c r="C40" s="26">
        <f t="shared" si="1"/>
        <v>106112.52513399186</v>
      </c>
      <c r="D40" s="26">
        <f t="shared" si="1"/>
        <v>105040.68144576972</v>
      </c>
      <c r="E40" s="26">
        <f t="shared" si="1"/>
        <v>103968.83775754759</v>
      </c>
      <c r="F40" s="26">
        <f t="shared" si="1"/>
        <v>102896.99406932545</v>
      </c>
      <c r="G40" s="26">
        <f t="shared" si="1"/>
        <v>101825.1503811033</v>
      </c>
    </row>
    <row r="41" spans="1:7" x14ac:dyDescent="0.25">
      <c r="A41">
        <v>35</v>
      </c>
      <c r="B41" s="26">
        <f t="shared" si="1"/>
        <v>113803.58726332473</v>
      </c>
      <c r="C41" s="26">
        <f t="shared" si="1"/>
        <v>112665.55139069149</v>
      </c>
      <c r="D41" s="26">
        <f t="shared" si="1"/>
        <v>111527.51551805824</v>
      </c>
      <c r="E41" s="26">
        <f t="shared" si="1"/>
        <v>110389.47964542499</v>
      </c>
      <c r="F41" s="26">
        <f t="shared" si="1"/>
        <v>109251.44377279174</v>
      </c>
      <c r="G41" s="26">
        <f t="shared" si="1"/>
        <v>108113.40790015849</v>
      </c>
    </row>
    <row r="42" spans="1:7" x14ac:dyDescent="0.25">
      <c r="A42">
        <v>36</v>
      </c>
      <c r="B42" s="26">
        <f t="shared" si="1"/>
        <v>120753.76662649095</v>
      </c>
      <c r="C42" s="26">
        <f t="shared" si="1"/>
        <v>119546.22896022603</v>
      </c>
      <c r="D42" s="26">
        <f t="shared" si="1"/>
        <v>118338.69129396112</v>
      </c>
      <c r="E42" s="26">
        <f t="shared" si="1"/>
        <v>117131.15362769621</v>
      </c>
      <c r="F42" s="26">
        <f t="shared" si="1"/>
        <v>115923.61596143131</v>
      </c>
      <c r="G42" s="26">
        <f t="shared" si="1"/>
        <v>114716.0782951664</v>
      </c>
    </row>
    <row r="43" spans="1:7" x14ac:dyDescent="0.25">
      <c r="A43">
        <v>37</v>
      </c>
      <c r="B43" s="26">
        <f t="shared" si="1"/>
        <v>128051.45495781551</v>
      </c>
      <c r="C43" s="26">
        <f t="shared" si="1"/>
        <v>126770.94040823735</v>
      </c>
      <c r="D43" s="26">
        <f t="shared" si="1"/>
        <v>125490.4258586592</v>
      </c>
      <c r="E43" s="26">
        <f t="shared" si="1"/>
        <v>124209.91130908104</v>
      </c>
      <c r="F43" s="26">
        <f t="shared" si="1"/>
        <v>122929.39675950288</v>
      </c>
      <c r="G43" s="26">
        <f t="shared" si="1"/>
        <v>121648.88220992473</v>
      </c>
    </row>
    <row r="44" spans="1:7" x14ac:dyDescent="0.25">
      <c r="A44">
        <v>38</v>
      </c>
      <c r="B44" s="26">
        <f t="shared" si="1"/>
        <v>135714.02770570625</v>
      </c>
      <c r="C44" s="26">
        <f t="shared" si="1"/>
        <v>134356.88742864918</v>
      </c>
      <c r="D44" s="26">
        <f t="shared" si="1"/>
        <v>132999.74715159214</v>
      </c>
      <c r="E44" s="26">
        <f t="shared" si="1"/>
        <v>131642.60687453506</v>
      </c>
      <c r="F44" s="26">
        <f t="shared" si="1"/>
        <v>130285.46659747799</v>
      </c>
      <c r="G44" s="26">
        <f t="shared" si="1"/>
        <v>128928.32632042094</v>
      </c>
    </row>
    <row r="45" spans="1:7" x14ac:dyDescent="0.25">
      <c r="A45">
        <v>39</v>
      </c>
      <c r="B45" s="26">
        <f t="shared" si="1"/>
        <v>143759.7290909916</v>
      </c>
      <c r="C45" s="26">
        <f t="shared" si="1"/>
        <v>142322.1318000817</v>
      </c>
      <c r="D45" s="26">
        <f t="shared" si="1"/>
        <v>140884.53450917176</v>
      </c>
      <c r="E45" s="26">
        <f t="shared" si="1"/>
        <v>139446.93721826185</v>
      </c>
      <c r="F45" s="26">
        <f t="shared" si="1"/>
        <v>138009.33992735195</v>
      </c>
      <c r="G45" s="26">
        <f t="shared" si="1"/>
        <v>136571.74263644201</v>
      </c>
    </row>
    <row r="46" spans="1:7" x14ac:dyDescent="0.25">
      <c r="A46">
        <v>40</v>
      </c>
      <c r="B46" s="26">
        <f t="shared" si="1"/>
        <v>152207.71554554114</v>
      </c>
      <c r="C46" s="26">
        <f t="shared" si="1"/>
        <v>150685.63839008575</v>
      </c>
      <c r="D46" s="26">
        <f t="shared" si="1"/>
        <v>149163.56123463032</v>
      </c>
      <c r="E46" s="26">
        <f t="shared" si="1"/>
        <v>147641.48407917493</v>
      </c>
      <c r="F46" s="26">
        <f t="shared" si="1"/>
        <v>146119.40692371951</v>
      </c>
      <c r="G46" s="26">
        <f t="shared" si="1"/>
        <v>144597.32976826408</v>
      </c>
    </row>
  </sheetData>
  <sheetProtection sheet="1" objects="1" scenarios="1"/>
  <mergeCells count="2">
    <mergeCell ref="B6:G6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J11" sqref="J11"/>
    </sheetView>
  </sheetViews>
  <sheetFormatPr baseColWidth="10" defaultColWidth="9.140625" defaultRowHeight="15" x14ac:dyDescent="0.25"/>
  <cols>
    <col min="1" max="1" width="18" bestFit="1" customWidth="1"/>
    <col min="2" max="7" width="11.5703125" bestFit="1" customWidth="1"/>
  </cols>
  <sheetData>
    <row r="1" spans="1:7" x14ac:dyDescent="0.25">
      <c r="A1" s="73" t="str">
        <f>"Einfluss der TER ("&amp;B2&amp;"€ p.a. bei "&amp;B3*100&amp;"% p.a. Rendite)"</f>
        <v>Einfluss der TER (1200€ p.a. bei 5% p.a. Rendite)</v>
      </c>
      <c r="B1" s="73"/>
      <c r="C1" s="73"/>
      <c r="D1" s="73"/>
      <c r="E1" s="73"/>
      <c r="F1" s="73"/>
      <c r="G1" s="73"/>
    </row>
    <row r="2" spans="1:7" x14ac:dyDescent="0.25">
      <c r="A2" t="s">
        <v>21</v>
      </c>
      <c r="B2" s="22">
        <f>Ergebnisse!B1</f>
        <v>1200</v>
      </c>
    </row>
    <row r="3" spans="1:7" x14ac:dyDescent="0.25">
      <c r="A3" t="s">
        <v>22</v>
      </c>
      <c r="B3" s="23">
        <f>Ergebnisse!B2</f>
        <v>0.05</v>
      </c>
    </row>
    <row r="4" spans="1:7" x14ac:dyDescent="0.25">
      <c r="B4" s="24"/>
    </row>
    <row r="5" spans="1:7" x14ac:dyDescent="0.25">
      <c r="A5" t="s">
        <v>23</v>
      </c>
      <c r="B5" s="25">
        <v>2E-3</v>
      </c>
      <c r="C5" s="25">
        <v>3.0000000000000001E-3</v>
      </c>
      <c r="D5" s="25">
        <v>4.0000000000000001E-3</v>
      </c>
      <c r="E5" s="25">
        <v>5.0000000000000001E-3</v>
      </c>
      <c r="F5" s="25">
        <v>6.0000000000000001E-3</v>
      </c>
      <c r="G5" s="25">
        <v>7.0000000000000001E-3</v>
      </c>
    </row>
    <row r="6" spans="1:7" x14ac:dyDescent="0.25">
      <c r="A6" t="s">
        <v>24</v>
      </c>
      <c r="B6" s="72" t="s">
        <v>25</v>
      </c>
      <c r="C6" s="72"/>
      <c r="D6" s="72"/>
      <c r="E6" s="72"/>
      <c r="F6" s="72"/>
      <c r="G6" s="72"/>
    </row>
    <row r="7" spans="1:7" x14ac:dyDescent="0.25">
      <c r="A7">
        <v>1</v>
      </c>
      <c r="B7" s="26">
        <f t="shared" ref="B7:G22" si="0">FV($B$3-B$5,$A7,-$B$2,0,1)</f>
        <v>1257.600000000001</v>
      </c>
      <c r="C7" s="26">
        <f t="shared" si="0"/>
        <v>1256.399999999998</v>
      </c>
      <c r="D7" s="26">
        <f t="shared" si="0"/>
        <v>1255.2000000000012</v>
      </c>
      <c r="E7" s="26">
        <f t="shared" si="0"/>
        <v>1253.9999999999977</v>
      </c>
      <c r="F7" s="26">
        <f t="shared" si="0"/>
        <v>1252.8000000000011</v>
      </c>
      <c r="G7" s="26">
        <f t="shared" si="0"/>
        <v>1251.5999999999979</v>
      </c>
    </row>
    <row r="8" spans="1:7" x14ac:dyDescent="0.25">
      <c r="A8">
        <v>2</v>
      </c>
      <c r="B8" s="26">
        <f t="shared" si="0"/>
        <v>2575.5648000000047</v>
      </c>
      <c r="C8" s="26">
        <f t="shared" si="0"/>
        <v>2571.8507999999933</v>
      </c>
      <c r="D8" s="26">
        <f t="shared" si="0"/>
        <v>2568.1392000000023</v>
      </c>
      <c r="E8" s="26">
        <f t="shared" si="0"/>
        <v>2564.4299999999939</v>
      </c>
      <c r="F8" s="26">
        <f t="shared" si="0"/>
        <v>2560.7232000000004</v>
      </c>
      <c r="G8" s="26">
        <f t="shared" si="0"/>
        <v>2557.0187999999953</v>
      </c>
    </row>
    <row r="9" spans="1:7" x14ac:dyDescent="0.25">
      <c r="A9">
        <v>3</v>
      </c>
      <c r="B9" s="26">
        <f t="shared" si="0"/>
        <v>3956.7919104000034</v>
      </c>
      <c r="C9" s="26">
        <f t="shared" si="0"/>
        <v>3949.1277875999899</v>
      </c>
      <c r="D9" s="26">
        <f t="shared" si="0"/>
        <v>3941.4736032000055</v>
      </c>
      <c r="E9" s="26">
        <f t="shared" si="0"/>
        <v>3933.8293499999941</v>
      </c>
      <c r="F9" s="26">
        <f t="shared" si="0"/>
        <v>3926.1950208000044</v>
      </c>
      <c r="G9" s="26">
        <f t="shared" si="0"/>
        <v>3918.5706083999894</v>
      </c>
    </row>
    <row r="10" spans="1:7" x14ac:dyDescent="0.25">
      <c r="A10">
        <v>4</v>
      </c>
      <c r="B10" s="26">
        <f t="shared" si="0"/>
        <v>5404.3179220992115</v>
      </c>
      <c r="C10" s="26">
        <f t="shared" si="0"/>
        <v>5391.1367936171873</v>
      </c>
      <c r="D10" s="26">
        <f t="shared" si="0"/>
        <v>5377.9813889472052</v>
      </c>
      <c r="E10" s="26">
        <f t="shared" si="0"/>
        <v>5364.8516707499848</v>
      </c>
      <c r="F10" s="26">
        <f t="shared" si="0"/>
        <v>5351.7476017152021</v>
      </c>
      <c r="G10" s="26">
        <f t="shared" si="0"/>
        <v>5338.6691445611877</v>
      </c>
    </row>
    <row r="11" spans="1:7" x14ac:dyDescent="0.25">
      <c r="A11">
        <v>5</v>
      </c>
      <c r="B11" s="26">
        <f t="shared" si="0"/>
        <v>6921.325182359974</v>
      </c>
      <c r="C11" s="26">
        <f t="shared" si="0"/>
        <v>6900.9202229171951</v>
      </c>
      <c r="D11" s="26">
        <f t="shared" si="0"/>
        <v>6880.5685328387772</v>
      </c>
      <c r="E11" s="26">
        <f t="shared" si="0"/>
        <v>6860.2699959337333</v>
      </c>
      <c r="F11" s="26">
        <f t="shared" si="0"/>
        <v>6840.0244961906683</v>
      </c>
      <c r="G11" s="26">
        <f t="shared" si="0"/>
        <v>6819.8319177773183</v>
      </c>
    </row>
    <row r="12" spans="1:7" x14ac:dyDescent="0.25">
      <c r="A12">
        <v>6</v>
      </c>
      <c r="B12" s="26">
        <f t="shared" si="0"/>
        <v>8511.1487911132572</v>
      </c>
      <c r="C12" s="26">
        <f t="shared" si="0"/>
        <v>8481.6634733942938</v>
      </c>
      <c r="D12" s="26">
        <f t="shared" si="0"/>
        <v>8452.2746853493645</v>
      </c>
      <c r="E12" s="26">
        <f t="shared" si="0"/>
        <v>8422.9821457507423</v>
      </c>
      <c r="F12" s="26">
        <f t="shared" si="0"/>
        <v>8393.7855740230643</v>
      </c>
      <c r="G12" s="26">
        <f t="shared" si="0"/>
        <v>8364.6846902417401</v>
      </c>
    </row>
    <row r="13" spans="1:7" x14ac:dyDescent="0.25">
      <c r="A13">
        <v>7</v>
      </c>
      <c r="B13" s="26">
        <f t="shared" si="0"/>
        <v>10177.283933086694</v>
      </c>
      <c r="C13" s="26">
        <f t="shared" si="0"/>
        <v>10136.701656643823</v>
      </c>
      <c r="D13" s="26">
        <f t="shared" si="0"/>
        <v>10096.279320875439</v>
      </c>
      <c r="E13" s="26">
        <f t="shared" si="0"/>
        <v>10056.016342309527</v>
      </c>
      <c r="F13" s="26">
        <f t="shared" si="0"/>
        <v>10015.912139280081</v>
      </c>
      <c r="G13" s="26">
        <f t="shared" si="0"/>
        <v>9975.9661319221268</v>
      </c>
    </row>
    <row r="14" spans="1:7" x14ac:dyDescent="0.25">
      <c r="A14">
        <v>8</v>
      </c>
      <c r="B14" s="26">
        <f t="shared" si="0"/>
        <v>11923.393561874864</v>
      </c>
      <c r="C14" s="26">
        <f t="shared" si="0"/>
        <v>11869.526634506077</v>
      </c>
      <c r="D14" s="26">
        <f t="shared" si="0"/>
        <v>11815.908169635706</v>
      </c>
      <c r="E14" s="26">
        <f t="shared" si="0"/>
        <v>11762.537077713445</v>
      </c>
      <c r="F14" s="26">
        <f t="shared" si="0"/>
        <v>11709.412273408403</v>
      </c>
      <c r="G14" s="26">
        <f t="shared" si="0"/>
        <v>11656.532675594779</v>
      </c>
    </row>
    <row r="15" spans="1:7" x14ac:dyDescent="0.25">
      <c r="A15">
        <v>9</v>
      </c>
      <c r="B15" s="26">
        <f t="shared" si="0"/>
        <v>13753.316452844856</v>
      </c>
      <c r="C15" s="26">
        <f t="shared" si="0"/>
        <v>13683.794386327865</v>
      </c>
      <c r="D15" s="26">
        <f t="shared" si="0"/>
        <v>13614.63994543895</v>
      </c>
      <c r="E15" s="26">
        <f t="shared" si="0"/>
        <v>13545.851246210546</v>
      </c>
      <c r="F15" s="26">
        <f t="shared" si="0"/>
        <v>13477.426413438376</v>
      </c>
      <c r="G15" s="26">
        <f t="shared" si="0"/>
        <v>13409.363580645349</v>
      </c>
    </row>
    <row r="16" spans="1:7" x14ac:dyDescent="0.25">
      <c r="A16">
        <v>10</v>
      </c>
      <c r="B16" s="26">
        <f t="shared" si="0"/>
        <v>15671.075642581414</v>
      </c>
      <c r="C16" s="26">
        <f t="shared" si="0"/>
        <v>15583.332722485266</v>
      </c>
      <c r="D16" s="26">
        <f t="shared" si="0"/>
        <v>15496.113382929141</v>
      </c>
      <c r="E16" s="26">
        <f t="shared" si="0"/>
        <v>15409.414552290014</v>
      </c>
      <c r="F16" s="26">
        <f t="shared" si="0"/>
        <v>15323.233175629664</v>
      </c>
      <c r="G16" s="26">
        <f t="shared" si="0"/>
        <v>15237.5662146131</v>
      </c>
    </row>
    <row r="17" spans="1:7" x14ac:dyDescent="0.25">
      <c r="A17">
        <v>11</v>
      </c>
      <c r="B17" s="26">
        <f t="shared" si="0"/>
        <v>17680.88727342532</v>
      </c>
      <c r="C17" s="26">
        <f t="shared" si="0"/>
        <v>17572.149360442065</v>
      </c>
      <c r="D17" s="26">
        <f t="shared" si="0"/>
        <v>17464.134598543893</v>
      </c>
      <c r="E17" s="26">
        <f t="shared" si="0"/>
        <v>17356.838207143064</v>
      </c>
      <c r="F17" s="26">
        <f t="shared" si="0"/>
        <v>17250.255435357372</v>
      </c>
      <c r="G17" s="26">
        <f t="shared" si="0"/>
        <v>17144.381561841452</v>
      </c>
    </row>
    <row r="18" spans="1:7" x14ac:dyDescent="0.25">
      <c r="A18">
        <v>12</v>
      </c>
      <c r="B18" s="26">
        <f t="shared" si="0"/>
        <v>19787.169862549748</v>
      </c>
      <c r="C18" s="26">
        <f t="shared" si="0"/>
        <v>19654.440380382839</v>
      </c>
      <c r="D18" s="26">
        <f t="shared" si="0"/>
        <v>19522.684790076903</v>
      </c>
      <c r="E18" s="26">
        <f t="shared" si="0"/>
        <v>19391.895926464491</v>
      </c>
      <c r="F18" s="26">
        <f t="shared" si="0"/>
        <v>19262.066674513095</v>
      </c>
      <c r="G18" s="26">
        <f t="shared" si="0"/>
        <v>19133.189969000636</v>
      </c>
    </row>
    <row r="19" spans="1:7" x14ac:dyDescent="0.25">
      <c r="A19">
        <v>13</v>
      </c>
      <c r="B19" s="26">
        <f t="shared" si="0"/>
        <v>21994.554015952137</v>
      </c>
      <c r="C19" s="26">
        <f t="shared" si="0"/>
        <v>21834.599078260835</v>
      </c>
      <c r="D19" s="26">
        <f t="shared" si="0"/>
        <v>21675.928290420448</v>
      </c>
      <c r="E19" s="26">
        <f t="shared" si="0"/>
        <v>21518.531243155398</v>
      </c>
      <c r="F19" s="26">
        <f t="shared" si="0"/>
        <v>21362.397608191666</v>
      </c>
      <c r="G19" s="26">
        <f t="shared" si="0"/>
        <v>21207.517137667659</v>
      </c>
    </row>
    <row r="20" spans="1:7" x14ac:dyDescent="0.25">
      <c r="A20">
        <v>14</v>
      </c>
      <c r="B20" s="26">
        <f t="shared" si="0"/>
        <v>24307.892608717852</v>
      </c>
      <c r="C20" s="26">
        <f t="shared" si="0"/>
        <v>24117.225234939076</v>
      </c>
      <c r="D20" s="26">
        <f t="shared" si="0"/>
        <v>23928.220991779788</v>
      </c>
      <c r="E20" s="26">
        <f t="shared" si="0"/>
        <v>23740.865149097375</v>
      </c>
      <c r="F20" s="26">
        <f t="shared" si="0"/>
        <v>23555.143102952105</v>
      </c>
      <c r="G20" s="26">
        <f t="shared" si="0"/>
        <v>23371.040374587374</v>
      </c>
    </row>
    <row r="21" spans="1:7" x14ac:dyDescent="0.25">
      <c r="A21">
        <v>15</v>
      </c>
      <c r="B21" s="26">
        <f t="shared" si="0"/>
        <v>26732.271453936301</v>
      </c>
      <c r="C21" s="26">
        <f t="shared" si="0"/>
        <v>26507.134820981217</v>
      </c>
      <c r="D21" s="26">
        <f t="shared" si="0"/>
        <v>26284.119157401667</v>
      </c>
      <c r="E21" s="26">
        <f t="shared" si="0"/>
        <v>26063.204080806765</v>
      </c>
      <c r="F21" s="26">
        <f t="shared" si="0"/>
        <v>25844.369399482006</v>
      </c>
      <c r="G21" s="26">
        <f t="shared" si="0"/>
        <v>25627.595110694616</v>
      </c>
    </row>
    <row r="22" spans="1:7" x14ac:dyDescent="0.25">
      <c r="A22">
        <v>16</v>
      </c>
      <c r="B22" s="26">
        <f t="shared" si="0"/>
        <v>29273.02048372526</v>
      </c>
      <c r="C22" s="26">
        <f t="shared" si="0"/>
        <v>29009.370157567319</v>
      </c>
      <c r="D22" s="26">
        <f t="shared" si="0"/>
        <v>28748.38863864214</v>
      </c>
      <c r="E22" s="26">
        <f t="shared" si="0"/>
        <v>28490.048264443045</v>
      </c>
      <c r="F22" s="26">
        <f t="shared" si="0"/>
        <v>28234.321653059207</v>
      </c>
      <c r="G22" s="26">
        <f t="shared" si="0"/>
        <v>27981.181700454479</v>
      </c>
    </row>
    <row r="23" spans="1:7" x14ac:dyDescent="0.25">
      <c r="A23">
        <v>17</v>
      </c>
      <c r="B23" s="26">
        <f t="shared" ref="B23:G38" si="1">FV($B$3-B$5,$A23,-$B$2,0,1)</f>
        <v>31935.725466944081</v>
      </c>
      <c r="C23" s="26">
        <f t="shared" si="1"/>
        <v>31629.210554972979</v>
      </c>
      <c r="D23" s="26">
        <f t="shared" si="1"/>
        <v>31326.014516019684</v>
      </c>
      <c r="E23" s="26">
        <f t="shared" si="1"/>
        <v>31026.100436342982</v>
      </c>
      <c r="F23" s="26">
        <f t="shared" si="1"/>
        <v>30729.431805793807</v>
      </c>
      <c r="G23" s="26">
        <f t="shared" si="1"/>
        <v>30435.972513574026</v>
      </c>
    </row>
    <row r="24" spans="1:7" x14ac:dyDescent="0.25">
      <c r="A24">
        <v>18</v>
      </c>
      <c r="B24" s="26">
        <f t="shared" si="1"/>
        <v>34726.240289357404</v>
      </c>
      <c r="C24" s="26">
        <f t="shared" si="1"/>
        <v>34372.183451056691</v>
      </c>
      <c r="D24" s="26">
        <f t="shared" si="1"/>
        <v>34022.21118375659</v>
      </c>
      <c r="E24" s="26">
        <f t="shared" si="1"/>
        <v>33676.274955978406</v>
      </c>
      <c r="F24" s="26">
        <f t="shared" si="1"/>
        <v>33334.32680524874</v>
      </c>
      <c r="G24" s="26">
        <f t="shared" si="1"/>
        <v>32996.319331657694</v>
      </c>
    </row>
    <row r="25" spans="1:7" x14ac:dyDescent="0.25">
      <c r="A25">
        <v>19</v>
      </c>
      <c r="B25" s="26">
        <f t="shared" si="1"/>
        <v>37650.699823246548</v>
      </c>
      <c r="C25" s="26">
        <f t="shared" si="1"/>
        <v>37244.076073256358</v>
      </c>
      <c r="D25" s="26">
        <f t="shared" si="1"/>
        <v>36842.432898209401</v>
      </c>
      <c r="E25" s="26">
        <f t="shared" si="1"/>
        <v>36445.707328997429</v>
      </c>
      <c r="F25" s="26">
        <f t="shared" si="1"/>
        <v>36053.837184679694</v>
      </c>
      <c r="G25" s="26">
        <f t="shared" si="1"/>
        <v>35666.761062918973</v>
      </c>
    </row>
    <row r="26" spans="1:7" x14ac:dyDescent="0.25">
      <c r="A26">
        <v>20</v>
      </c>
      <c r="B26" s="26">
        <f t="shared" si="1"/>
        <v>40715.533414762416</v>
      </c>
      <c r="C26" s="26">
        <f t="shared" si="1"/>
        <v>40250.947648699403</v>
      </c>
      <c r="D26" s="26">
        <f t="shared" si="1"/>
        <v>39792.384811527023</v>
      </c>
      <c r="E26" s="26">
        <f t="shared" si="1"/>
        <v>39339.764158802289</v>
      </c>
      <c r="F26" s="26">
        <f t="shared" si="1"/>
        <v>38893.006020805602</v>
      </c>
      <c r="G26" s="26">
        <f t="shared" si="1"/>
        <v>38452.031788624481</v>
      </c>
    </row>
    <row r="27" spans="1:7" x14ac:dyDescent="0.25">
      <c r="A27">
        <v>21</v>
      </c>
      <c r="B27" s="26">
        <f t="shared" si="1"/>
        <v>43927.479018671002</v>
      </c>
      <c r="C27" s="26">
        <f t="shared" si="1"/>
        <v>43399.142188188271</v>
      </c>
      <c r="D27" s="26">
        <f t="shared" si="1"/>
        <v>42878.034512857274</v>
      </c>
      <c r="E27" s="26">
        <f t="shared" si="1"/>
        <v>42364.053545948409</v>
      </c>
      <c r="F27" s="26">
        <f t="shared" si="1"/>
        <v>41857.09828572104</v>
      </c>
      <c r="G27" s="26">
        <f t="shared" si="1"/>
        <v>41357.069155535333</v>
      </c>
    </row>
    <row r="28" spans="1:7" x14ac:dyDescent="0.25">
      <c r="A28">
        <v>22</v>
      </c>
      <c r="B28" s="26">
        <f t="shared" si="1"/>
        <v>47293.598011567221</v>
      </c>
      <c r="C28" s="26">
        <f t="shared" si="1"/>
        <v>46695.301871033109</v>
      </c>
      <c r="D28" s="26">
        <f t="shared" si="1"/>
        <v>46105.624100448709</v>
      </c>
      <c r="E28" s="26">
        <f t="shared" si="1"/>
        <v>45524.435955516055</v>
      </c>
      <c r="F28" s="26">
        <f t="shared" si="1"/>
        <v>44951.610610292766</v>
      </c>
      <c r="G28" s="26">
        <f t="shared" si="1"/>
        <v>44387.023129223358</v>
      </c>
    </row>
    <row r="29" spans="1:7" x14ac:dyDescent="0.25">
      <c r="A29">
        <v>23</v>
      </c>
      <c r="B29" s="26">
        <f t="shared" si="1"/>
        <v>50821.290716122443</v>
      </c>
      <c r="C29" s="26">
        <f t="shared" si="1"/>
        <v>50146.38105897166</v>
      </c>
      <c r="D29" s="26">
        <f t="shared" si="1"/>
        <v>49481.682809069353</v>
      </c>
      <c r="E29" s="26">
        <f t="shared" si="1"/>
        <v>48827.03557351428</v>
      </c>
      <c r="F29" s="26">
        <f t="shared" si="1"/>
        <v>48182.281477145654</v>
      </c>
      <c r="G29" s="26">
        <f t="shared" si="1"/>
        <v>47547.265123779929</v>
      </c>
    </row>
    <row r="30" spans="1:7" x14ac:dyDescent="0.25">
      <c r="A30">
        <v>24</v>
      </c>
      <c r="B30" s="26">
        <f t="shared" si="1"/>
        <v>54518.312670496343</v>
      </c>
      <c r="C30" s="26">
        <f t="shared" si="1"/>
        <v>53759.660968743316</v>
      </c>
      <c r="D30" s="26">
        <f t="shared" si="1"/>
        <v>53013.040218286551</v>
      </c>
      <c r="E30" s="26">
        <f t="shared" si="1"/>
        <v>52278.252174322406</v>
      </c>
      <c r="F30" s="26">
        <f t="shared" si="1"/>
        <v>51555.101862140065</v>
      </c>
      <c r="G30" s="26">
        <f t="shared" si="1"/>
        <v>50843.397524102482</v>
      </c>
    </row>
    <row r="31" spans="1:7" x14ac:dyDescent="0.25">
      <c r="A31">
        <v>25</v>
      </c>
      <c r="B31" s="26">
        <f t="shared" si="1"/>
        <v>58392.791678680165</v>
      </c>
      <c r="C31" s="26">
        <f t="shared" si="1"/>
        <v>57542.765034274242</v>
      </c>
      <c r="D31" s="26">
        <f t="shared" si="1"/>
        <v>56706.840068327736</v>
      </c>
      <c r="E31" s="26">
        <f t="shared" si="1"/>
        <v>55884.773522166914</v>
      </c>
      <c r="F31" s="26">
        <f t="shared" si="1"/>
        <v>55076.326344074238</v>
      </c>
      <c r="G31" s="26">
        <f t="shared" si="1"/>
        <v>54281.263617638877</v>
      </c>
    </row>
    <row r="32" spans="1:7" x14ac:dyDescent="0.25">
      <c r="A32">
        <v>26</v>
      </c>
      <c r="B32" s="26">
        <f t="shared" si="1"/>
        <v>62453.245679256812</v>
      </c>
      <c r="C32" s="26">
        <f t="shared" si="1"/>
        <v>61503.67499088512</v>
      </c>
      <c r="D32" s="26">
        <f t="shared" si="1"/>
        <v>60570.554711470802</v>
      </c>
      <c r="E32" s="26">
        <f t="shared" si="1"/>
        <v>59653.588330664403</v>
      </c>
      <c r="F32" s="26">
        <f t="shared" si="1"/>
        <v>58752.4847032135</v>
      </c>
      <c r="G32" s="26">
        <f t="shared" si="1"/>
        <v>57866.95795319735</v>
      </c>
    </row>
    <row r="33" spans="1:7" x14ac:dyDescent="0.25">
      <c r="A33">
        <v>27</v>
      </c>
      <c r="B33" s="26">
        <f t="shared" si="1"/>
        <v>66708.60147186114</v>
      </c>
      <c r="C33" s="26">
        <f t="shared" si="1"/>
        <v>65650.747715456702</v>
      </c>
      <c r="D33" s="26">
        <f t="shared" si="1"/>
        <v>64612.000228198493</v>
      </c>
      <c r="E33" s="26">
        <f t="shared" si="1"/>
        <v>63591.999805544307</v>
      </c>
      <c r="F33" s="26">
        <f t="shared" si="1"/>
        <v>62590.394030154901</v>
      </c>
      <c r="G33" s="26">
        <f t="shared" si="1"/>
        <v>61606.837145184822</v>
      </c>
    </row>
    <row r="34" spans="1:7" x14ac:dyDescent="0.25">
      <c r="A34">
        <v>28</v>
      </c>
      <c r="B34" s="26">
        <f t="shared" si="1"/>
        <v>71168.214342510502</v>
      </c>
      <c r="C34" s="26">
        <f t="shared" si="1"/>
        <v>69992.732858083167</v>
      </c>
      <c r="D34" s="26">
        <f t="shared" si="1"/>
        <v>68839.352238695603</v>
      </c>
      <c r="E34" s="26">
        <f t="shared" si="1"/>
        <v>67707.639796793766</v>
      </c>
      <c r="F34" s="26">
        <f t="shared" si="1"/>
        <v>66597.171367481715</v>
      </c>
      <c r="G34" s="26">
        <f t="shared" si="1"/>
        <v>65507.531142427753</v>
      </c>
    </row>
    <row r="35" spans="1:7" x14ac:dyDescent="0.25">
      <c r="A35">
        <v>29</v>
      </c>
      <c r="B35" s="26">
        <f t="shared" si="1"/>
        <v>75841.888630950998</v>
      </c>
      <c r="C35" s="26">
        <f t="shared" si="1"/>
        <v>74538.791302413068</v>
      </c>
      <c r="D35" s="26">
        <f t="shared" si="1"/>
        <v>73261.162441675609</v>
      </c>
      <c r="E35" s="26">
        <f t="shared" si="1"/>
        <v>72008.483587649505</v>
      </c>
      <c r="F35" s="26">
        <f t="shared" si="1"/>
        <v>70780.246907650901</v>
      </c>
      <c r="G35" s="26">
        <f t="shared" si="1"/>
        <v>69575.954981552146</v>
      </c>
    </row>
    <row r="36" spans="1:7" x14ac:dyDescent="0.25">
      <c r="A36">
        <v>30</v>
      </c>
      <c r="B36" s="26">
        <f t="shared" si="1"/>
        <v>80739.899285236679</v>
      </c>
      <c r="C36" s="26">
        <f t="shared" si="1"/>
        <v>79298.514493626455</v>
      </c>
      <c r="D36" s="26">
        <f t="shared" si="1"/>
        <v>77886.375913992699</v>
      </c>
      <c r="E36" s="26">
        <f t="shared" si="1"/>
        <v>76502.865349093699</v>
      </c>
      <c r="F36" s="26">
        <f t="shared" si="1"/>
        <v>75147.377771587548</v>
      </c>
      <c r="G36" s="26">
        <f t="shared" si="1"/>
        <v>73819.321045758887</v>
      </c>
    </row>
    <row r="37" spans="1:7" x14ac:dyDescent="0.25">
      <c r="A37">
        <v>31</v>
      </c>
      <c r="B37" s="26">
        <f t="shared" si="1"/>
        <v>85873.014450928022</v>
      </c>
      <c r="C37" s="26">
        <f t="shared" si="1"/>
        <v>84281.944674826882</v>
      </c>
      <c r="D37" s="26">
        <f t="shared" si="1"/>
        <v>82724.349206036379</v>
      </c>
      <c r="E37" s="26">
        <f t="shared" si="1"/>
        <v>81199.494289802926</v>
      </c>
      <c r="F37" s="26">
        <f t="shared" si="1"/>
        <v>79706.662393537408</v>
      </c>
      <c r="G37" s="26">
        <f t="shared" si="1"/>
        <v>78245.151850726499</v>
      </c>
    </row>
    <row r="38" spans="1:7" x14ac:dyDescent="0.25">
      <c r="A38">
        <v>32</v>
      </c>
      <c r="B38" s="26">
        <f t="shared" si="1"/>
        <v>91252.519144572623</v>
      </c>
      <c r="C38" s="26">
        <f t="shared" si="1"/>
        <v>89499.596074543733</v>
      </c>
      <c r="D38" s="26">
        <f t="shared" si="1"/>
        <v>87784.869269514034</v>
      </c>
      <c r="E38" s="26">
        <f t="shared" si="1"/>
        <v>86107.471532844007</v>
      </c>
      <c r="F38" s="26">
        <f t="shared" si="1"/>
        <v>84466.555538853048</v>
      </c>
      <c r="G38" s="26">
        <f t="shared" si="1"/>
        <v>82861.293380307747</v>
      </c>
    </row>
    <row r="39" spans="1:7" x14ac:dyDescent="0.25">
      <c r="A39">
        <v>33</v>
      </c>
      <c r="B39" s="26">
        <f t="shared" ref="B39:G46" si="2">FV($B$3-B$5,$A39,-$B$2,0,1)</f>
        <v>96890.240063512116</v>
      </c>
      <c r="C39" s="26">
        <f t="shared" si="2"/>
        <v>94962.477090047309</v>
      </c>
      <c r="D39" s="26">
        <f t="shared" si="2"/>
        <v>93078.173255911694</v>
      </c>
      <c r="E39" s="26">
        <f t="shared" si="2"/>
        <v>91236.307751821951</v>
      </c>
      <c r="F39" s="26">
        <f t="shared" si="2"/>
        <v>89435.883982562606</v>
      </c>
      <c r="G39" s="26">
        <f t="shared" si="2"/>
        <v>87675.928995660972</v>
      </c>
    </row>
    <row r="40" spans="1:7" x14ac:dyDescent="0.25">
      <c r="A40">
        <v>34</v>
      </c>
      <c r="B40" s="26">
        <f t="shared" si="2"/>
        <v>102798.57158656071</v>
      </c>
      <c r="C40" s="26">
        <f t="shared" si="2"/>
        <v>100682.11351327949</v>
      </c>
      <c r="D40" s="26">
        <f t="shared" si="2"/>
        <v>98614.969225683613</v>
      </c>
      <c r="E40" s="26">
        <f t="shared" si="2"/>
        <v>96595.941600653925</v>
      </c>
      <c r="F40" s="26">
        <f t="shared" si="2"/>
        <v>94623.862877795356</v>
      </c>
      <c r="G40" s="26">
        <f t="shared" si="2"/>
        <v>92697.593942474385</v>
      </c>
    </row>
    <row r="41" spans="1:7" x14ac:dyDescent="0.25">
      <c r="A41">
        <v>35</v>
      </c>
      <c r="B41" s="26">
        <f t="shared" si="2"/>
        <v>108990.50302271561</v>
      </c>
      <c r="C41" s="26">
        <f t="shared" si="2"/>
        <v>106670.57284840359</v>
      </c>
      <c r="D41" s="26">
        <f t="shared" si="2"/>
        <v>104406.45781006508</v>
      </c>
      <c r="E41" s="26">
        <f t="shared" si="2"/>
        <v>102196.75897268337</v>
      </c>
      <c r="F41" s="26">
        <f t="shared" si="2"/>
        <v>100040.11284441834</v>
      </c>
      <c r="G41" s="26">
        <f t="shared" si="2"/>
        <v>97935.190482000762</v>
      </c>
    </row>
    <row r="42" spans="1:7" x14ac:dyDescent="0.25">
      <c r="A42">
        <v>36</v>
      </c>
      <c r="B42" s="26">
        <f t="shared" si="2"/>
        <v>115479.647167806</v>
      </c>
      <c r="C42" s="26">
        <f t="shared" si="2"/>
        <v>112940.48977227858</v>
      </c>
      <c r="D42" s="26">
        <f t="shared" si="2"/>
        <v>110464.35486932809</v>
      </c>
      <c r="E42" s="26">
        <f t="shared" si="2"/>
        <v>108049.61312645407</v>
      </c>
      <c r="F42" s="26">
        <f t="shared" si="2"/>
        <v>105694.67780957276</v>
      </c>
      <c r="G42" s="26">
        <f t="shared" si="2"/>
        <v>103398.0036727268</v>
      </c>
    </row>
    <row r="43" spans="1:7" x14ac:dyDescent="0.25">
      <c r="A43">
        <v>37</v>
      </c>
      <c r="B43" s="26">
        <f t="shared" si="2"/>
        <v>122280.2702318607</v>
      </c>
      <c r="C43" s="26">
        <f t="shared" si="2"/>
        <v>119505.09279157566</v>
      </c>
      <c r="D43" s="26">
        <f t="shared" si="2"/>
        <v>116800.91519331717</v>
      </c>
      <c r="E43" s="26">
        <f t="shared" si="2"/>
        <v>114165.84571714452</v>
      </c>
      <c r="F43" s="26">
        <f t="shared" si="2"/>
        <v>111598.04363319394</v>
      </c>
      <c r="G43" s="26">
        <f t="shared" si="2"/>
        <v>109095.71783065403</v>
      </c>
    </row>
    <row r="44" spans="1:7" x14ac:dyDescent="0.25">
      <c r="A44">
        <v>38</v>
      </c>
      <c r="B44" s="26">
        <f t="shared" si="2"/>
        <v>129407.32320299004</v>
      </c>
      <c r="C44" s="26">
        <f t="shared" si="2"/>
        <v>126378.23215277969</v>
      </c>
      <c r="D44" s="26">
        <f t="shared" si="2"/>
        <v>123428.95729220979</v>
      </c>
      <c r="E44" s="26">
        <f t="shared" si="2"/>
        <v>120557.30877441599</v>
      </c>
      <c r="F44" s="26">
        <f t="shared" si="2"/>
        <v>117761.15755305451</v>
      </c>
      <c r="G44" s="26">
        <f t="shared" si="2"/>
        <v>115038.43369737217</v>
      </c>
    </row>
    <row r="45" spans="1:7" x14ac:dyDescent="0.25">
      <c r="A45">
        <v>39</v>
      </c>
      <c r="B45" s="26">
        <f t="shared" si="2"/>
        <v>136876.47471673356</v>
      </c>
      <c r="C45" s="26">
        <f t="shared" si="2"/>
        <v>133574.40906396031</v>
      </c>
      <c r="D45" s="26">
        <f t="shared" si="2"/>
        <v>130361.88932765143</v>
      </c>
      <c r="E45" s="26">
        <f t="shared" si="2"/>
        <v>127236.38766926472</v>
      </c>
      <c r="F45" s="26">
        <f t="shared" si="2"/>
        <v>124195.44848538893</v>
      </c>
      <c r="G45" s="26">
        <f t="shared" si="2"/>
        <v>121236.68634635911</v>
      </c>
    </row>
    <row r="46" spans="1:7" x14ac:dyDescent="0.25">
      <c r="A46">
        <v>40</v>
      </c>
      <c r="B46" s="26">
        <f t="shared" si="2"/>
        <v>144704.1455031368</v>
      </c>
      <c r="C46" s="26">
        <f t="shared" si="2"/>
        <v>141108.80628996642</v>
      </c>
      <c r="D46" s="26">
        <f t="shared" si="2"/>
        <v>137613.7362367234</v>
      </c>
      <c r="E46" s="26">
        <f t="shared" si="2"/>
        <v>134216.0251143816</v>
      </c>
      <c r="F46" s="26">
        <f t="shared" si="2"/>
        <v>130912.84821874599</v>
      </c>
      <c r="G46" s="26">
        <f t="shared" si="2"/>
        <v>127701.46385925257</v>
      </c>
    </row>
  </sheetData>
  <sheetProtection sheet="1" objects="1" scenarios="1"/>
  <mergeCells count="2">
    <mergeCell ref="B6:G6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6"/>
  <sheetViews>
    <sheetView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7.140625" bestFit="1" customWidth="1"/>
    <col min="2" max="2" width="25.85546875" bestFit="1" customWidth="1"/>
    <col min="3" max="3" width="14.85546875" bestFit="1" customWidth="1"/>
    <col min="4" max="4" width="36.5703125" bestFit="1" customWidth="1"/>
    <col min="5" max="5" width="46.140625" bestFit="1" customWidth="1"/>
    <col min="6" max="6" width="26.85546875" bestFit="1" customWidth="1"/>
    <col min="7" max="7" width="24.85546875" bestFit="1" customWidth="1"/>
    <col min="8" max="8" width="22" bestFit="1" customWidth="1"/>
    <col min="9" max="9" width="15.42578125" bestFit="1" customWidth="1"/>
    <col min="10" max="10" width="22.28515625" bestFit="1" customWidth="1"/>
    <col min="11" max="11" width="14" bestFit="1" customWidth="1"/>
    <col min="12" max="12" width="20.42578125" bestFit="1" customWidth="1"/>
    <col min="13" max="13" width="19.85546875" bestFit="1" customWidth="1"/>
    <col min="14" max="14" width="12.7109375" bestFit="1" customWidth="1"/>
    <col min="15" max="15" width="31.28515625" bestFit="1" customWidth="1"/>
    <col min="16" max="16" width="18" bestFit="1" customWidth="1"/>
    <col min="17" max="17" width="41.5703125" bestFit="1" customWidth="1"/>
    <col min="18" max="18" width="22.28515625" bestFit="1" customWidth="1"/>
    <col min="19" max="19" width="33" bestFit="1" customWidth="1"/>
    <col min="20" max="20" width="53" bestFit="1" customWidth="1"/>
    <col min="21" max="21" width="24.42578125" style="12" bestFit="1" customWidth="1"/>
    <col min="22" max="22" width="41.5703125" style="12" bestFit="1" customWidth="1"/>
    <col min="23" max="23" width="51.85546875" style="12" bestFit="1" customWidth="1"/>
    <col min="24" max="24" width="43" style="12" bestFit="1" customWidth="1"/>
    <col min="25" max="25" width="42" style="12" bestFit="1" customWidth="1"/>
    <col min="26" max="26" width="34" style="12" bestFit="1" customWidth="1"/>
    <col min="27" max="27" width="22.28515625" style="12" bestFit="1" customWidth="1"/>
    <col min="28" max="28" width="38" style="12" bestFit="1" customWidth="1"/>
    <col min="29" max="29" width="13.28515625" style="12" bestFit="1" customWidth="1"/>
    <col min="30" max="30" width="20.42578125" style="12" bestFit="1" customWidth="1"/>
    <col min="31" max="31" width="19.85546875" style="12" bestFit="1" customWidth="1"/>
    <col min="32" max="32" width="12.7109375" style="12" bestFit="1" customWidth="1"/>
    <col min="33" max="33" width="31.5703125" style="12" bestFit="1" customWidth="1"/>
    <col min="34" max="34" width="18" style="12" bestFit="1" customWidth="1"/>
    <col min="35" max="35" width="41.5703125" style="12" bestFit="1" customWidth="1"/>
    <col min="36" max="36" width="30.140625" style="12" bestFit="1" customWidth="1"/>
    <col min="37" max="37" width="33.28515625" style="12" bestFit="1" customWidth="1"/>
    <col min="38" max="38" width="46.140625" style="12" bestFit="1" customWidth="1"/>
    <col min="39" max="39" width="24.42578125" style="12" bestFit="1" customWidth="1"/>
    <col min="40" max="40" width="22.7109375" style="12" bestFit="1" customWidth="1"/>
    <col min="41" max="41" width="18" style="12" bestFit="1" customWidth="1"/>
    <col min="42" max="43" width="41.5703125" style="12" customWidth="1"/>
    <col min="44" max="44" width="40.85546875" style="12" bestFit="1" customWidth="1"/>
    <col min="45" max="45" width="34" style="12" bestFit="1" customWidth="1"/>
    <col min="46" max="46" width="22.28515625" style="12" bestFit="1" customWidth="1"/>
    <col min="47" max="47" width="33" style="12" bestFit="1" customWidth="1"/>
    <col min="48" max="48" width="13.28515625" style="12" bestFit="1" customWidth="1"/>
    <col min="49" max="49" width="20.42578125" style="12" bestFit="1" customWidth="1"/>
    <col min="50" max="50" width="97.7109375" style="12" bestFit="1" customWidth="1"/>
    <col min="51" max="51" width="12.7109375" style="12" bestFit="1" customWidth="1"/>
    <col min="52" max="52" width="31.5703125" bestFit="1" customWidth="1"/>
    <col min="53" max="53" width="18" bestFit="1" customWidth="1"/>
    <col min="54" max="54" width="41.5703125" bestFit="1" customWidth="1"/>
    <col min="55" max="55" width="30.140625" bestFit="1" customWidth="1"/>
    <col min="56" max="56" width="33.28515625" bestFit="1" customWidth="1"/>
    <col min="57" max="57" width="46.140625" bestFit="1" customWidth="1"/>
    <col min="58" max="58" width="24.42578125" bestFit="1" customWidth="1"/>
    <col min="59" max="59" width="22.7109375" bestFit="1" customWidth="1"/>
    <col min="60" max="60" width="40.85546875" bestFit="1" customWidth="1"/>
    <col min="61" max="61" width="34" bestFit="1" customWidth="1"/>
    <col min="62" max="62" width="22.28515625" bestFit="1" customWidth="1"/>
    <col min="63" max="63" width="25.85546875" bestFit="1" customWidth="1"/>
    <col min="64" max="64" width="13.28515625" bestFit="1" customWidth="1"/>
    <col min="65" max="65" width="20.42578125" bestFit="1" customWidth="1"/>
    <col min="66" max="66" width="19.85546875" bestFit="1" customWidth="1"/>
  </cols>
  <sheetData>
    <row r="1" spans="1:66" x14ac:dyDescent="0.25">
      <c r="A1" s="1" t="s">
        <v>7</v>
      </c>
      <c r="B1" s="20">
        <f>Ergebnisse!B31</f>
        <v>0.05</v>
      </c>
      <c r="C1" s="10"/>
      <c r="E1" s="76" t="s">
        <v>15</v>
      </c>
      <c r="F1" s="76"/>
      <c r="G1" s="76" t="s">
        <v>20</v>
      </c>
      <c r="H1" s="76"/>
      <c r="U1"/>
      <c r="V1"/>
      <c r="AZ1" s="12"/>
      <c r="BA1" s="12"/>
      <c r="BB1" s="12"/>
      <c r="BC1" s="12"/>
      <c r="BD1" s="12"/>
    </row>
    <row r="2" spans="1:66" x14ac:dyDescent="0.25">
      <c r="A2" s="1" t="s">
        <v>0</v>
      </c>
      <c r="B2" s="20">
        <f>Ergebnisse!B32</f>
        <v>0.02</v>
      </c>
      <c r="C2" s="10"/>
      <c r="D2" s="21" t="s">
        <v>19</v>
      </c>
      <c r="E2" s="21">
        <f>Ergebnisse!E37</f>
        <v>20</v>
      </c>
      <c r="F2" s="21">
        <f>Ergebnisse!F37</f>
        <v>35</v>
      </c>
      <c r="G2" s="21">
        <f>Ergebnisse!G37</f>
        <v>20</v>
      </c>
      <c r="H2" s="21">
        <f>Ergebnisse!H37</f>
        <v>35</v>
      </c>
      <c r="U2"/>
      <c r="V2"/>
      <c r="AZ2" s="12"/>
      <c r="BA2" s="12"/>
      <c r="BB2" s="12"/>
      <c r="BC2" s="12"/>
      <c r="BD2" s="12"/>
    </row>
    <row r="3" spans="1:66" x14ac:dyDescent="0.25">
      <c r="A3" s="1" t="s">
        <v>1</v>
      </c>
      <c r="B3" s="20">
        <f>Ergebnisse!B33</f>
        <v>0.02</v>
      </c>
      <c r="C3" s="10"/>
      <c r="D3" s="7" t="s">
        <v>36</v>
      </c>
      <c r="E3" s="18">
        <f>VLOOKUP(E2,A17:BN56,8)</f>
        <v>48293.282290200179</v>
      </c>
      <c r="F3" s="18">
        <f>VLOOKUP(F2,A17:BN56,8)</f>
        <v>145462.12496364568</v>
      </c>
      <c r="G3" s="18">
        <f>VLOOKUP(G2,A17:BN56,13)</f>
        <v>42414.412396866232</v>
      </c>
      <c r="H3" s="18">
        <f>VLOOKUP(H2,A17:BN56,13)</f>
        <v>119963.95621407779</v>
      </c>
      <c r="U3"/>
      <c r="V3"/>
      <c r="AZ3" s="12"/>
      <c r="BA3" s="12"/>
      <c r="BB3" s="12"/>
      <c r="BC3" s="12"/>
      <c r="BD3" s="12"/>
    </row>
    <row r="4" spans="1:66" x14ac:dyDescent="0.25">
      <c r="A4" s="1" t="s">
        <v>31</v>
      </c>
      <c r="B4" s="20">
        <f>Ergebnisse!B34</f>
        <v>0.1</v>
      </c>
      <c r="C4" s="10"/>
      <c r="D4" s="4" t="s">
        <v>35</v>
      </c>
      <c r="E4" s="13">
        <f>VLOOKUP(E2,A17:BN56,25)</f>
        <v>46149.900232031621</v>
      </c>
      <c r="F4" s="13">
        <f>VLOOKUP(H2,A17:BN56,25)</f>
        <v>133938.62933097631</v>
      </c>
      <c r="G4" s="13">
        <f>VLOOKUP(G2,A17:BN56,31)</f>
        <v>42713.07535382206</v>
      </c>
      <c r="H4" s="13">
        <f>VLOOKUP(H2,A17:BN56,31)</f>
        <v>119600.98534184007</v>
      </c>
      <c r="U4"/>
      <c r="V4"/>
      <c r="AZ4" s="12"/>
      <c r="BA4" s="12"/>
      <c r="BB4" s="12"/>
      <c r="BC4" s="12"/>
      <c r="BD4" s="12"/>
    </row>
    <row r="5" spans="1:66" x14ac:dyDescent="0.25">
      <c r="A5" s="1" t="s">
        <v>4</v>
      </c>
      <c r="B5" s="20">
        <f>Ergebnisse!B35</f>
        <v>0.25</v>
      </c>
      <c r="D5" s="14" t="s">
        <v>34</v>
      </c>
      <c r="E5" s="28">
        <f>VLOOKUP(E2,A17:BN56,44)</f>
        <v>46352.260318083303</v>
      </c>
      <c r="F5" s="28">
        <f>VLOOKUP(H2,A17:BN56,44)</f>
        <v>134335.5788118123</v>
      </c>
      <c r="G5" s="28">
        <f>VLOOKUP(G2,A17:BN56,50)</f>
        <v>43101.991169968431</v>
      </c>
      <c r="H5" s="28">
        <f>VLOOKUP(H2,A17:BN56,50)</f>
        <v>121171.46163788886</v>
      </c>
      <c r="U5"/>
      <c r="V5"/>
      <c r="AZ5" s="12"/>
      <c r="BA5" s="12"/>
      <c r="BB5" s="12"/>
      <c r="BC5" s="12"/>
      <c r="BD5" s="12"/>
    </row>
    <row r="6" spans="1:66" x14ac:dyDescent="0.25">
      <c r="A6" s="1" t="s">
        <v>65</v>
      </c>
      <c r="B6" s="20">
        <f>Ergebnisse!B36</f>
        <v>5.5E-2</v>
      </c>
      <c r="D6" s="49" t="s">
        <v>33</v>
      </c>
      <c r="E6" s="52">
        <f>VLOOKUP(E2,A17:BN56,60)</f>
        <v>46278.180995152135</v>
      </c>
      <c r="F6" s="52">
        <f>VLOOKUP(H2,A17:BN56,60)</f>
        <v>134613.90138516182</v>
      </c>
      <c r="G6" s="52">
        <f>VLOOKUP(G2,A17:BN56,66)</f>
        <v>42807.256956938865</v>
      </c>
      <c r="H6" s="52">
        <f>VLOOKUP(H2,A17:BN56,66)</f>
        <v>120106.56911402552</v>
      </c>
    </row>
    <row r="7" spans="1:66" x14ac:dyDescent="0.25">
      <c r="A7" s="1" t="s">
        <v>66</v>
      </c>
      <c r="B7" s="20">
        <f>Ergebnisse!B37</f>
        <v>0.09</v>
      </c>
      <c r="D7" s="31"/>
      <c r="E7" s="42"/>
      <c r="F7" s="42"/>
      <c r="G7" s="42"/>
      <c r="H7" s="42"/>
      <c r="AP7" s="59"/>
      <c r="AQ7" s="59"/>
    </row>
    <row r="8" spans="1:66" x14ac:dyDescent="0.25">
      <c r="A8" s="1" t="s">
        <v>67</v>
      </c>
      <c r="B8" s="86">
        <f>(1/(1/B5+B7))*(1+B6+B7)</f>
        <v>0.27995110024449882</v>
      </c>
      <c r="D8" s="31"/>
      <c r="E8" s="42"/>
      <c r="F8" s="42"/>
      <c r="G8" s="42"/>
      <c r="H8" s="42"/>
      <c r="AP8" s="59"/>
      <c r="AQ8" s="59"/>
    </row>
    <row r="9" spans="1:66" x14ac:dyDescent="0.25">
      <c r="A9" s="1" t="s">
        <v>68</v>
      </c>
      <c r="B9" s="87">
        <f>(1-MIN(B5,B4)/B5)/(1-B4)*B8</f>
        <v>0.18663406682966588</v>
      </c>
      <c r="D9" s="31"/>
      <c r="E9" s="42"/>
      <c r="F9" s="42"/>
      <c r="G9" s="42"/>
      <c r="H9" s="42"/>
      <c r="AP9" s="59"/>
      <c r="AQ9" s="59"/>
    </row>
    <row r="10" spans="1:66" x14ac:dyDescent="0.25">
      <c r="A10" s="11" t="s">
        <v>5</v>
      </c>
      <c r="B10" s="20">
        <f>Ergebnisse!B38</f>
        <v>1.4999999999999999E-2</v>
      </c>
      <c r="E10" s="42"/>
      <c r="F10" s="42"/>
      <c r="G10" s="42"/>
      <c r="H10" s="42"/>
    </row>
    <row r="11" spans="1:66" x14ac:dyDescent="0.25">
      <c r="A11" s="11" t="s">
        <v>6</v>
      </c>
      <c r="B11" s="2">
        <f>Ergebnisse!B39</f>
        <v>1200</v>
      </c>
      <c r="D11" s="31"/>
      <c r="E11" s="42"/>
      <c r="F11" s="42"/>
      <c r="G11" s="42"/>
      <c r="H11" s="42"/>
    </row>
    <row r="12" spans="1:66" x14ac:dyDescent="0.25">
      <c r="A12" s="11" t="s">
        <v>32</v>
      </c>
      <c r="B12" s="2">
        <f>Ergebnisse!B40</f>
        <v>0</v>
      </c>
      <c r="D12" s="31"/>
      <c r="E12" s="42"/>
      <c r="F12" s="42"/>
      <c r="G12" s="42"/>
      <c r="H12" s="42"/>
    </row>
    <row r="13" spans="1:66" x14ac:dyDescent="0.25">
      <c r="A13" s="1" t="s">
        <v>63</v>
      </c>
      <c r="B13" s="60" t="str">
        <f>Ergebnisse!B41</f>
        <v>JA</v>
      </c>
      <c r="C13" t="s">
        <v>61</v>
      </c>
      <c r="D13" s="31" t="s">
        <v>62</v>
      </c>
      <c r="E13" s="42"/>
      <c r="F13" s="42"/>
      <c r="G13" s="42"/>
      <c r="H13" s="42"/>
    </row>
    <row r="14" spans="1:66" x14ac:dyDescent="0.25">
      <c r="A14" s="9"/>
      <c r="B14" s="10"/>
      <c r="T14" s="12"/>
      <c r="AY14"/>
    </row>
    <row r="15" spans="1:66" x14ac:dyDescent="0.25">
      <c r="C15" s="83" t="s">
        <v>36</v>
      </c>
      <c r="D15" s="84"/>
      <c r="E15" s="84"/>
      <c r="F15" s="84"/>
      <c r="G15" s="84"/>
      <c r="H15" s="84"/>
      <c r="I15" s="84"/>
      <c r="J15" s="84"/>
      <c r="K15" s="84"/>
      <c r="L15" s="84"/>
      <c r="M15" s="85"/>
      <c r="N15" s="77" t="s">
        <v>35</v>
      </c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9"/>
      <c r="AF15" s="74" t="s">
        <v>34</v>
      </c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80" t="s">
        <v>33</v>
      </c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2"/>
    </row>
    <row r="16" spans="1:66" x14ac:dyDescent="0.25">
      <c r="A16" s="1" t="s">
        <v>3</v>
      </c>
      <c r="B16" s="1" t="s">
        <v>8</v>
      </c>
      <c r="C16" s="46" t="s">
        <v>10</v>
      </c>
      <c r="D16" s="46" t="s">
        <v>11</v>
      </c>
      <c r="E16" s="7" t="s">
        <v>9</v>
      </c>
      <c r="F16" s="7" t="s">
        <v>13</v>
      </c>
      <c r="G16" s="7" t="s">
        <v>14</v>
      </c>
      <c r="H16" s="7" t="s">
        <v>12</v>
      </c>
      <c r="I16" s="7" t="s">
        <v>16</v>
      </c>
      <c r="J16" s="7" t="s">
        <v>2</v>
      </c>
      <c r="K16" s="7" t="s">
        <v>17</v>
      </c>
      <c r="L16" s="7" t="s">
        <v>4</v>
      </c>
      <c r="M16" s="7" t="s">
        <v>18</v>
      </c>
      <c r="N16" s="56" t="s">
        <v>37</v>
      </c>
      <c r="O16" s="56" t="s">
        <v>48</v>
      </c>
      <c r="P16" s="56" t="s">
        <v>38</v>
      </c>
      <c r="Q16" s="56" t="s">
        <v>39</v>
      </c>
      <c r="R16" s="56" t="s">
        <v>49</v>
      </c>
      <c r="S16" s="56" t="s">
        <v>50</v>
      </c>
      <c r="T16" s="4" t="s">
        <v>51</v>
      </c>
      <c r="U16" s="4" t="s">
        <v>43</v>
      </c>
      <c r="V16" s="4" t="s">
        <v>52</v>
      </c>
      <c r="W16" s="27" t="s">
        <v>55</v>
      </c>
      <c r="X16" s="4" t="s">
        <v>53</v>
      </c>
      <c r="Y16" s="4" t="s">
        <v>54</v>
      </c>
      <c r="Z16" s="4" t="s">
        <v>47</v>
      </c>
      <c r="AA16" s="4" t="s">
        <v>2</v>
      </c>
      <c r="AB16" s="4" t="s">
        <v>58</v>
      </c>
      <c r="AC16" s="4" t="s">
        <v>17</v>
      </c>
      <c r="AD16" s="4" t="s">
        <v>4</v>
      </c>
      <c r="AE16" s="4" t="s">
        <v>18</v>
      </c>
      <c r="AF16" s="43" t="s">
        <v>37</v>
      </c>
      <c r="AG16" s="43" t="s">
        <v>42</v>
      </c>
      <c r="AH16" s="43" t="s">
        <v>38</v>
      </c>
      <c r="AI16" s="43" t="s">
        <v>39</v>
      </c>
      <c r="AJ16" s="43" t="s">
        <v>40</v>
      </c>
      <c r="AK16" s="43" t="s">
        <v>41</v>
      </c>
      <c r="AL16" s="14" t="s">
        <v>9</v>
      </c>
      <c r="AM16" s="14" t="s">
        <v>43</v>
      </c>
      <c r="AN16" s="14" t="s">
        <v>44</v>
      </c>
      <c r="AO16" s="14" t="s">
        <v>38</v>
      </c>
      <c r="AP16" s="14" t="s">
        <v>39</v>
      </c>
      <c r="AQ16" s="14" t="s">
        <v>56</v>
      </c>
      <c r="AR16" s="14" t="s">
        <v>45</v>
      </c>
      <c r="AS16" s="14" t="s">
        <v>47</v>
      </c>
      <c r="AT16" s="14" t="s">
        <v>2</v>
      </c>
      <c r="AU16" s="14" t="s">
        <v>46</v>
      </c>
      <c r="AV16" s="14" t="s">
        <v>17</v>
      </c>
      <c r="AW16" s="14" t="s">
        <v>4</v>
      </c>
      <c r="AX16" s="14" t="s">
        <v>28</v>
      </c>
      <c r="AY16" s="53" t="s">
        <v>37</v>
      </c>
      <c r="AZ16" s="53" t="s">
        <v>42</v>
      </c>
      <c r="BA16" s="53" t="s">
        <v>38</v>
      </c>
      <c r="BB16" s="53" t="s">
        <v>39</v>
      </c>
      <c r="BC16" s="53" t="s">
        <v>40</v>
      </c>
      <c r="BD16" s="53" t="s">
        <v>41</v>
      </c>
      <c r="BE16" s="49" t="s">
        <v>9</v>
      </c>
      <c r="BF16" s="49" t="s">
        <v>43</v>
      </c>
      <c r="BG16" s="49" t="s">
        <v>44</v>
      </c>
      <c r="BH16" s="49" t="s">
        <v>45</v>
      </c>
      <c r="BI16" s="49" t="s">
        <v>47</v>
      </c>
      <c r="BJ16" s="49" t="s">
        <v>2</v>
      </c>
      <c r="BK16" s="49" t="s">
        <v>59</v>
      </c>
      <c r="BL16" s="49" t="s">
        <v>17</v>
      </c>
      <c r="BM16" s="49" t="s">
        <v>4</v>
      </c>
      <c r="BN16" s="49" t="s">
        <v>18</v>
      </c>
    </row>
    <row r="17" spans="1:66" x14ac:dyDescent="0.25">
      <c r="A17" s="1">
        <v>1</v>
      </c>
      <c r="B17" s="2">
        <f>B12+B11</f>
        <v>1200</v>
      </c>
      <c r="C17" s="47">
        <v>100</v>
      </c>
      <c r="D17" s="47">
        <f t="shared" ref="D17:D56" si="0">(1+$B$1)*C17</f>
        <v>105</v>
      </c>
      <c r="E17" s="8">
        <f>(1-$B$10)*B17</f>
        <v>1182</v>
      </c>
      <c r="F17" s="19">
        <f t="shared" ref="F17:F56" si="1">E17/C17</f>
        <v>11.82</v>
      </c>
      <c r="G17" s="19">
        <f>F17</f>
        <v>11.82</v>
      </c>
      <c r="H17" s="8">
        <f t="shared" ref="H17:H56" si="2">G17*D17</f>
        <v>1241.1000000000001</v>
      </c>
      <c r="I17" s="8">
        <f>(1-$B$10)*H17</f>
        <v>1222.4835</v>
      </c>
      <c r="J17" s="8">
        <f>B17</f>
        <v>1200</v>
      </c>
      <c r="K17" s="8">
        <f>MAX(I17-J17,0)</f>
        <v>22.483500000000049</v>
      </c>
      <c r="L17" s="8">
        <f>$B$8*K17</f>
        <v>6.2942805623472031</v>
      </c>
      <c r="M17" s="8">
        <f>I17-L17</f>
        <v>1216.1892194376528</v>
      </c>
      <c r="N17" s="57">
        <v>100</v>
      </c>
      <c r="O17" s="57">
        <f>(1+$B$1)*N17</f>
        <v>105</v>
      </c>
      <c r="P17" s="57">
        <f t="shared" ref="P17:P56" si="3">$B$2*O17</f>
        <v>2.1</v>
      </c>
      <c r="Q17" s="57">
        <f>P17*$B$9</f>
        <v>0.39193154034229838</v>
      </c>
      <c r="R17" s="57">
        <f>P17-Q17</f>
        <v>1.7080684596577016</v>
      </c>
      <c r="S17" s="57">
        <f t="shared" ref="S17:S56" si="4">O17-P17</f>
        <v>102.9</v>
      </c>
      <c r="T17" s="5">
        <f>(1-$B$10)*B17</f>
        <v>1182</v>
      </c>
      <c r="U17" s="6">
        <f t="shared" ref="U17:U56" si="5">T17/N17</f>
        <v>11.82</v>
      </c>
      <c r="V17" s="6">
        <f>U17</f>
        <v>11.82</v>
      </c>
      <c r="W17" s="6">
        <f>(1-$B$10)*(V17*R17)/S17</f>
        <v>0.19326072551269893</v>
      </c>
      <c r="X17" s="6">
        <f t="shared" ref="X17:X56" si="6">V17+W17</f>
        <v>12.0132607255127</v>
      </c>
      <c r="Y17" s="13">
        <f t="shared" ref="Y17:Y56" si="7">X17*S17</f>
        <v>1236.1645286552568</v>
      </c>
      <c r="Z17" s="13">
        <f>(1-$B$10)*Y17</f>
        <v>1217.6220607254279</v>
      </c>
      <c r="AA17" s="13">
        <f>B17</f>
        <v>1200</v>
      </c>
      <c r="AB17" s="13">
        <f>V17*R17</f>
        <v>20.189369193154032</v>
      </c>
      <c r="AC17" s="13">
        <f>MAX(Z17-AA17-AB17,0)</f>
        <v>0</v>
      </c>
      <c r="AD17" s="13">
        <f>$B$8*AC17</f>
        <v>0</v>
      </c>
      <c r="AE17" s="13">
        <f>Z17-AD17</f>
        <v>1217.6220607254279</v>
      </c>
      <c r="AF17" s="44">
        <v>100</v>
      </c>
      <c r="AG17" s="44">
        <f>(1+$B$1)*AF17</f>
        <v>105</v>
      </c>
      <c r="AH17" s="44">
        <f>$B$2*AG17</f>
        <v>2.1</v>
      </c>
      <c r="AI17" s="44">
        <f>$B$9*AH17</f>
        <v>0.39193154034229838</v>
      </c>
      <c r="AJ17" s="44">
        <f>AH17</f>
        <v>2.1</v>
      </c>
      <c r="AK17" s="44">
        <f>AG17-AH17+AJ17</f>
        <v>105</v>
      </c>
      <c r="AL17" s="16">
        <f>(1-$B$10)*B17</f>
        <v>1182</v>
      </c>
      <c r="AM17" s="17">
        <f t="shared" ref="AM17:AM56" si="8">AL17/AF17</f>
        <v>11.82</v>
      </c>
      <c r="AN17" s="17">
        <f>AM17</f>
        <v>11.82</v>
      </c>
      <c r="AO17" s="16">
        <f t="shared" ref="AO17:AO56" si="9">AN17*AH17</f>
        <v>24.822000000000003</v>
      </c>
      <c r="AP17" s="16">
        <f t="shared" ref="AP17:AP56" si="10">AN17*AI17</f>
        <v>4.6326308068459667</v>
      </c>
      <c r="AQ17" s="17">
        <f>IF($B$13="JA",AP17/(AX17/AN17),IF($B$13="NEIN",0,"FEHLER"))</f>
        <v>4.4962562758769628E-2</v>
      </c>
      <c r="AR17" s="16">
        <f t="shared" ref="AR17:AR56" si="11">AN17*AK17</f>
        <v>1241.1000000000001</v>
      </c>
      <c r="AS17" s="16">
        <f>(1-$B$10)*AR17</f>
        <v>1222.4835</v>
      </c>
      <c r="AT17" s="15">
        <f>B17</f>
        <v>1200</v>
      </c>
      <c r="AU17" s="16">
        <f>AO17</f>
        <v>24.822000000000003</v>
      </c>
      <c r="AV17" s="16">
        <f>MAX(AS17-AT17-AU17,0)</f>
        <v>0</v>
      </c>
      <c r="AW17" s="16">
        <f>$B$8*AV17</f>
        <v>0</v>
      </c>
      <c r="AX17" s="16">
        <f>AS17-AW17-AP17</f>
        <v>1217.850869193154</v>
      </c>
      <c r="AY17" s="54">
        <v>100</v>
      </c>
      <c r="AZ17" s="54">
        <f>(1+$B$1)*AY17</f>
        <v>105</v>
      </c>
      <c r="BA17" s="54">
        <f t="shared" ref="BA17:BA56" si="12">$B$2*AZ17</f>
        <v>2.1</v>
      </c>
      <c r="BB17" s="54">
        <f>BA17*$B$9</f>
        <v>0.39193154034229838</v>
      </c>
      <c r="BC17" s="54">
        <f>BA17-BB17</f>
        <v>1.7080684596577016</v>
      </c>
      <c r="BD17" s="54">
        <f>AZ17-BA17+BC17</f>
        <v>104.6080684596577</v>
      </c>
      <c r="BE17" s="50">
        <f>(1-$B$10)*B17</f>
        <v>1182</v>
      </c>
      <c r="BF17" s="51">
        <f t="shared" ref="BF17:BF56" si="13">BE17/AY17</f>
        <v>11.82</v>
      </c>
      <c r="BG17" s="51">
        <f>BF17</f>
        <v>11.82</v>
      </c>
      <c r="BH17" s="50">
        <f t="shared" ref="BH17:BH56" si="14">BG17*BD17</f>
        <v>1236.4673691931541</v>
      </c>
      <c r="BI17" s="50">
        <f>(1-$B$10)*BH17</f>
        <v>1217.9203586552569</v>
      </c>
      <c r="BJ17" s="52">
        <f>B17</f>
        <v>1200</v>
      </c>
      <c r="BK17" s="50">
        <f>BG17*BC17</f>
        <v>20.189369193154032</v>
      </c>
      <c r="BL17" s="52">
        <f>MAX(BI17-BJ17-BK17,0)</f>
        <v>0</v>
      </c>
      <c r="BM17" s="50">
        <f>$B$8*BL17</f>
        <v>0</v>
      </c>
      <c r="BN17" s="50">
        <f>BI17-BM17</f>
        <v>1217.9203586552569</v>
      </c>
    </row>
    <row r="18" spans="1:66" x14ac:dyDescent="0.25">
      <c r="A18" s="1">
        <v>2</v>
      </c>
      <c r="B18" s="3">
        <f>(1+$B$3)*(B17-B12)</f>
        <v>1224</v>
      </c>
      <c r="C18" s="48">
        <f t="shared" ref="C18:C56" si="15">D17</f>
        <v>105</v>
      </c>
      <c r="D18" s="47">
        <f t="shared" si="0"/>
        <v>110.25</v>
      </c>
      <c r="E18" s="8">
        <f>(1-$B$10)*B18</f>
        <v>1205.6399999999999</v>
      </c>
      <c r="F18" s="19">
        <f t="shared" si="1"/>
        <v>11.482285714285712</v>
      </c>
      <c r="G18" s="7">
        <f>G17+F18</f>
        <v>23.302285714285713</v>
      </c>
      <c r="H18" s="8">
        <f t="shared" si="2"/>
        <v>2569.0769999999998</v>
      </c>
      <c r="I18" s="8">
        <f>(1-$B$10)*H18</f>
        <v>2530.5408449999995</v>
      </c>
      <c r="J18" s="8">
        <f>J17+B18</f>
        <v>2424</v>
      </c>
      <c r="K18" s="8">
        <f t="shared" ref="K18:K56" si="16">MAX(I18-J18,0)</f>
        <v>106.54084499999954</v>
      </c>
      <c r="L18" s="8">
        <f>$B$8*K18</f>
        <v>29.826226778728479</v>
      </c>
      <c r="M18" s="8">
        <f t="shared" ref="M18:M56" si="17">I18-L18</f>
        <v>2500.7146182212709</v>
      </c>
      <c r="N18" s="58">
        <f t="shared" ref="N18:N56" si="18">S17</f>
        <v>102.9</v>
      </c>
      <c r="O18" s="57">
        <f t="shared" ref="O18:O56" si="19">(1+$B$1)*N18</f>
        <v>108.04500000000002</v>
      </c>
      <c r="P18" s="57">
        <f t="shared" si="3"/>
        <v>2.1609000000000003</v>
      </c>
      <c r="Q18" s="57">
        <f>P18*$B$9</f>
        <v>0.40329755501222503</v>
      </c>
      <c r="R18" s="57">
        <f t="shared" ref="R18:R56" si="20">P18-Q18</f>
        <v>1.7576024449877752</v>
      </c>
      <c r="S18" s="57">
        <f t="shared" si="4"/>
        <v>105.88410000000002</v>
      </c>
      <c r="T18" s="5">
        <f>(1-$B$10)*B18</f>
        <v>1205.6399999999999</v>
      </c>
      <c r="U18" s="6">
        <f t="shared" si="5"/>
        <v>11.716618075801748</v>
      </c>
      <c r="V18" s="6">
        <f t="shared" ref="V18:V56" si="21">X17+U18</f>
        <v>23.729878801314449</v>
      </c>
      <c r="W18" s="6">
        <f>(1-$B$10)*(V18*R18)/S18</f>
        <v>0.3879909977555368</v>
      </c>
      <c r="X18" s="6">
        <f t="shared" si="6"/>
        <v>24.117869799069986</v>
      </c>
      <c r="Y18" s="13">
        <f t="shared" si="7"/>
        <v>2553.6989375917069</v>
      </c>
      <c r="Z18" s="13">
        <f>(1-$B$10)*Y18</f>
        <v>2515.3934535278313</v>
      </c>
      <c r="AA18" s="13">
        <f t="shared" ref="AA18:AA56" si="22">AA17+B18</f>
        <v>2424</v>
      </c>
      <c r="AB18" s="13">
        <f>AB17+(V18*R18)</f>
        <v>61.89706219360788</v>
      </c>
      <c r="AC18" s="13">
        <f t="shared" ref="AC18:AC56" si="23">MAX(Z18-AA18-AB18,0)</f>
        <v>29.496391334223418</v>
      </c>
      <c r="AD18" s="13">
        <f>$B$8*AC18</f>
        <v>8.2575472072581455</v>
      </c>
      <c r="AE18" s="13">
        <f t="shared" ref="AE18:AE56" si="24">Z18-AD18</f>
        <v>2507.1359063205732</v>
      </c>
      <c r="AF18" s="45">
        <f>AK17</f>
        <v>105</v>
      </c>
      <c r="AG18" s="44">
        <f t="shared" ref="AG18:AG56" si="25">(1+$B$1)*AF18</f>
        <v>110.25</v>
      </c>
      <c r="AH18" s="44">
        <f t="shared" ref="AH18:AH56" si="26">$B$2*AG18</f>
        <v>2.2050000000000001</v>
      </c>
      <c r="AI18" s="44">
        <f>$B$9*AH18</f>
        <v>0.4115281173594133</v>
      </c>
      <c r="AJ18" s="44">
        <f t="shared" ref="AJ18:AJ56" si="27">AH18</f>
        <v>2.2050000000000001</v>
      </c>
      <c r="AK18" s="44">
        <f t="shared" ref="AK18:AK56" si="28">AG18-AH18+AJ18</f>
        <v>110.25</v>
      </c>
      <c r="AL18" s="16">
        <f>(1-$B$10)*B18</f>
        <v>1205.6399999999999</v>
      </c>
      <c r="AM18" s="17">
        <f t="shared" si="8"/>
        <v>11.482285714285712</v>
      </c>
      <c r="AN18" s="17">
        <f>AN17+AM18-AQ17</f>
        <v>23.257323151526943</v>
      </c>
      <c r="AO18" s="16">
        <f t="shared" si="9"/>
        <v>51.282397549116915</v>
      </c>
      <c r="AP18" s="16">
        <f t="shared" si="10"/>
        <v>9.5710424113673795</v>
      </c>
      <c r="AQ18" s="17">
        <f>IF($B$13="JA",AP18/(AX18/AN18),IF($B$13="NEIN",0,"FEHLER"))</f>
        <v>8.8721701051470522E-2</v>
      </c>
      <c r="AR18" s="16">
        <f t="shared" si="11"/>
        <v>2564.1198774558457</v>
      </c>
      <c r="AS18" s="16">
        <f>(1-$B$10)*AR18</f>
        <v>2525.6580792940081</v>
      </c>
      <c r="AT18" s="15">
        <f t="shared" ref="AT18:AT56" si="29">AT17+B18</f>
        <v>2424</v>
      </c>
      <c r="AU18" s="16">
        <f>AU17+AO18</f>
        <v>76.104397549116925</v>
      </c>
      <c r="AV18" s="16">
        <f t="shared" ref="AV18:AV56" si="30">MAX(AS18-AT18-AU18,0)</f>
        <v>25.553681744891151</v>
      </c>
      <c r="AW18" s="16">
        <f>$B$8*AV18</f>
        <v>7.1537813197800419</v>
      </c>
      <c r="AX18" s="16">
        <f t="shared" ref="AX18:AX56" si="31">AS18-AW18-AP18</f>
        <v>2508.9332555628607</v>
      </c>
      <c r="AY18" s="55">
        <f>BD17</f>
        <v>104.6080684596577</v>
      </c>
      <c r="AZ18" s="54">
        <f t="shared" ref="AZ18:AZ56" si="32">(1+$B$1)*AY18</f>
        <v>109.83847188264059</v>
      </c>
      <c r="BA18" s="54">
        <f t="shared" si="12"/>
        <v>2.196769437652812</v>
      </c>
      <c r="BB18" s="54">
        <f>BA18*$B$9</f>
        <v>0.40999201403626245</v>
      </c>
      <c r="BC18" s="54">
        <f t="shared" ref="BC18:BC56" si="33">BA18-BB18</f>
        <v>1.7867774236165495</v>
      </c>
      <c r="BD18" s="54">
        <f t="shared" ref="BD18:BD56" si="34">AZ18-BA18+BC18</f>
        <v>109.42847986860433</v>
      </c>
      <c r="BE18" s="50">
        <f>(1-$B$10)*B18</f>
        <v>1205.6399999999999</v>
      </c>
      <c r="BF18" s="51">
        <f t="shared" si="13"/>
        <v>11.525306008923749</v>
      </c>
      <c r="BG18" s="51">
        <f>BG17+BF18</f>
        <v>23.34530600892375</v>
      </c>
      <c r="BH18" s="50">
        <f t="shared" si="14"/>
        <v>2554.6413486239203</v>
      </c>
      <c r="BI18" s="50">
        <f>(1-$B$10)*BH18</f>
        <v>2516.3217283945614</v>
      </c>
      <c r="BJ18" s="52">
        <f t="shared" ref="BJ18:BJ56" si="35">BJ17+B18</f>
        <v>2424</v>
      </c>
      <c r="BK18" s="50">
        <f>BK17+(BG18*BC18)</f>
        <v>61.902234917318765</v>
      </c>
      <c r="BL18" s="52">
        <f t="shared" ref="BL18:BL56" si="36">MAX(BI18-BJ18-BK18,0)</f>
        <v>30.419493477242668</v>
      </c>
      <c r="BM18" s="50">
        <f>$B$8*BL18</f>
        <v>8.5159706678344396</v>
      </c>
      <c r="BN18" s="50">
        <f t="shared" ref="BN18:BN56" si="37">BI18-BM18</f>
        <v>2507.8057577267268</v>
      </c>
    </row>
    <row r="19" spans="1:66" x14ac:dyDescent="0.25">
      <c r="A19" s="1">
        <v>3</v>
      </c>
      <c r="B19" s="3">
        <f t="shared" ref="B19:B56" si="38">(1+$B$3)*B18</f>
        <v>1248.48</v>
      </c>
      <c r="C19" s="48">
        <f t="shared" si="15"/>
        <v>110.25</v>
      </c>
      <c r="D19" s="47">
        <f t="shared" si="0"/>
        <v>115.7625</v>
      </c>
      <c r="E19" s="8">
        <f>(1-$B$10)*B19</f>
        <v>1229.7528</v>
      </c>
      <c r="F19" s="19">
        <f t="shared" si="1"/>
        <v>11.154220408163265</v>
      </c>
      <c r="G19" s="7">
        <f t="shared" ref="G19:G56" si="39">G18+F19</f>
        <v>34.456506122448978</v>
      </c>
      <c r="H19" s="8">
        <f t="shared" si="2"/>
        <v>3988.7712900000001</v>
      </c>
      <c r="I19" s="8">
        <f>(1-$B$10)*H19</f>
        <v>3928.9397206500003</v>
      </c>
      <c r="J19" s="8">
        <f t="shared" ref="J19:J56" si="40">J18+B19</f>
        <v>3672.48</v>
      </c>
      <c r="K19" s="8">
        <f t="shared" si="16"/>
        <v>256.45972065000024</v>
      </c>
      <c r="L19" s="8">
        <f>$B$8*K19</f>
        <v>71.796180964364382</v>
      </c>
      <c r="M19" s="8">
        <f t="shared" si="17"/>
        <v>3857.1435396856359</v>
      </c>
      <c r="N19" s="58">
        <f t="shared" si="18"/>
        <v>105.88410000000002</v>
      </c>
      <c r="O19" s="57">
        <f t="shared" si="19"/>
        <v>111.17830500000002</v>
      </c>
      <c r="P19" s="57">
        <f t="shared" si="3"/>
        <v>2.2235661000000007</v>
      </c>
      <c r="Q19" s="57">
        <f>P19*$B$9</f>
        <v>0.41499318410757963</v>
      </c>
      <c r="R19" s="57">
        <f t="shared" si="20"/>
        <v>1.8085729158924211</v>
      </c>
      <c r="S19" s="57">
        <f t="shared" si="4"/>
        <v>108.95473890000002</v>
      </c>
      <c r="T19" s="5">
        <f>(1-$B$10)*B19</f>
        <v>1229.7528</v>
      </c>
      <c r="U19" s="6">
        <f t="shared" si="5"/>
        <v>11.614140366683948</v>
      </c>
      <c r="V19" s="6">
        <f t="shared" si="21"/>
        <v>35.732010165753934</v>
      </c>
      <c r="W19" s="6">
        <f>(1-$B$10)*(V19*R19)/S19</f>
        <v>0.58422962848229609</v>
      </c>
      <c r="X19" s="6">
        <f t="shared" si="6"/>
        <v>36.316239794236232</v>
      </c>
      <c r="Y19" s="13">
        <f t="shared" si="7"/>
        <v>3956.8264246107992</v>
      </c>
      <c r="Z19" s="13">
        <f>(1-$B$10)*Y19</f>
        <v>3897.4740282416374</v>
      </c>
      <c r="AA19" s="13">
        <f t="shared" si="22"/>
        <v>3672.48</v>
      </c>
      <c r="AB19" s="13">
        <f t="shared" ref="AB19:AB56" si="41">AB18+(V19*R19)</f>
        <v>126.5210080097831</v>
      </c>
      <c r="AC19" s="13">
        <f t="shared" si="23"/>
        <v>98.47302023185425</v>
      </c>
      <c r="AD19" s="13">
        <f>$B$8*AC19</f>
        <v>27.567630358306388</v>
      </c>
      <c r="AE19" s="13">
        <f t="shared" si="24"/>
        <v>3869.906397883331</v>
      </c>
      <c r="AF19" s="45">
        <f t="shared" ref="AF19:AF56" si="42">AK18</f>
        <v>110.25</v>
      </c>
      <c r="AG19" s="44">
        <f t="shared" si="25"/>
        <v>115.7625</v>
      </c>
      <c r="AH19" s="44">
        <f t="shared" si="26"/>
        <v>2.3152500000000003</v>
      </c>
      <c r="AI19" s="44">
        <f>$B$9*AH19</f>
        <v>0.43210452322738396</v>
      </c>
      <c r="AJ19" s="44">
        <f t="shared" si="27"/>
        <v>2.3152500000000003</v>
      </c>
      <c r="AK19" s="44">
        <f t="shared" si="28"/>
        <v>115.7625</v>
      </c>
      <c r="AL19" s="16">
        <f>(1-$B$10)*B19</f>
        <v>1229.7528</v>
      </c>
      <c r="AM19" s="17">
        <f t="shared" si="8"/>
        <v>11.154220408163265</v>
      </c>
      <c r="AN19" s="17">
        <f t="shared" ref="AN19:AN56" si="43">AN18+AM19-AQ18</f>
        <v>34.32282185863874</v>
      </c>
      <c r="AO19" s="16">
        <f t="shared" si="9"/>
        <v>79.465913308213345</v>
      </c>
      <c r="AP19" s="16">
        <f t="shared" si="10"/>
        <v>14.831046575045525</v>
      </c>
      <c r="AQ19" s="17">
        <f>IF($B$13="JA",AP19/(AX19/AN19),IF($B$13="NEIN",0,"FEHLER"))</f>
        <v>0.13136981042825929</v>
      </c>
      <c r="AR19" s="16">
        <f t="shared" si="11"/>
        <v>3973.2956654106674</v>
      </c>
      <c r="AS19" s="16">
        <f>(1-$B$10)*AR19</f>
        <v>3913.6962304295075</v>
      </c>
      <c r="AT19" s="15">
        <f t="shared" si="29"/>
        <v>3672.48</v>
      </c>
      <c r="AU19" s="16">
        <f t="shared" ref="AU19:AU56" si="44">AU18+AO19</f>
        <v>155.57031085733027</v>
      </c>
      <c r="AV19" s="16">
        <f t="shared" si="30"/>
        <v>85.645919572177235</v>
      </c>
      <c r="AW19" s="16">
        <f>$B$8*AV19</f>
        <v>23.976669415682874</v>
      </c>
      <c r="AX19" s="16">
        <f t="shared" si="31"/>
        <v>3874.8885144387791</v>
      </c>
      <c r="AY19" s="55">
        <f t="shared" ref="AY19:AY56" si="45">BD18</f>
        <v>109.42847986860433</v>
      </c>
      <c r="AZ19" s="54">
        <f t="shared" si="32"/>
        <v>114.89990386203455</v>
      </c>
      <c r="BA19" s="54">
        <f t="shared" si="12"/>
        <v>2.2979980772406909</v>
      </c>
      <c r="BB19" s="54">
        <f>BA19*$B$9</f>
        <v>0.42888472672218281</v>
      </c>
      <c r="BC19" s="54">
        <f t="shared" si="33"/>
        <v>1.869113350518508</v>
      </c>
      <c r="BD19" s="54">
        <f t="shared" si="34"/>
        <v>114.47101913531236</v>
      </c>
      <c r="BE19" s="50">
        <f>(1-$B$10)*B19</f>
        <v>1229.7528</v>
      </c>
      <c r="BF19" s="51">
        <f t="shared" si="13"/>
        <v>11.237959272363275</v>
      </c>
      <c r="BG19" s="51">
        <f t="shared" ref="BG19:BG56" si="46">BG18+BF19</f>
        <v>34.583265281287026</v>
      </c>
      <c r="BH19" s="50">
        <f t="shared" si="14"/>
        <v>3958.7816217757909</v>
      </c>
      <c r="BI19" s="50">
        <f>(1-$B$10)*BH19</f>
        <v>3899.3998974491537</v>
      </c>
      <c r="BJ19" s="52">
        <f t="shared" si="35"/>
        <v>3672.48</v>
      </c>
      <c r="BK19" s="50">
        <f t="shared" ref="BK19:BK56" si="47">BK18+(BG19*BC19)</f>
        <v>126.54227775909555</v>
      </c>
      <c r="BL19" s="52">
        <f t="shared" si="36"/>
        <v>100.37761969005817</v>
      </c>
      <c r="BM19" s="50">
        <f>$B$8*BL19</f>
        <v>28.100825072155654</v>
      </c>
      <c r="BN19" s="50">
        <f t="shared" si="37"/>
        <v>3871.2990723769981</v>
      </c>
    </row>
    <row r="20" spans="1:66" x14ac:dyDescent="0.25">
      <c r="A20" s="1">
        <v>4</v>
      </c>
      <c r="B20" s="3">
        <f t="shared" si="38"/>
        <v>1273.4496000000001</v>
      </c>
      <c r="C20" s="48">
        <f t="shared" si="15"/>
        <v>115.7625</v>
      </c>
      <c r="D20" s="47">
        <f t="shared" si="0"/>
        <v>121.55062500000001</v>
      </c>
      <c r="E20" s="8">
        <f>(1-$B$10)*B20</f>
        <v>1254.3478560000001</v>
      </c>
      <c r="F20" s="19">
        <f t="shared" si="1"/>
        <v>10.835528396501457</v>
      </c>
      <c r="G20" s="7">
        <f t="shared" si="39"/>
        <v>45.292034518950437</v>
      </c>
      <c r="H20" s="8">
        <f t="shared" si="2"/>
        <v>5505.2751033000004</v>
      </c>
      <c r="I20" s="8">
        <f>(1-$B$10)*H20</f>
        <v>5422.6959767505004</v>
      </c>
      <c r="J20" s="8">
        <f t="shared" si="40"/>
        <v>4945.9296000000004</v>
      </c>
      <c r="K20" s="8">
        <f t="shared" si="16"/>
        <v>476.76637675050006</v>
      </c>
      <c r="L20" s="8">
        <f>$B$8*K20</f>
        <v>133.47127173088575</v>
      </c>
      <c r="M20" s="8">
        <f t="shared" si="17"/>
        <v>5289.2247050196147</v>
      </c>
      <c r="N20" s="58">
        <f t="shared" si="18"/>
        <v>108.95473890000002</v>
      </c>
      <c r="O20" s="57">
        <f t="shared" si="19"/>
        <v>114.40247584500003</v>
      </c>
      <c r="P20" s="57">
        <f t="shared" si="3"/>
        <v>2.2880495169000006</v>
      </c>
      <c r="Q20" s="57">
        <f>P20*$B$9</f>
        <v>0.42702798644669943</v>
      </c>
      <c r="R20" s="57">
        <f t="shared" si="20"/>
        <v>1.8610215304533011</v>
      </c>
      <c r="S20" s="57">
        <f t="shared" si="4"/>
        <v>112.11442632810002</v>
      </c>
      <c r="T20" s="5">
        <f>(1-$B$10)*B20</f>
        <v>1254.3478560000001</v>
      </c>
      <c r="U20" s="6">
        <f t="shared" si="5"/>
        <v>11.51255896405989</v>
      </c>
      <c r="V20" s="6">
        <f t="shared" si="21"/>
        <v>47.828798758296124</v>
      </c>
      <c r="W20" s="6">
        <f>(1-$B$10)*(V20*R20)/S20</f>
        <v>0.78201593472328124</v>
      </c>
      <c r="X20" s="6">
        <f t="shared" si="6"/>
        <v>48.610814693019407</v>
      </c>
      <c r="Y20" s="13">
        <f t="shared" si="7"/>
        <v>5449.9736026494465</v>
      </c>
      <c r="Z20" s="13">
        <f>(1-$B$10)*Y20</f>
        <v>5368.2239986097047</v>
      </c>
      <c r="AA20" s="13">
        <f t="shared" si="22"/>
        <v>4945.9296000000004</v>
      </c>
      <c r="AB20" s="13">
        <f t="shared" si="41"/>
        <v>215.5314322746903</v>
      </c>
      <c r="AC20" s="13">
        <f t="shared" si="23"/>
        <v>206.76296633501403</v>
      </c>
      <c r="AD20" s="13">
        <f>$B$8*AC20</f>
        <v>57.883519915303445</v>
      </c>
      <c r="AE20" s="13">
        <f t="shared" si="24"/>
        <v>5310.3404786944011</v>
      </c>
      <c r="AF20" s="45">
        <f t="shared" si="42"/>
        <v>115.7625</v>
      </c>
      <c r="AG20" s="44">
        <f t="shared" si="25"/>
        <v>121.55062500000001</v>
      </c>
      <c r="AH20" s="44">
        <f t="shared" si="26"/>
        <v>2.4310125000000005</v>
      </c>
      <c r="AI20" s="44">
        <f>$B$9*AH20</f>
        <v>0.45370974938875319</v>
      </c>
      <c r="AJ20" s="44">
        <f t="shared" si="27"/>
        <v>2.4310125000000005</v>
      </c>
      <c r="AK20" s="44">
        <f t="shared" si="28"/>
        <v>121.55062500000001</v>
      </c>
      <c r="AL20" s="16">
        <f>(1-$B$10)*B20</f>
        <v>1254.3478560000001</v>
      </c>
      <c r="AM20" s="17">
        <f t="shared" si="8"/>
        <v>10.835528396501457</v>
      </c>
      <c r="AN20" s="17">
        <f t="shared" si="43"/>
        <v>45.026980444711938</v>
      </c>
      <c r="AO20" s="16">
        <f t="shared" si="9"/>
        <v>109.4611522983503</v>
      </c>
      <c r="AP20" s="16">
        <f t="shared" si="10"/>
        <v>20.429180013302545</v>
      </c>
      <c r="AQ20" s="17">
        <f>IF($B$13="JA",AP20/(AX20/AN20),IF($B$13="NEIN",0,"FEHLER"))</f>
        <v>0.17290223281873754</v>
      </c>
      <c r="AR20" s="16">
        <f t="shared" si="11"/>
        <v>5473.0576149175149</v>
      </c>
      <c r="AS20" s="16">
        <f>(1-$B$10)*AR20</f>
        <v>5390.961750693752</v>
      </c>
      <c r="AT20" s="15">
        <f t="shared" si="29"/>
        <v>4945.9296000000004</v>
      </c>
      <c r="AU20" s="16">
        <f t="shared" si="44"/>
        <v>265.03146315568057</v>
      </c>
      <c r="AV20" s="16">
        <f t="shared" si="30"/>
        <v>180.00068753807108</v>
      </c>
      <c r="AW20" s="16">
        <f>$B$8*AV20</f>
        <v>50.391390521049246</v>
      </c>
      <c r="AX20" s="16">
        <f t="shared" si="31"/>
        <v>5320.1411801594004</v>
      </c>
      <c r="AY20" s="55">
        <f t="shared" si="45"/>
        <v>114.47101913531236</v>
      </c>
      <c r="AZ20" s="54">
        <f t="shared" si="32"/>
        <v>120.19457009207798</v>
      </c>
      <c r="BA20" s="54">
        <f t="shared" si="12"/>
        <v>2.4038914018415598</v>
      </c>
      <c r="BB20" s="54">
        <f>BA20*$B$9</f>
        <v>0.44864802854255686</v>
      </c>
      <c r="BC20" s="54">
        <f t="shared" si="33"/>
        <v>1.9552433732990029</v>
      </c>
      <c r="BD20" s="54">
        <f t="shared" si="34"/>
        <v>119.74592206353542</v>
      </c>
      <c r="BE20" s="50">
        <f>(1-$B$10)*B20</f>
        <v>1254.3478560000001</v>
      </c>
      <c r="BF20" s="51">
        <f t="shared" si="13"/>
        <v>10.957776609966908</v>
      </c>
      <c r="BG20" s="51">
        <f t="shared" si="46"/>
        <v>45.541041891253933</v>
      </c>
      <c r="BH20" s="50">
        <f t="shared" si="14"/>
        <v>5453.3540530022947</v>
      </c>
      <c r="BI20" s="50">
        <f>(1-$B$10)*BH20</f>
        <v>5371.5537422072603</v>
      </c>
      <c r="BJ20" s="52">
        <f t="shared" si="35"/>
        <v>4945.9296000000004</v>
      </c>
      <c r="BK20" s="50">
        <f t="shared" si="47"/>
        <v>215.5860981301021</v>
      </c>
      <c r="BL20" s="52">
        <f t="shared" si="36"/>
        <v>210.03804407715776</v>
      </c>
      <c r="BM20" s="50">
        <f>$B$8*BL20</f>
        <v>58.800381532602856</v>
      </c>
      <c r="BN20" s="50">
        <f t="shared" si="37"/>
        <v>5312.7533606746574</v>
      </c>
    </row>
    <row r="21" spans="1:66" x14ac:dyDescent="0.25">
      <c r="A21" s="1">
        <v>5</v>
      </c>
      <c r="B21" s="3">
        <f t="shared" si="38"/>
        <v>1298.9185920000002</v>
      </c>
      <c r="C21" s="48">
        <f t="shared" si="15"/>
        <v>121.55062500000001</v>
      </c>
      <c r="D21" s="47">
        <f t="shared" si="0"/>
        <v>127.62815625000002</v>
      </c>
      <c r="E21" s="8">
        <f>(1-$B$10)*B21</f>
        <v>1279.4348131200002</v>
      </c>
      <c r="F21" s="19">
        <f t="shared" si="1"/>
        <v>10.525941870887131</v>
      </c>
      <c r="G21" s="7">
        <f t="shared" si="39"/>
        <v>55.817976389837568</v>
      </c>
      <c r="H21" s="8">
        <f t="shared" si="2"/>
        <v>7123.9454122410007</v>
      </c>
      <c r="I21" s="8">
        <f>(1-$B$10)*H21</f>
        <v>7017.0862310573857</v>
      </c>
      <c r="J21" s="8">
        <f t="shared" si="40"/>
        <v>6244.8481920000004</v>
      </c>
      <c r="K21" s="8">
        <f t="shared" si="16"/>
        <v>772.23803905738532</v>
      </c>
      <c r="L21" s="8">
        <f>$B$8*K21</f>
        <v>216.18888868476927</v>
      </c>
      <c r="M21" s="8">
        <f t="shared" si="17"/>
        <v>6800.8973423726165</v>
      </c>
      <c r="N21" s="58">
        <f t="shared" si="18"/>
        <v>112.11442632810002</v>
      </c>
      <c r="O21" s="57">
        <f t="shared" si="19"/>
        <v>117.72014764450503</v>
      </c>
      <c r="P21" s="57">
        <f t="shared" si="3"/>
        <v>2.3544029528901009</v>
      </c>
      <c r="Q21" s="57">
        <f>P21*$B$9</f>
        <v>0.43941179805365377</v>
      </c>
      <c r="R21" s="57">
        <f t="shared" si="20"/>
        <v>1.9149911548364471</v>
      </c>
      <c r="S21" s="57">
        <f t="shared" si="4"/>
        <v>115.36574469161494</v>
      </c>
      <c r="T21" s="5">
        <f>(1-$B$10)*B21</f>
        <v>1279.4348131200002</v>
      </c>
      <c r="U21" s="6">
        <f t="shared" si="5"/>
        <v>11.411866028514178</v>
      </c>
      <c r="V21" s="6">
        <f t="shared" si="21"/>
        <v>60.022680721533582</v>
      </c>
      <c r="W21" s="6">
        <f>(1-$B$10)*(V21*R21)/S21</f>
        <v>0.98138974817772162</v>
      </c>
      <c r="X21" s="6">
        <f t="shared" si="6"/>
        <v>61.004070469711301</v>
      </c>
      <c r="Y21" s="13">
        <f t="shared" si="7"/>
        <v>7037.7800189580003</v>
      </c>
      <c r="Z21" s="13">
        <f>(1-$B$10)*Y21</f>
        <v>6932.2133186736301</v>
      </c>
      <c r="AA21" s="13">
        <f t="shared" si="22"/>
        <v>6244.8481920000004</v>
      </c>
      <c r="AB21" s="13">
        <f t="shared" si="41"/>
        <v>330.47433494599926</v>
      </c>
      <c r="AC21" s="13">
        <f t="shared" si="23"/>
        <v>356.89079172763041</v>
      </c>
      <c r="AD21" s="13">
        <f>$B$8*AC21</f>
        <v>99.911969811280414</v>
      </c>
      <c r="AE21" s="13">
        <f t="shared" si="24"/>
        <v>6832.3013488623492</v>
      </c>
      <c r="AF21" s="45">
        <f t="shared" si="42"/>
        <v>121.55062500000001</v>
      </c>
      <c r="AG21" s="44">
        <f t="shared" si="25"/>
        <v>127.62815625000002</v>
      </c>
      <c r="AH21" s="44">
        <f t="shared" si="26"/>
        <v>2.5525631250000003</v>
      </c>
      <c r="AI21" s="44">
        <f>$B$9*AH21</f>
        <v>0.47639523685819085</v>
      </c>
      <c r="AJ21" s="44">
        <f t="shared" si="27"/>
        <v>2.5525631250000003</v>
      </c>
      <c r="AK21" s="44">
        <f t="shared" si="28"/>
        <v>127.62815625000002</v>
      </c>
      <c r="AL21" s="16">
        <f>(1-$B$10)*B21</f>
        <v>1279.4348131200002</v>
      </c>
      <c r="AM21" s="17">
        <f t="shared" si="8"/>
        <v>10.525941870887131</v>
      </c>
      <c r="AN21" s="17">
        <f t="shared" si="43"/>
        <v>55.380020082780334</v>
      </c>
      <c r="AO21" s="16">
        <f t="shared" si="9"/>
        <v>141.36099712506453</v>
      </c>
      <c r="AP21" s="16">
        <f t="shared" si="10"/>
        <v>26.382777784547503</v>
      </c>
      <c r="AQ21" s="17">
        <f>IF($B$13="JA",AP21/(AX21/AN21),IF($B$13="NEIN",0,"FEHLER"))</f>
        <v>0.21333850243663793</v>
      </c>
      <c r="AR21" s="16">
        <f t="shared" si="11"/>
        <v>7068.0498562532275</v>
      </c>
      <c r="AS21" s="16">
        <f>(1-$B$10)*AR21</f>
        <v>6962.0291084094288</v>
      </c>
      <c r="AT21" s="15">
        <f t="shared" si="29"/>
        <v>6244.8481920000004</v>
      </c>
      <c r="AU21" s="16">
        <f t="shared" si="44"/>
        <v>406.39246028074513</v>
      </c>
      <c r="AV21" s="16">
        <f t="shared" si="30"/>
        <v>310.78845612868326</v>
      </c>
      <c r="AW21" s="16">
        <f>$B$8*AV21</f>
        <v>87.005570236514032</v>
      </c>
      <c r="AX21" s="16">
        <f t="shared" si="31"/>
        <v>6848.6407603883672</v>
      </c>
      <c r="AY21" s="55">
        <f t="shared" si="45"/>
        <v>119.74592206353542</v>
      </c>
      <c r="AZ21" s="54">
        <f t="shared" si="32"/>
        <v>125.73321816671219</v>
      </c>
      <c r="BA21" s="54">
        <f t="shared" si="12"/>
        <v>2.5146643633342438</v>
      </c>
      <c r="BB21" s="54">
        <f>BA21*$B$9</f>
        <v>0.46932203684070245</v>
      </c>
      <c r="BC21" s="54">
        <f t="shared" si="33"/>
        <v>2.0453423264935413</v>
      </c>
      <c r="BD21" s="54">
        <f t="shared" si="34"/>
        <v>125.26389612987148</v>
      </c>
      <c r="BE21" s="50">
        <f>(1-$B$10)*B21</f>
        <v>1279.4348131200002</v>
      </c>
      <c r="BF21" s="51">
        <f t="shared" si="13"/>
        <v>10.684579408400655</v>
      </c>
      <c r="BG21" s="51">
        <f t="shared" si="46"/>
        <v>56.225621299654591</v>
      </c>
      <c r="BH21" s="50">
        <f t="shared" si="14"/>
        <v>7043.0403863174224</v>
      </c>
      <c r="BI21" s="50">
        <f>(1-$B$10)*BH21</f>
        <v>6937.3947805226608</v>
      </c>
      <c r="BJ21" s="52">
        <f t="shared" si="35"/>
        <v>6244.8481920000004</v>
      </c>
      <c r="BK21" s="50">
        <f t="shared" si="47"/>
        <v>330.58674120768245</v>
      </c>
      <c r="BL21" s="52">
        <f t="shared" si="36"/>
        <v>361.95984731497794</v>
      </c>
      <c r="BM21" s="50">
        <f>$B$8*BL21</f>
        <v>101.33105750015888</v>
      </c>
      <c r="BN21" s="50">
        <f t="shared" si="37"/>
        <v>6836.063723022502</v>
      </c>
    </row>
    <row r="22" spans="1:66" x14ac:dyDescent="0.25">
      <c r="A22" s="1">
        <v>6</v>
      </c>
      <c r="B22" s="3">
        <f t="shared" si="38"/>
        <v>1324.8969638400004</v>
      </c>
      <c r="C22" s="48">
        <f t="shared" si="15"/>
        <v>127.62815625000002</v>
      </c>
      <c r="D22" s="47">
        <f t="shared" si="0"/>
        <v>134.00956406250003</v>
      </c>
      <c r="E22" s="8">
        <f>(1-$B$10)*B22</f>
        <v>1305.0235093824003</v>
      </c>
      <c r="F22" s="19">
        <f t="shared" si="1"/>
        <v>10.225200674576071</v>
      </c>
      <c r="G22" s="7">
        <f t="shared" si="39"/>
        <v>66.043177064413641</v>
      </c>
      <c r="H22" s="8">
        <f t="shared" si="2"/>
        <v>8850.4173677045728</v>
      </c>
      <c r="I22" s="8">
        <f>(1-$B$10)*H22</f>
        <v>8717.6611071890038</v>
      </c>
      <c r="J22" s="8">
        <f t="shared" si="40"/>
        <v>7569.7451558400007</v>
      </c>
      <c r="K22" s="8">
        <f t="shared" si="16"/>
        <v>1147.9159513490031</v>
      </c>
      <c r="L22" s="8">
        <f>$B$8*K22</f>
        <v>321.36033356836401</v>
      </c>
      <c r="M22" s="8">
        <f t="shared" si="17"/>
        <v>8396.30077362064</v>
      </c>
      <c r="N22" s="58">
        <f t="shared" si="18"/>
        <v>115.36574469161494</v>
      </c>
      <c r="O22" s="57">
        <f t="shared" si="19"/>
        <v>121.13403192619569</v>
      </c>
      <c r="P22" s="57">
        <f t="shared" si="3"/>
        <v>2.4226806385239139</v>
      </c>
      <c r="Q22" s="57">
        <f>P22*$B$9</f>
        <v>0.45215474019720975</v>
      </c>
      <c r="R22" s="57">
        <f t="shared" si="20"/>
        <v>1.9705258983267042</v>
      </c>
      <c r="S22" s="57">
        <f t="shared" si="4"/>
        <v>118.71135128767177</v>
      </c>
      <c r="T22" s="5">
        <f>(1-$B$10)*B22</f>
        <v>1305.0235093824003</v>
      </c>
      <c r="U22" s="6">
        <f t="shared" si="5"/>
        <v>11.312053789197728</v>
      </c>
      <c r="V22" s="6">
        <f t="shared" si="21"/>
        <v>72.316124258909028</v>
      </c>
      <c r="W22" s="6">
        <f>(1-$B$10)*(V22*R22)/S22</f>
        <v>1.1823914247498521</v>
      </c>
      <c r="X22" s="6">
        <f t="shared" si="6"/>
        <v>73.49851568365888</v>
      </c>
      <c r="Y22" s="13">
        <f t="shared" si="7"/>
        <v>8725.1081144452819</v>
      </c>
      <c r="Z22" s="13">
        <f>(1-$B$10)*Y22</f>
        <v>8594.2314927286025</v>
      </c>
      <c r="AA22" s="13">
        <f t="shared" si="22"/>
        <v>7569.7451558400007</v>
      </c>
      <c r="AB22" s="13">
        <f t="shared" si="41"/>
        <v>472.97513066479155</v>
      </c>
      <c r="AC22" s="13">
        <f t="shared" si="23"/>
        <v>551.51120622381018</v>
      </c>
      <c r="AD22" s="13">
        <f>$B$8*AC22</f>
        <v>154.39616897952635</v>
      </c>
      <c r="AE22" s="13">
        <f t="shared" si="24"/>
        <v>8439.8353237490755</v>
      </c>
      <c r="AF22" s="45">
        <f t="shared" si="42"/>
        <v>127.62815625000002</v>
      </c>
      <c r="AG22" s="44">
        <f t="shared" si="25"/>
        <v>134.00956406250003</v>
      </c>
      <c r="AH22" s="44">
        <f t="shared" si="26"/>
        <v>2.6801912812500008</v>
      </c>
      <c r="AI22" s="44">
        <f>$B$9*AH22</f>
        <v>0.50021499870110042</v>
      </c>
      <c r="AJ22" s="44">
        <f t="shared" si="27"/>
        <v>2.6801912812500008</v>
      </c>
      <c r="AK22" s="44">
        <f t="shared" si="28"/>
        <v>134.00956406250003</v>
      </c>
      <c r="AL22" s="16">
        <f>(1-$B$10)*B22</f>
        <v>1305.0235093824003</v>
      </c>
      <c r="AM22" s="17">
        <f t="shared" si="8"/>
        <v>10.225200674576071</v>
      </c>
      <c r="AN22" s="17">
        <f t="shared" si="43"/>
        <v>65.391882254919764</v>
      </c>
      <c r="AO22" s="16">
        <f t="shared" si="9"/>
        <v>175.26275268416259</v>
      </c>
      <c r="AP22" s="16">
        <f t="shared" si="10"/>
        <v>32.710000297207202</v>
      </c>
      <c r="AQ22" s="17">
        <f>IF($B$13="JA",AP22/(AX22/AN22),IF($B$13="NEIN",0,"FEHLER"))</f>
        <v>0.25269805974058834</v>
      </c>
      <c r="AR22" s="16">
        <f t="shared" si="11"/>
        <v>8763.1376342081294</v>
      </c>
      <c r="AS22" s="16">
        <f>(1-$B$10)*AR22</f>
        <v>8631.6905696950071</v>
      </c>
      <c r="AT22" s="15">
        <f t="shared" si="29"/>
        <v>7569.7451558400007</v>
      </c>
      <c r="AU22" s="16">
        <f t="shared" si="44"/>
        <v>581.65521296490772</v>
      </c>
      <c r="AV22" s="16">
        <f t="shared" si="30"/>
        <v>480.29020089009862</v>
      </c>
      <c r="AW22" s="16">
        <f>$B$8*AV22</f>
        <v>134.45777017583447</v>
      </c>
      <c r="AX22" s="16">
        <f t="shared" si="31"/>
        <v>8464.5227992219643</v>
      </c>
      <c r="AY22" s="55">
        <f t="shared" si="45"/>
        <v>125.26389612987148</v>
      </c>
      <c r="AZ22" s="54">
        <f t="shared" si="32"/>
        <v>131.52709093636506</v>
      </c>
      <c r="BA22" s="54">
        <f t="shared" si="12"/>
        <v>2.6305418187273011</v>
      </c>
      <c r="BB22" s="54">
        <f>BA22*$B$9</f>
        <v>0.49094871759458192</v>
      </c>
      <c r="BC22" s="54">
        <f t="shared" si="33"/>
        <v>2.1395931011327192</v>
      </c>
      <c r="BD22" s="54">
        <f t="shared" si="34"/>
        <v>131.03614221877049</v>
      </c>
      <c r="BE22" s="50">
        <f>(1-$B$10)*B22</f>
        <v>1305.0235093824003</v>
      </c>
      <c r="BF22" s="51">
        <f t="shared" si="13"/>
        <v>10.418193507484185</v>
      </c>
      <c r="BG22" s="51">
        <f t="shared" si="46"/>
        <v>66.643814807138781</v>
      </c>
      <c r="BH22" s="50">
        <f t="shared" si="14"/>
        <v>8732.7483950696405</v>
      </c>
      <c r="BI22" s="50">
        <f>(1-$B$10)*BH22</f>
        <v>8601.7571691435951</v>
      </c>
      <c r="BJ22" s="52">
        <f t="shared" si="35"/>
        <v>7569.7451558400007</v>
      </c>
      <c r="BK22" s="50">
        <f t="shared" si="47"/>
        <v>473.17738760220311</v>
      </c>
      <c r="BL22" s="52">
        <f t="shared" si="36"/>
        <v>558.83462570139125</v>
      </c>
      <c r="BM22" s="50">
        <f>$B$8*BL22</f>
        <v>156.44636831982714</v>
      </c>
      <c r="BN22" s="50">
        <f t="shared" si="37"/>
        <v>8445.3108008237687</v>
      </c>
    </row>
    <row r="23" spans="1:66" x14ac:dyDescent="0.25">
      <c r="A23" s="1">
        <v>7</v>
      </c>
      <c r="B23" s="3">
        <f t="shared" si="38"/>
        <v>1351.3949031168004</v>
      </c>
      <c r="C23" s="48">
        <f t="shared" si="15"/>
        <v>134.00956406250003</v>
      </c>
      <c r="D23" s="47">
        <f t="shared" si="0"/>
        <v>140.71004226562505</v>
      </c>
      <c r="E23" s="8">
        <f>(1-$B$10)*B23</f>
        <v>1331.1239795700483</v>
      </c>
      <c r="F23" s="19">
        <f t="shared" si="1"/>
        <v>9.9330520838738963</v>
      </c>
      <c r="G23" s="7">
        <f t="shared" si="39"/>
        <v>75.97622914828753</v>
      </c>
      <c r="H23" s="8">
        <f t="shared" si="2"/>
        <v>10690.618414638353</v>
      </c>
      <c r="I23" s="8">
        <f>(1-$B$10)*H23</f>
        <v>10530.259138418778</v>
      </c>
      <c r="J23" s="8">
        <f t="shared" si="40"/>
        <v>8921.1400589568002</v>
      </c>
      <c r="K23" s="8">
        <f t="shared" si="16"/>
        <v>1609.1190794619779</v>
      </c>
      <c r="L23" s="8">
        <f>$B$8*K23</f>
        <v>450.47465671979586</v>
      </c>
      <c r="M23" s="8">
        <f t="shared" si="17"/>
        <v>10079.784481698982</v>
      </c>
      <c r="N23" s="58">
        <f t="shared" si="18"/>
        <v>118.71135128767177</v>
      </c>
      <c r="O23" s="57">
        <f t="shared" si="19"/>
        <v>124.64691885205536</v>
      </c>
      <c r="P23" s="57">
        <f t="shared" si="3"/>
        <v>2.4929383770411073</v>
      </c>
      <c r="Q23" s="57">
        <f>P23*$B$9</f>
        <v>0.46526722766292883</v>
      </c>
      <c r="R23" s="57">
        <f t="shared" si="20"/>
        <v>2.0276711493781785</v>
      </c>
      <c r="S23" s="57">
        <f t="shared" si="4"/>
        <v>122.15398047501425</v>
      </c>
      <c r="T23" s="5">
        <f>(1-$B$10)*B23</f>
        <v>1331.1239795700483</v>
      </c>
      <c r="U23" s="6">
        <f t="shared" si="5"/>
        <v>11.213114543228066</v>
      </c>
      <c r="V23" s="6">
        <f t="shared" si="21"/>
        <v>84.711630226886939</v>
      </c>
      <c r="W23" s="6">
        <f>(1-$B$10)*(V23*R23)/S23</f>
        <v>1.3850618542311042</v>
      </c>
      <c r="X23" s="6">
        <f t="shared" si="6"/>
        <v>86.09669208111805</v>
      </c>
      <c r="Y23" s="13">
        <f t="shared" si="7"/>
        <v>10517.053643440207</v>
      </c>
      <c r="Z23" s="13">
        <f>(1-$B$10)*Y23</f>
        <v>10359.297838788605</v>
      </c>
      <c r="AA23" s="13">
        <f t="shared" si="22"/>
        <v>8921.1400589568002</v>
      </c>
      <c r="AB23" s="13">
        <f t="shared" si="41"/>
        <v>644.74245929264271</v>
      </c>
      <c r="AC23" s="13">
        <f t="shared" si="23"/>
        <v>793.41532053916217</v>
      </c>
      <c r="AD23" s="13">
        <f>$B$8*AC23</f>
        <v>222.11749193578015</v>
      </c>
      <c r="AE23" s="13">
        <f t="shared" si="24"/>
        <v>10137.180346852825</v>
      </c>
      <c r="AF23" s="45">
        <f t="shared" si="42"/>
        <v>134.00956406250003</v>
      </c>
      <c r="AG23" s="44">
        <f t="shared" si="25"/>
        <v>140.71004226562505</v>
      </c>
      <c r="AH23" s="44">
        <f t="shared" si="26"/>
        <v>2.8142008453125009</v>
      </c>
      <c r="AI23" s="44">
        <f>$B$9*AH23</f>
        <v>0.52522574863615545</v>
      </c>
      <c r="AJ23" s="44">
        <f t="shared" si="27"/>
        <v>2.8142008453125009</v>
      </c>
      <c r="AK23" s="44">
        <f t="shared" si="28"/>
        <v>140.71004226562505</v>
      </c>
      <c r="AL23" s="16">
        <f>(1-$B$10)*B23</f>
        <v>1331.1239795700483</v>
      </c>
      <c r="AM23" s="17">
        <f t="shared" si="8"/>
        <v>9.9330520838738963</v>
      </c>
      <c r="AN23" s="17">
        <f t="shared" si="43"/>
        <v>75.072236279053072</v>
      </c>
      <c r="AO23" s="16">
        <f t="shared" si="9"/>
        <v>211.26835079601096</v>
      </c>
      <c r="AP23" s="16">
        <f t="shared" si="10"/>
        <v>39.429871501455999</v>
      </c>
      <c r="AQ23" s="17">
        <f>IF($B$13="JA",AP23/(AX23/AN23),IF($B$13="NEIN",0,"FEHLER"))</f>
        <v>0.2910002411215224</v>
      </c>
      <c r="AR23" s="16">
        <f t="shared" si="11"/>
        <v>10563.417539800548</v>
      </c>
      <c r="AS23" s="16">
        <f>(1-$B$10)*AR23</f>
        <v>10404.966276703541</v>
      </c>
      <c r="AT23" s="15">
        <f t="shared" si="29"/>
        <v>8921.1400589568002</v>
      </c>
      <c r="AU23" s="16">
        <f t="shared" si="44"/>
        <v>792.92356376091868</v>
      </c>
      <c r="AV23" s="16">
        <f t="shared" si="30"/>
        <v>690.90265398582176</v>
      </c>
      <c r="AW23" s="16">
        <f>$B$8*AV23</f>
        <v>193.41895814517505</v>
      </c>
      <c r="AX23" s="16">
        <f t="shared" si="31"/>
        <v>10172.117447056909</v>
      </c>
      <c r="AY23" s="55">
        <f t="shared" si="45"/>
        <v>131.03614221877049</v>
      </c>
      <c r="AZ23" s="54">
        <f t="shared" si="32"/>
        <v>137.58794932970903</v>
      </c>
      <c r="BA23" s="54">
        <f t="shared" si="12"/>
        <v>2.7517589865941807</v>
      </c>
      <c r="BB23" s="54">
        <f>BA23*$B$9</f>
        <v>0.51357197060315196</v>
      </c>
      <c r="BC23" s="54">
        <f t="shared" si="33"/>
        <v>2.2381870159910289</v>
      </c>
      <c r="BD23" s="54">
        <f t="shared" si="34"/>
        <v>137.07437735910588</v>
      </c>
      <c r="BE23" s="50">
        <f>(1-$B$10)*B23</f>
        <v>1331.1239795700483</v>
      </c>
      <c r="BF23" s="51">
        <f t="shared" si="13"/>
        <v>10.158449089165639</v>
      </c>
      <c r="BG23" s="51">
        <f t="shared" si="46"/>
        <v>76.802263896304424</v>
      </c>
      <c r="BH23" s="50">
        <f t="shared" si="14"/>
        <v>10527.622503355666</v>
      </c>
      <c r="BI23" s="50">
        <f>(1-$B$10)*BH23</f>
        <v>10369.70816580533</v>
      </c>
      <c r="BJ23" s="52">
        <f t="shared" si="35"/>
        <v>8921.1400589568002</v>
      </c>
      <c r="BK23" s="50">
        <f t="shared" si="47"/>
        <v>645.07521745362828</v>
      </c>
      <c r="BL23" s="52">
        <f t="shared" si="36"/>
        <v>803.49288939490179</v>
      </c>
      <c r="BM23" s="50">
        <f>$B$8*BL23</f>
        <v>224.93871842473416</v>
      </c>
      <c r="BN23" s="50">
        <f t="shared" si="37"/>
        <v>10144.769447380597</v>
      </c>
    </row>
    <row r="24" spans="1:66" x14ac:dyDescent="0.25">
      <c r="A24" s="1">
        <v>8</v>
      </c>
      <c r="B24" s="3">
        <f t="shared" si="38"/>
        <v>1378.4228011791365</v>
      </c>
      <c r="C24" s="48">
        <f t="shared" si="15"/>
        <v>140.71004226562505</v>
      </c>
      <c r="D24" s="47">
        <f t="shared" si="0"/>
        <v>147.74554437890632</v>
      </c>
      <c r="E24" s="8">
        <f>(1-$B$10)*B24</f>
        <v>1357.7464591614494</v>
      </c>
      <c r="F24" s="19">
        <f t="shared" si="1"/>
        <v>9.6492505957632133</v>
      </c>
      <c r="G24" s="7">
        <f t="shared" si="39"/>
        <v>85.62547974405075</v>
      </c>
      <c r="H24" s="8">
        <f t="shared" si="2"/>
        <v>12650.783117489795</v>
      </c>
      <c r="I24" s="8">
        <f>(1-$B$10)*H24</f>
        <v>12461.021370727447</v>
      </c>
      <c r="J24" s="8">
        <f t="shared" si="40"/>
        <v>10299.562860135937</v>
      </c>
      <c r="K24" s="8">
        <f t="shared" si="16"/>
        <v>2161.4585105915103</v>
      </c>
      <c r="L24" s="8">
        <f>$B$8*K24</f>
        <v>605.10268817292899</v>
      </c>
      <c r="M24" s="8">
        <f t="shared" si="17"/>
        <v>11855.918682554518</v>
      </c>
      <c r="N24" s="58">
        <f t="shared" si="18"/>
        <v>122.15398047501425</v>
      </c>
      <c r="O24" s="57">
        <f t="shared" si="19"/>
        <v>128.26167949876498</v>
      </c>
      <c r="P24" s="57">
        <f t="shared" si="3"/>
        <v>2.5652335899752994</v>
      </c>
      <c r="Q24" s="57">
        <f>P24*$B$9</f>
        <v>0.47875997726515374</v>
      </c>
      <c r="R24" s="57">
        <f t="shared" si="20"/>
        <v>2.0864736127101455</v>
      </c>
      <c r="S24" s="57">
        <f t="shared" si="4"/>
        <v>125.69644590878968</v>
      </c>
      <c r="T24" s="5">
        <f>(1-$B$10)*B24</f>
        <v>1357.7464591614494</v>
      </c>
      <c r="U24" s="6">
        <f t="shared" si="5"/>
        <v>11.115040655094878</v>
      </c>
      <c r="V24" s="6">
        <f t="shared" si="21"/>
        <v>97.211732736212923</v>
      </c>
      <c r="W24" s="6">
        <f>(1-$B$10)*(V24*R24)/S24</f>
        <v>1.589442470130888</v>
      </c>
      <c r="X24" s="6">
        <f t="shared" si="6"/>
        <v>98.801175206343814</v>
      </c>
      <c r="Y24" s="13">
        <f t="shared" si="7"/>
        <v>12418.956575049047</v>
      </c>
      <c r="Z24" s="13">
        <f>(1-$B$10)*Y24</f>
        <v>12232.672226423312</v>
      </c>
      <c r="AA24" s="13">
        <f t="shared" si="22"/>
        <v>10299.562860135937</v>
      </c>
      <c r="AB24" s="13">
        <f t="shared" si="41"/>
        <v>847.57217449258201</v>
      </c>
      <c r="AC24" s="13">
        <f t="shared" si="23"/>
        <v>1085.5371917947934</v>
      </c>
      <c r="AD24" s="13">
        <f>$B$8*AC24</f>
        <v>303.89733119927598</v>
      </c>
      <c r="AE24" s="13">
        <f t="shared" si="24"/>
        <v>11928.774895224036</v>
      </c>
      <c r="AF24" s="45">
        <f t="shared" si="42"/>
        <v>140.71004226562505</v>
      </c>
      <c r="AG24" s="44">
        <f t="shared" si="25"/>
        <v>147.74554437890632</v>
      </c>
      <c r="AH24" s="44">
        <f t="shared" si="26"/>
        <v>2.9549108875781265</v>
      </c>
      <c r="AI24" s="44">
        <f>$B$9*AH24</f>
        <v>0.55148703606796334</v>
      </c>
      <c r="AJ24" s="44">
        <f t="shared" si="27"/>
        <v>2.9549108875781265</v>
      </c>
      <c r="AK24" s="44">
        <f t="shared" si="28"/>
        <v>147.74554437890632</v>
      </c>
      <c r="AL24" s="16">
        <f>(1-$B$10)*B24</f>
        <v>1357.7464591614494</v>
      </c>
      <c r="AM24" s="17">
        <f t="shared" si="8"/>
        <v>9.6492505957632133</v>
      </c>
      <c r="AN24" s="17">
        <f t="shared" si="43"/>
        <v>84.43048663369477</v>
      </c>
      <c r="AO24" s="16">
        <f t="shared" si="9"/>
        <v>249.48456419742416</v>
      </c>
      <c r="AP24" s="16">
        <f t="shared" si="10"/>
        <v>46.562318827392126</v>
      </c>
      <c r="AQ24" s="17">
        <f>IF($B$13="JA",AP24/(AX24/AN24),IF($B$13="NEIN",0,"FEHLER"))</f>
        <v>0.32826426904638489</v>
      </c>
      <c r="AR24" s="16">
        <f t="shared" si="11"/>
        <v>12474.228209871208</v>
      </c>
      <c r="AS24" s="16">
        <f>(1-$B$10)*AR24</f>
        <v>12287.114786723139</v>
      </c>
      <c r="AT24" s="15">
        <f t="shared" si="29"/>
        <v>10299.562860135937</v>
      </c>
      <c r="AU24" s="16">
        <f t="shared" si="44"/>
        <v>1042.4081279583429</v>
      </c>
      <c r="AV24" s="16">
        <f t="shared" si="30"/>
        <v>945.14379862885971</v>
      </c>
      <c r="AW24" s="16">
        <f>$B$8*AV24</f>
        <v>264.59404631541429</v>
      </c>
      <c r="AX24" s="16">
        <f t="shared" si="31"/>
        <v>11975.958421580332</v>
      </c>
      <c r="AY24" s="55">
        <f t="shared" si="45"/>
        <v>137.07437735910588</v>
      </c>
      <c r="AZ24" s="54">
        <f t="shared" si="32"/>
        <v>143.92809622706119</v>
      </c>
      <c r="BA24" s="54">
        <f t="shared" si="12"/>
        <v>2.8785619245412239</v>
      </c>
      <c r="BB24" s="54">
        <f>BA24*$B$9</f>
        <v>0.53723771859815839</v>
      </c>
      <c r="BC24" s="54">
        <f t="shared" si="33"/>
        <v>2.3413242059430655</v>
      </c>
      <c r="BD24" s="54">
        <f t="shared" si="34"/>
        <v>143.39085850846303</v>
      </c>
      <c r="BE24" s="50">
        <f>(1-$B$10)*B24</f>
        <v>1357.7464591614494</v>
      </c>
      <c r="BF24" s="51">
        <f t="shared" si="13"/>
        <v>9.9051805692645303</v>
      </c>
      <c r="BG24" s="51">
        <f t="shared" si="46"/>
        <v>86.707444465568955</v>
      </c>
      <c r="BH24" s="50">
        <f t="shared" si="14"/>
        <v>12433.054900992813</v>
      </c>
      <c r="BI24" s="50">
        <f>(1-$B$10)*BH24</f>
        <v>12246.559077477921</v>
      </c>
      <c r="BJ24" s="52">
        <f t="shared" si="35"/>
        <v>10299.562860135937</v>
      </c>
      <c r="BK24" s="50">
        <f t="shared" si="47"/>
        <v>848.08545601632898</v>
      </c>
      <c r="BL24" s="52">
        <f t="shared" si="36"/>
        <v>1098.9107613256556</v>
      </c>
      <c r="BM24" s="50">
        <f>$B$8*BL24</f>
        <v>307.64127670363712</v>
      </c>
      <c r="BN24" s="50">
        <f t="shared" si="37"/>
        <v>11938.917800774285</v>
      </c>
    </row>
    <row r="25" spans="1:66" x14ac:dyDescent="0.25">
      <c r="A25" s="1">
        <v>9</v>
      </c>
      <c r="B25" s="3">
        <f t="shared" si="38"/>
        <v>1405.9912572027192</v>
      </c>
      <c r="C25" s="48">
        <f t="shared" si="15"/>
        <v>147.74554437890632</v>
      </c>
      <c r="D25" s="47">
        <f t="shared" si="0"/>
        <v>155.13282159785163</v>
      </c>
      <c r="E25" s="8">
        <f>(1-$B$10)*B25</f>
        <v>1384.9013883446785</v>
      </c>
      <c r="F25" s="19">
        <f t="shared" si="1"/>
        <v>9.3735577215985497</v>
      </c>
      <c r="G25" s="7">
        <f t="shared" si="39"/>
        <v>94.999037465649295</v>
      </c>
      <c r="H25" s="8">
        <f t="shared" si="2"/>
        <v>14737.468731126195</v>
      </c>
      <c r="I25" s="8">
        <f>(1-$B$10)*H25</f>
        <v>14516.406700159301</v>
      </c>
      <c r="J25" s="8">
        <f t="shared" si="40"/>
        <v>11705.554117338655</v>
      </c>
      <c r="K25" s="8">
        <f t="shared" si="16"/>
        <v>2810.8525828206457</v>
      </c>
      <c r="L25" s="8">
        <f>$B$8*K25</f>
        <v>786.90127318573104</v>
      </c>
      <c r="M25" s="8">
        <f t="shared" si="17"/>
        <v>13729.50542697357</v>
      </c>
      <c r="N25" s="58">
        <f t="shared" si="18"/>
        <v>125.69644590878968</v>
      </c>
      <c r="O25" s="57">
        <f t="shared" si="19"/>
        <v>131.98126820422917</v>
      </c>
      <c r="P25" s="57">
        <f t="shared" si="3"/>
        <v>2.6396253640845835</v>
      </c>
      <c r="Q25" s="57">
        <f>P25*$B$9</f>
        <v>0.49264401660584328</v>
      </c>
      <c r="R25" s="57">
        <f t="shared" si="20"/>
        <v>2.1469813474787403</v>
      </c>
      <c r="S25" s="57">
        <f t="shared" si="4"/>
        <v>129.34164284014457</v>
      </c>
      <c r="T25" s="5">
        <f>(1-$B$10)*B25</f>
        <v>1384.9013883446785</v>
      </c>
      <c r="U25" s="6">
        <f t="shared" si="5"/>
        <v>11.017824556070725</v>
      </c>
      <c r="V25" s="6">
        <f t="shared" si="21"/>
        <v>109.81899976241453</v>
      </c>
      <c r="W25" s="6">
        <f>(1-$B$10)*(V25*R25)/S25</f>
        <v>1.7955752596584731</v>
      </c>
      <c r="X25" s="6">
        <f t="shared" si="6"/>
        <v>111.61457502207301</v>
      </c>
      <c r="Y25" s="13">
        <f t="shared" si="7"/>
        <v>14436.412498259489</v>
      </c>
      <c r="Z25" s="13">
        <f>(1-$B$10)*Y25</f>
        <v>14219.866310785597</v>
      </c>
      <c r="AA25" s="13">
        <f t="shared" si="22"/>
        <v>11705.554117338655</v>
      </c>
      <c r="AB25" s="13">
        <f t="shared" si="41"/>
        <v>1083.3515185812582</v>
      </c>
      <c r="AC25" s="13">
        <f t="shared" si="23"/>
        <v>1430.9606748656836</v>
      </c>
      <c r="AD25" s="13">
        <f>$B$8*AC25</f>
        <v>400.59901533525868</v>
      </c>
      <c r="AE25" s="13">
        <f t="shared" si="24"/>
        <v>13819.267295450338</v>
      </c>
      <c r="AF25" s="45">
        <f t="shared" si="42"/>
        <v>147.74554437890632</v>
      </c>
      <c r="AG25" s="44">
        <f t="shared" si="25"/>
        <v>155.13282159785163</v>
      </c>
      <c r="AH25" s="44">
        <f t="shared" si="26"/>
        <v>3.1026564319570329</v>
      </c>
      <c r="AI25" s="44">
        <f>$B$9*AH25</f>
        <v>0.57906138787136152</v>
      </c>
      <c r="AJ25" s="44">
        <f t="shared" si="27"/>
        <v>3.1026564319570329</v>
      </c>
      <c r="AK25" s="44">
        <f t="shared" si="28"/>
        <v>155.13282159785163</v>
      </c>
      <c r="AL25" s="16">
        <f>(1-$B$10)*B25</f>
        <v>1384.9013883446785</v>
      </c>
      <c r="AM25" s="17">
        <f t="shared" si="8"/>
        <v>9.3735577215985497</v>
      </c>
      <c r="AN25" s="17">
        <f t="shared" si="43"/>
        <v>93.475780086246928</v>
      </c>
      <c r="AO25" s="16">
        <f t="shared" si="9"/>
        <v>290.02323031679515</v>
      </c>
      <c r="AP25" s="16">
        <f t="shared" si="10"/>
        <v>54.128214949100325</v>
      </c>
      <c r="AQ25" s="17">
        <f>IF($B$13="JA",AP25/(AX25/AN25),IF($B$13="NEIN",0,"FEHLER"))</f>
        <v>0.3645092426558455</v>
      </c>
      <c r="AR25" s="16">
        <f t="shared" si="11"/>
        <v>14501.161515839756</v>
      </c>
      <c r="AS25" s="16">
        <f>(1-$B$10)*AR25</f>
        <v>14283.644093102159</v>
      </c>
      <c r="AT25" s="15">
        <f t="shared" si="29"/>
        <v>11705.554117338655</v>
      </c>
      <c r="AU25" s="16">
        <f t="shared" si="44"/>
        <v>1332.4313582751381</v>
      </c>
      <c r="AV25" s="16">
        <f t="shared" si="30"/>
        <v>1245.6586174883653</v>
      </c>
      <c r="AW25" s="16">
        <f>$B$8*AV25</f>
        <v>348.72350049490916</v>
      </c>
      <c r="AX25" s="16">
        <f t="shared" si="31"/>
        <v>13880.79237765815</v>
      </c>
      <c r="AY25" s="55">
        <f t="shared" si="45"/>
        <v>143.39085850846303</v>
      </c>
      <c r="AZ25" s="54">
        <f t="shared" si="32"/>
        <v>150.56040143388617</v>
      </c>
      <c r="BA25" s="54">
        <f t="shared" si="12"/>
        <v>3.0112080286777236</v>
      </c>
      <c r="BB25" s="54">
        <f>BA25*$B$9</f>
        <v>0.56199400046226478</v>
      </c>
      <c r="BC25" s="54">
        <f t="shared" si="33"/>
        <v>2.4492140282154589</v>
      </c>
      <c r="BD25" s="54">
        <f t="shared" si="34"/>
        <v>149.99840743342392</v>
      </c>
      <c r="BE25" s="50">
        <f>(1-$B$10)*B25</f>
        <v>1384.9013883446785</v>
      </c>
      <c r="BF25" s="51">
        <f t="shared" si="13"/>
        <v>9.6582264919136431</v>
      </c>
      <c r="BG25" s="51">
        <f t="shared" si="46"/>
        <v>96.365670957482592</v>
      </c>
      <c r="BH25" s="50">
        <f t="shared" si="14"/>
        <v>14454.697174875741</v>
      </c>
      <c r="BI25" s="50">
        <f>(1-$B$10)*BH25</f>
        <v>14237.876717252604</v>
      </c>
      <c r="BJ25" s="52">
        <f t="shared" si="35"/>
        <v>11705.554117338655</v>
      </c>
      <c r="BK25" s="50">
        <f t="shared" si="47"/>
        <v>1084.1056091637904</v>
      </c>
      <c r="BL25" s="52">
        <f t="shared" si="36"/>
        <v>1448.2169907501582</v>
      </c>
      <c r="BM25" s="50">
        <f>$B$8*BL25</f>
        <v>405.42993995328396</v>
      </c>
      <c r="BN25" s="50">
        <f t="shared" si="37"/>
        <v>13832.446777299319</v>
      </c>
    </row>
    <row r="26" spans="1:66" x14ac:dyDescent="0.25">
      <c r="A26" s="1">
        <v>10</v>
      </c>
      <c r="B26" s="3">
        <f t="shared" si="38"/>
        <v>1434.1110823467736</v>
      </c>
      <c r="C26" s="48">
        <f t="shared" si="15"/>
        <v>155.13282159785163</v>
      </c>
      <c r="D26" s="47">
        <f t="shared" si="0"/>
        <v>162.88946267774421</v>
      </c>
      <c r="E26" s="8">
        <f>(1-$B$10)*B26</f>
        <v>1412.5994161115721</v>
      </c>
      <c r="F26" s="19">
        <f t="shared" si="1"/>
        <v>9.1057417866957344</v>
      </c>
      <c r="G26" s="7">
        <f t="shared" si="39"/>
        <v>104.10477925234503</v>
      </c>
      <c r="H26" s="8">
        <f t="shared" si="2"/>
        <v>16957.571554599654</v>
      </c>
      <c r="I26" s="8">
        <f>(1-$B$10)*H26</f>
        <v>16703.207981280659</v>
      </c>
      <c r="J26" s="8">
        <f t="shared" si="40"/>
        <v>13139.665199685429</v>
      </c>
      <c r="K26" s="8">
        <f t="shared" si="16"/>
        <v>3563.5427815952298</v>
      </c>
      <c r="L26" s="8">
        <f>$B$8*K26</f>
        <v>997.61772247592637</v>
      </c>
      <c r="M26" s="8">
        <f t="shared" si="17"/>
        <v>15705.590258804732</v>
      </c>
      <c r="N26" s="58">
        <f t="shared" si="18"/>
        <v>129.34164284014457</v>
      </c>
      <c r="O26" s="57">
        <f t="shared" si="19"/>
        <v>135.8087249821518</v>
      </c>
      <c r="P26" s="57">
        <f t="shared" si="3"/>
        <v>2.7161744996430359</v>
      </c>
      <c r="Q26" s="57">
        <f>P26*$B$9</f>
        <v>0.50693069308741268</v>
      </c>
      <c r="R26" s="57">
        <f t="shared" si="20"/>
        <v>2.209243806555623</v>
      </c>
      <c r="S26" s="57">
        <f t="shared" si="4"/>
        <v>133.09255048250876</v>
      </c>
      <c r="T26" s="5">
        <f>(1-$B$10)*B26</f>
        <v>1412.5994161115721</v>
      </c>
      <c r="U26" s="6">
        <f t="shared" si="5"/>
        <v>10.921458743626959</v>
      </c>
      <c r="V26" s="6">
        <f t="shared" si="21"/>
        <v>122.53603376569997</v>
      </c>
      <c r="W26" s="6">
        <f>(1-$B$10)*(V26*R26)/S26</f>
        <v>2.003502773858524</v>
      </c>
      <c r="X26" s="6">
        <f t="shared" si="6"/>
        <v>124.5395365395585</v>
      </c>
      <c r="Y26" s="13">
        <f t="shared" si="7"/>
        <v>16575.284553959435</v>
      </c>
      <c r="Z26" s="13">
        <f>(1-$B$10)*Y26</f>
        <v>16326.655285650042</v>
      </c>
      <c r="AA26" s="13">
        <f t="shared" si="22"/>
        <v>13139.665199685429</v>
      </c>
      <c r="AB26" s="13">
        <f t="shared" si="41"/>
        <v>1354.0634922580216</v>
      </c>
      <c r="AC26" s="13">
        <f t="shared" si="23"/>
        <v>1832.9265937065916</v>
      </c>
      <c r="AD26" s="13">
        <f>$B$8*AC26</f>
        <v>513.12981657556179</v>
      </c>
      <c r="AE26" s="13">
        <f t="shared" si="24"/>
        <v>15813.52546907448</v>
      </c>
      <c r="AF26" s="45">
        <f t="shared" si="42"/>
        <v>155.13282159785163</v>
      </c>
      <c r="AG26" s="44">
        <f t="shared" si="25"/>
        <v>162.88946267774421</v>
      </c>
      <c r="AH26" s="44">
        <f t="shared" si="26"/>
        <v>3.257789253554884</v>
      </c>
      <c r="AI26" s="44">
        <f>$B$9*AH26</f>
        <v>0.60801445726492953</v>
      </c>
      <c r="AJ26" s="44">
        <f t="shared" si="27"/>
        <v>3.257789253554884</v>
      </c>
      <c r="AK26" s="44">
        <f t="shared" si="28"/>
        <v>162.88946267774421</v>
      </c>
      <c r="AL26" s="16">
        <f>(1-$B$10)*B26</f>
        <v>1412.5994161115721</v>
      </c>
      <c r="AM26" s="17">
        <f t="shared" si="8"/>
        <v>9.1057417866957344</v>
      </c>
      <c r="AN26" s="17">
        <f t="shared" si="43"/>
        <v>102.21701263028682</v>
      </c>
      <c r="AO26" s="16">
        <f t="shared" si="9"/>
        <v>333.00148527743227</v>
      </c>
      <c r="AP26" s="16">
        <f t="shared" si="10"/>
        <v>62.149421457646284</v>
      </c>
      <c r="AQ26" s="17">
        <f>IF($B$13="JA",AP26/(AX26/AN26),IF($B$13="NEIN",0,"FEHLER"))</f>
        <v>0.39975412881285027</v>
      </c>
      <c r="AR26" s="16">
        <f t="shared" si="11"/>
        <v>16650.074263871611</v>
      </c>
      <c r="AS26" s="16">
        <f>(1-$B$10)*AR26</f>
        <v>16400.323149913536</v>
      </c>
      <c r="AT26" s="15">
        <f t="shared" si="29"/>
        <v>13139.665199685429</v>
      </c>
      <c r="AU26" s="16">
        <f t="shared" si="44"/>
        <v>1665.4328435525704</v>
      </c>
      <c r="AV26" s="16">
        <f t="shared" si="30"/>
        <v>1595.2251066755371</v>
      </c>
      <c r="AW26" s="16">
        <f>$B$8*AV26</f>
        <v>446.58502375146458</v>
      </c>
      <c r="AX26" s="16">
        <f t="shared" si="31"/>
        <v>15891.588704704425</v>
      </c>
      <c r="AY26" s="55">
        <f t="shared" si="45"/>
        <v>149.99840743342392</v>
      </c>
      <c r="AZ26" s="54">
        <f t="shared" si="32"/>
        <v>157.49832780509513</v>
      </c>
      <c r="BA26" s="54">
        <f t="shared" si="12"/>
        <v>3.1499665561019028</v>
      </c>
      <c r="BB26" s="54">
        <f>BA26*$B$9</f>
        <v>0.587891068742735</v>
      </c>
      <c r="BC26" s="54">
        <f t="shared" si="33"/>
        <v>2.5620754873591678</v>
      </c>
      <c r="BD26" s="54">
        <f t="shared" si="34"/>
        <v>156.91043673635241</v>
      </c>
      <c r="BE26" s="50">
        <f>(1-$B$10)*B26</f>
        <v>1412.5994161115721</v>
      </c>
      <c r="BF26" s="51">
        <f t="shared" si="13"/>
        <v>9.4174294266327294</v>
      </c>
      <c r="BG26" s="51">
        <f t="shared" si="46"/>
        <v>105.78310038411533</v>
      </c>
      <c r="BH26" s="50">
        <f t="shared" si="14"/>
        <v>16598.472480596945</v>
      </c>
      <c r="BI26" s="50">
        <f>(1-$B$10)*BH26</f>
        <v>16349.495393387991</v>
      </c>
      <c r="BJ26" s="52">
        <f t="shared" si="35"/>
        <v>13139.665199685429</v>
      </c>
      <c r="BK26" s="50">
        <f t="shared" si="47"/>
        <v>1355.1298976347864</v>
      </c>
      <c r="BL26" s="52">
        <f t="shared" si="36"/>
        <v>1854.7002960677762</v>
      </c>
      <c r="BM26" s="50">
        <f>$B$8*BL26</f>
        <v>519.22538850797162</v>
      </c>
      <c r="BN26" s="50">
        <f t="shared" si="37"/>
        <v>15830.27000488002</v>
      </c>
    </row>
    <row r="27" spans="1:66" x14ac:dyDescent="0.25">
      <c r="A27" s="1">
        <v>11</v>
      </c>
      <c r="B27" s="3">
        <f t="shared" si="38"/>
        <v>1462.7933039937091</v>
      </c>
      <c r="C27" s="48">
        <f t="shared" si="15"/>
        <v>162.88946267774421</v>
      </c>
      <c r="D27" s="47">
        <f t="shared" si="0"/>
        <v>171.03393581163144</v>
      </c>
      <c r="E27" s="8">
        <f>(1-$B$10)*B27</f>
        <v>1440.8514044338035</v>
      </c>
      <c r="F27" s="19">
        <f t="shared" si="1"/>
        <v>8.845577735647284</v>
      </c>
      <c r="G27" s="7">
        <f t="shared" si="39"/>
        <v>112.95035698799231</v>
      </c>
      <c r="H27" s="8">
        <f t="shared" si="2"/>
        <v>19318.344106985132</v>
      </c>
      <c r="I27" s="8">
        <f>(1-$B$10)*H27</f>
        <v>19028.568945380353</v>
      </c>
      <c r="J27" s="8">
        <f t="shared" si="40"/>
        <v>14602.458503679138</v>
      </c>
      <c r="K27" s="8">
        <f t="shared" si="16"/>
        <v>4426.1104417012157</v>
      </c>
      <c r="L27" s="8">
        <f>$B$8*K27</f>
        <v>1239.0944879579199</v>
      </c>
      <c r="M27" s="8">
        <f t="shared" si="17"/>
        <v>17789.474457422435</v>
      </c>
      <c r="N27" s="58">
        <f t="shared" si="18"/>
        <v>133.09255048250876</v>
      </c>
      <c r="O27" s="57">
        <f t="shared" si="19"/>
        <v>139.74717800663419</v>
      </c>
      <c r="P27" s="57">
        <f t="shared" si="3"/>
        <v>2.7949435601326837</v>
      </c>
      <c r="Q27" s="57">
        <f>P27*$B$9</f>
        <v>0.52163168318694753</v>
      </c>
      <c r="R27" s="57">
        <f t="shared" si="20"/>
        <v>2.2733118769457361</v>
      </c>
      <c r="S27" s="57">
        <f t="shared" si="4"/>
        <v>136.95223444650151</v>
      </c>
      <c r="T27" s="5">
        <f>(1-$B$10)*B27</f>
        <v>1440.8514044338035</v>
      </c>
      <c r="U27" s="6">
        <f t="shared" si="5"/>
        <v>10.825935780854712</v>
      </c>
      <c r="V27" s="6">
        <f t="shared" si="21"/>
        <v>135.3654723204132</v>
      </c>
      <c r="W27" s="6">
        <f>(1-$B$10)*(V27*R27)/S27</f>
        <v>2.2132681379028951</v>
      </c>
      <c r="X27" s="6">
        <f t="shared" si="6"/>
        <v>137.5787404583161</v>
      </c>
      <c r="Y27" s="13">
        <f t="shared" si="7"/>
        <v>18841.71591810169</v>
      </c>
      <c r="Z27" s="13">
        <f>(1-$B$10)*Y27</f>
        <v>18559.090179330164</v>
      </c>
      <c r="AA27" s="13">
        <f t="shared" si="22"/>
        <v>14602.458503679138</v>
      </c>
      <c r="AB27" s="13">
        <f t="shared" si="41"/>
        <v>1661.7914282123861</v>
      </c>
      <c r="AC27" s="13">
        <f t="shared" si="23"/>
        <v>2294.8402474386398</v>
      </c>
      <c r="AD27" s="13">
        <f>$B$8*AC27</f>
        <v>642.44305215580516</v>
      </c>
      <c r="AE27" s="13">
        <f t="shared" si="24"/>
        <v>17916.647127174358</v>
      </c>
      <c r="AF27" s="45">
        <f t="shared" si="42"/>
        <v>162.88946267774421</v>
      </c>
      <c r="AG27" s="44">
        <f t="shared" si="25"/>
        <v>171.03393581163144</v>
      </c>
      <c r="AH27" s="44">
        <f t="shared" si="26"/>
        <v>3.4206787162326289</v>
      </c>
      <c r="AI27" s="44">
        <f>$B$9*AH27</f>
        <v>0.63841518012817611</v>
      </c>
      <c r="AJ27" s="44">
        <f t="shared" si="27"/>
        <v>3.4206787162326289</v>
      </c>
      <c r="AK27" s="44">
        <f t="shared" si="28"/>
        <v>171.03393581163144</v>
      </c>
      <c r="AL27" s="16">
        <f>(1-$B$10)*B27</f>
        <v>1440.8514044338035</v>
      </c>
      <c r="AM27" s="17">
        <f t="shared" si="8"/>
        <v>8.845577735647284</v>
      </c>
      <c r="AN27" s="17">
        <f t="shared" si="43"/>
        <v>110.66283623712125</v>
      </c>
      <c r="AO27" s="16">
        <f t="shared" si="9"/>
        <v>378.5420085942576</v>
      </c>
      <c r="AP27" s="16">
        <f t="shared" si="10"/>
        <v>70.648834529816625</v>
      </c>
      <c r="AQ27" s="17">
        <f>IF($B$13="JA",AP27/(AX27/AN27),IF($B$13="NEIN",0,"FEHLER"))</f>
        <v>0.43401775359799383</v>
      </c>
      <c r="AR27" s="16">
        <f t="shared" si="11"/>
        <v>18927.100429712878</v>
      </c>
      <c r="AS27" s="16">
        <f>(1-$B$10)*AR27</f>
        <v>18643.193923267187</v>
      </c>
      <c r="AT27" s="15">
        <f t="shared" si="29"/>
        <v>14602.458503679138</v>
      </c>
      <c r="AU27" s="16">
        <f t="shared" si="44"/>
        <v>2043.974852146828</v>
      </c>
      <c r="AV27" s="16">
        <f t="shared" si="30"/>
        <v>1996.7605674412209</v>
      </c>
      <c r="AW27" s="16">
        <f>$B$8*AV27</f>
        <v>558.9953177799996</v>
      </c>
      <c r="AX27" s="16">
        <f t="shared" si="31"/>
        <v>18013.549770957372</v>
      </c>
      <c r="AY27" s="55">
        <f t="shared" si="45"/>
        <v>156.91043673635241</v>
      </c>
      <c r="AZ27" s="54">
        <f t="shared" si="32"/>
        <v>164.75595857317003</v>
      </c>
      <c r="BA27" s="54">
        <f t="shared" si="12"/>
        <v>3.2951191714634009</v>
      </c>
      <c r="BB27" s="54">
        <f>BA27*$B$9</f>
        <v>0.6149814916586136</v>
      </c>
      <c r="BC27" s="54">
        <f t="shared" si="33"/>
        <v>2.6801376798047873</v>
      </c>
      <c r="BD27" s="54">
        <f t="shared" si="34"/>
        <v>164.14097708151144</v>
      </c>
      <c r="BE27" s="50">
        <f>(1-$B$10)*B27</f>
        <v>1440.8514044338035</v>
      </c>
      <c r="BF27" s="51">
        <f t="shared" si="13"/>
        <v>9.1826358679683189</v>
      </c>
      <c r="BG27" s="51">
        <f t="shared" si="46"/>
        <v>114.96573625208364</v>
      </c>
      <c r="BH27" s="50">
        <f t="shared" si="14"/>
        <v>18870.588279312349</v>
      </c>
      <c r="BI27" s="50">
        <f>(1-$B$10)*BH27</f>
        <v>18587.529455122665</v>
      </c>
      <c r="BJ27" s="52">
        <f t="shared" si="35"/>
        <v>14602.458503679138</v>
      </c>
      <c r="BK27" s="50">
        <f t="shared" si="47"/>
        <v>1663.2538992504951</v>
      </c>
      <c r="BL27" s="52">
        <f t="shared" si="36"/>
        <v>2321.8170521930324</v>
      </c>
      <c r="BM27" s="50">
        <f>$B$8*BL27</f>
        <v>649.99523832787838</v>
      </c>
      <c r="BN27" s="50">
        <f t="shared" si="37"/>
        <v>17937.534216794786</v>
      </c>
    </row>
    <row r="28" spans="1:66" x14ac:dyDescent="0.25">
      <c r="A28" s="1">
        <v>12</v>
      </c>
      <c r="B28" s="3">
        <f t="shared" si="38"/>
        <v>1492.0491700735834</v>
      </c>
      <c r="C28" s="48">
        <f t="shared" si="15"/>
        <v>171.03393581163144</v>
      </c>
      <c r="D28" s="47">
        <f t="shared" si="0"/>
        <v>179.58563260221302</v>
      </c>
      <c r="E28" s="8">
        <f>(1-$B$10)*B28</f>
        <v>1469.6684325224796</v>
      </c>
      <c r="F28" s="19">
        <f t="shared" si="1"/>
        <v>8.5928469432002181</v>
      </c>
      <c r="G28" s="7">
        <f t="shared" si="39"/>
        <v>121.54320393119252</v>
      </c>
      <c r="H28" s="8">
        <f t="shared" si="2"/>
        <v>21827.413166482995</v>
      </c>
      <c r="I28" s="8">
        <f>(1-$B$10)*H28</f>
        <v>21500.001968985751</v>
      </c>
      <c r="J28" s="8">
        <f t="shared" si="40"/>
        <v>16094.507673752722</v>
      </c>
      <c r="K28" s="8">
        <f t="shared" si="16"/>
        <v>5405.4942952330293</v>
      </c>
      <c r="L28" s="8">
        <f>$B$8*K28</f>
        <v>1513.2740753158482</v>
      </c>
      <c r="M28" s="8">
        <f t="shared" si="17"/>
        <v>19986.727893669904</v>
      </c>
      <c r="N28" s="58">
        <f t="shared" si="18"/>
        <v>136.95223444650151</v>
      </c>
      <c r="O28" s="57">
        <f t="shared" si="19"/>
        <v>143.79984616882658</v>
      </c>
      <c r="P28" s="57">
        <f t="shared" si="3"/>
        <v>2.8759969233765315</v>
      </c>
      <c r="Q28" s="57">
        <f>P28*$B$9</f>
        <v>0.53675900199936899</v>
      </c>
      <c r="R28" s="57">
        <f t="shared" si="20"/>
        <v>2.3392379213771624</v>
      </c>
      <c r="S28" s="57">
        <f t="shared" si="4"/>
        <v>140.92384924545004</v>
      </c>
      <c r="T28" s="5">
        <f>(1-$B$10)*B28</f>
        <v>1469.6684325224796</v>
      </c>
      <c r="U28" s="6">
        <f t="shared" si="5"/>
        <v>10.731248295890968</v>
      </c>
      <c r="V28" s="6">
        <f t="shared" si="21"/>
        <v>148.30998875420707</v>
      </c>
      <c r="W28" s="6">
        <f>(1-$B$10)*(V28*R28)/S28</f>
        <v>2.4249150615413098</v>
      </c>
      <c r="X28" s="6">
        <f t="shared" si="6"/>
        <v>150.73490381574837</v>
      </c>
      <c r="Y28" s="13">
        <f t="shared" si="7"/>
        <v>21242.142861357934</v>
      </c>
      <c r="Z28" s="13">
        <f>(1-$B$10)*Y28</f>
        <v>20923.510718437563</v>
      </c>
      <c r="AA28" s="13">
        <f t="shared" si="22"/>
        <v>16094.507673752722</v>
      </c>
      <c r="AB28" s="13">
        <f t="shared" si="41"/>
        <v>2008.7237780252478</v>
      </c>
      <c r="AC28" s="13">
        <f t="shared" si="23"/>
        <v>2820.2792666595933</v>
      </c>
      <c r="AD28" s="13">
        <f>$B$8*AC28</f>
        <v>789.54028369810146</v>
      </c>
      <c r="AE28" s="13">
        <f t="shared" si="24"/>
        <v>20133.970434739462</v>
      </c>
      <c r="AF28" s="45">
        <f t="shared" si="42"/>
        <v>171.03393581163144</v>
      </c>
      <c r="AG28" s="44">
        <f t="shared" si="25"/>
        <v>179.58563260221302</v>
      </c>
      <c r="AH28" s="44">
        <f t="shared" si="26"/>
        <v>3.5917126520442606</v>
      </c>
      <c r="AI28" s="44">
        <f>$B$9*AH28</f>
        <v>0.670335939134585</v>
      </c>
      <c r="AJ28" s="44">
        <f t="shared" si="27"/>
        <v>3.5917126520442606</v>
      </c>
      <c r="AK28" s="44">
        <f t="shared" si="28"/>
        <v>179.58563260221302</v>
      </c>
      <c r="AL28" s="16">
        <f>(1-$B$10)*B28</f>
        <v>1469.6684325224796</v>
      </c>
      <c r="AM28" s="17">
        <f t="shared" si="8"/>
        <v>8.5928469432002181</v>
      </c>
      <c r="AN28" s="17">
        <f t="shared" si="43"/>
        <v>118.82166542672347</v>
      </c>
      <c r="AO28" s="16">
        <f t="shared" si="9"/>
        <v>426.77327905013277</v>
      </c>
      <c r="AP28" s="16">
        <f t="shared" si="10"/>
        <v>79.650432683358133</v>
      </c>
      <c r="AQ28" s="17">
        <f>IF($B$13="JA",AP28/(AX28/AN28),IF($B$13="NEIN",0,"FEHLER"))</f>
        <v>0.46731879424692707</v>
      </c>
      <c r="AR28" s="16">
        <f t="shared" si="11"/>
        <v>21338.663952506638</v>
      </c>
      <c r="AS28" s="16">
        <f>(1-$B$10)*AR28</f>
        <v>21018.583993219039</v>
      </c>
      <c r="AT28" s="15">
        <f t="shared" si="29"/>
        <v>16094.507673752722</v>
      </c>
      <c r="AU28" s="16">
        <f t="shared" si="44"/>
        <v>2470.7481311969609</v>
      </c>
      <c r="AV28" s="16">
        <f t="shared" si="30"/>
        <v>2453.3281882693568</v>
      </c>
      <c r="AW28" s="16">
        <f>$B$8*AV28</f>
        <v>686.81192556684937</v>
      </c>
      <c r="AX28" s="16">
        <f t="shared" si="31"/>
        <v>20252.121634968833</v>
      </c>
      <c r="AY28" s="55">
        <f t="shared" si="45"/>
        <v>164.14097708151144</v>
      </c>
      <c r="AZ28" s="54">
        <f t="shared" si="32"/>
        <v>172.348025935587</v>
      </c>
      <c r="BA28" s="54">
        <f t="shared" si="12"/>
        <v>3.44696051871174</v>
      </c>
      <c r="BB28" s="54">
        <f>BA28*$B$9</f>
        <v>0.64332025980846663</v>
      </c>
      <c r="BC28" s="54">
        <f t="shared" si="33"/>
        <v>2.8036402589032736</v>
      </c>
      <c r="BD28" s="54">
        <f t="shared" si="34"/>
        <v>171.70470567577854</v>
      </c>
      <c r="BE28" s="50">
        <f>(1-$B$10)*B28</f>
        <v>1469.6684325224796</v>
      </c>
      <c r="BF28" s="51">
        <f t="shared" si="13"/>
        <v>8.9536961376357045</v>
      </c>
      <c r="BG28" s="51">
        <f t="shared" si="46"/>
        <v>123.91943238971935</v>
      </c>
      <c r="BH28" s="50">
        <f t="shared" si="14"/>
        <v>21277.549665986298</v>
      </c>
      <c r="BI28" s="50">
        <f>(1-$B$10)*BH28</f>
        <v>20958.386420996503</v>
      </c>
      <c r="BJ28" s="52">
        <f t="shared" si="35"/>
        <v>16094.507673752722</v>
      </c>
      <c r="BK28" s="50">
        <f t="shared" si="47"/>
        <v>2010.6794087587546</v>
      </c>
      <c r="BL28" s="52">
        <f t="shared" si="36"/>
        <v>2853.1993384850271</v>
      </c>
      <c r="BM28" s="50">
        <f>$B$8*BL28</f>
        <v>798.75629402575953</v>
      </c>
      <c r="BN28" s="50">
        <f t="shared" si="37"/>
        <v>20159.630126970744</v>
      </c>
    </row>
    <row r="29" spans="1:66" x14ac:dyDescent="0.25">
      <c r="A29" s="1">
        <v>13</v>
      </c>
      <c r="B29" s="3">
        <f t="shared" si="38"/>
        <v>1521.8901534750551</v>
      </c>
      <c r="C29" s="48">
        <f t="shared" si="15"/>
        <v>179.58563260221302</v>
      </c>
      <c r="D29" s="47">
        <f t="shared" si="0"/>
        <v>188.56491423232367</v>
      </c>
      <c r="E29" s="8">
        <f>(1-$B$10)*B29</f>
        <v>1499.0618011729291</v>
      </c>
      <c r="F29" s="19">
        <f t="shared" si="1"/>
        <v>8.3473370305373535</v>
      </c>
      <c r="G29" s="7">
        <f t="shared" si="39"/>
        <v>129.89054096172987</v>
      </c>
      <c r="H29" s="8">
        <f t="shared" si="2"/>
        <v>24492.798716038717</v>
      </c>
      <c r="I29" s="8">
        <f>(1-$B$10)*H29</f>
        <v>24125.406735298136</v>
      </c>
      <c r="J29" s="8">
        <f t="shared" si="40"/>
        <v>17616.397827227778</v>
      </c>
      <c r="K29" s="8">
        <f t="shared" si="16"/>
        <v>6509.0089080703583</v>
      </c>
      <c r="L29" s="8">
        <f>$B$8*K29</f>
        <v>1822.2042053155408</v>
      </c>
      <c r="M29" s="8">
        <f t="shared" si="17"/>
        <v>22303.202529982595</v>
      </c>
      <c r="N29" s="58">
        <f t="shared" si="18"/>
        <v>140.92384924545004</v>
      </c>
      <c r="O29" s="57">
        <f t="shared" si="19"/>
        <v>147.97004170772254</v>
      </c>
      <c r="P29" s="57">
        <f t="shared" si="3"/>
        <v>2.9594008341544509</v>
      </c>
      <c r="Q29" s="57">
        <f>P29*$B$9</f>
        <v>0.55232501305735071</v>
      </c>
      <c r="R29" s="57">
        <f t="shared" si="20"/>
        <v>2.4070758210971004</v>
      </c>
      <c r="S29" s="57">
        <f t="shared" si="4"/>
        <v>145.01064087356809</v>
      </c>
      <c r="T29" s="5">
        <f>(1-$B$10)*B29</f>
        <v>1499.0618011729291</v>
      </c>
      <c r="U29" s="6">
        <f t="shared" si="5"/>
        <v>10.637388981349646</v>
      </c>
      <c r="V29" s="6">
        <f t="shared" si="21"/>
        <v>161.37229279709803</v>
      </c>
      <c r="W29" s="6">
        <f>(1-$B$10)*(V29*R29)/S29</f>
        <v>2.6384878497136084</v>
      </c>
      <c r="X29" s="6">
        <f t="shared" si="6"/>
        <v>164.01078064681164</v>
      </c>
      <c r="Y29" s="13">
        <f t="shared" si="7"/>
        <v>23783.308411768354</v>
      </c>
      <c r="Z29" s="13">
        <f>(1-$B$10)*Y29</f>
        <v>23426.558785591827</v>
      </c>
      <c r="AA29" s="13">
        <f t="shared" si="22"/>
        <v>17616.397827227778</v>
      </c>
      <c r="AB29" s="13">
        <f t="shared" si="41"/>
        <v>2397.1591222121442</v>
      </c>
      <c r="AC29" s="13">
        <f t="shared" si="23"/>
        <v>3413.0018361519051</v>
      </c>
      <c r="AD29" s="13">
        <f>$B$8*AC29</f>
        <v>955.47361916722048</v>
      </c>
      <c r="AE29" s="13">
        <f t="shared" si="24"/>
        <v>22471.085166424607</v>
      </c>
      <c r="AF29" s="45">
        <f t="shared" si="42"/>
        <v>179.58563260221302</v>
      </c>
      <c r="AG29" s="44">
        <f t="shared" si="25"/>
        <v>188.56491423232367</v>
      </c>
      <c r="AH29" s="44">
        <f t="shared" si="26"/>
        <v>3.7712982846464733</v>
      </c>
      <c r="AI29" s="44">
        <f>$B$9*AH29</f>
        <v>0.70385273609131416</v>
      </c>
      <c r="AJ29" s="44">
        <f t="shared" si="27"/>
        <v>3.7712982846464733</v>
      </c>
      <c r="AK29" s="44">
        <f t="shared" si="28"/>
        <v>188.56491423232367</v>
      </c>
      <c r="AL29" s="16">
        <f>(1-$B$10)*B29</f>
        <v>1499.0618011729291</v>
      </c>
      <c r="AM29" s="17">
        <f t="shared" si="8"/>
        <v>8.3473370305373535</v>
      </c>
      <c r="AN29" s="17">
        <f t="shared" si="43"/>
        <v>126.70168366301391</v>
      </c>
      <c r="AO29" s="16">
        <f t="shared" si="9"/>
        <v>477.82984226014446</v>
      </c>
      <c r="AP29" s="16">
        <f t="shared" si="10"/>
        <v>89.179326713588495</v>
      </c>
      <c r="AQ29" s="17">
        <f>IF($B$13="JA",AP29/(AX29/AN29),IF($B$13="NEIN",0,"FEHLER"))</f>
        <v>0.49967577152428722</v>
      </c>
      <c r="AR29" s="16">
        <f t="shared" si="11"/>
        <v>23891.492113007222</v>
      </c>
      <c r="AS29" s="16">
        <f>(1-$B$10)*AR29</f>
        <v>23533.119731312112</v>
      </c>
      <c r="AT29" s="15">
        <f t="shared" si="29"/>
        <v>17616.397827227778</v>
      </c>
      <c r="AU29" s="16">
        <f t="shared" si="44"/>
        <v>2948.5779734571051</v>
      </c>
      <c r="AV29" s="16">
        <f t="shared" si="30"/>
        <v>2968.1439306272287</v>
      </c>
      <c r="AW29" s="16">
        <f>$B$8*AV29</f>
        <v>830.93515906312405</v>
      </c>
      <c r="AX29" s="16">
        <f t="shared" si="31"/>
        <v>22613.005245535402</v>
      </c>
      <c r="AY29" s="55">
        <f t="shared" si="45"/>
        <v>171.70470567577854</v>
      </c>
      <c r="AZ29" s="54">
        <f t="shared" si="32"/>
        <v>180.28994095956747</v>
      </c>
      <c r="BA29" s="54">
        <f t="shared" si="12"/>
        <v>3.6057988191913495</v>
      </c>
      <c r="BB29" s="54">
        <f>BA29*$B$9</f>
        <v>0.67296489779528867</v>
      </c>
      <c r="BC29" s="54">
        <f t="shared" si="33"/>
        <v>2.9328339213960608</v>
      </c>
      <c r="BD29" s="54">
        <f t="shared" si="34"/>
        <v>179.61697606177219</v>
      </c>
      <c r="BE29" s="50">
        <f>(1-$B$10)*B29</f>
        <v>1499.0618011729291</v>
      </c>
      <c r="BF29" s="51">
        <f t="shared" si="13"/>
        <v>8.7304642891006896</v>
      </c>
      <c r="BG29" s="51">
        <f t="shared" si="46"/>
        <v>132.64989667882003</v>
      </c>
      <c r="BH29" s="50">
        <f t="shared" si="14"/>
        <v>23826.173316356173</v>
      </c>
      <c r="BI29" s="50">
        <f>(1-$B$10)*BH29</f>
        <v>23468.780716610829</v>
      </c>
      <c r="BJ29" s="52">
        <f t="shared" si="35"/>
        <v>17616.397827227778</v>
      </c>
      <c r="BK29" s="50">
        <f t="shared" si="47"/>
        <v>2399.7195254080807</v>
      </c>
      <c r="BL29" s="52">
        <f t="shared" si="36"/>
        <v>3452.6633639749698</v>
      </c>
      <c r="BM29" s="50">
        <f>$B$8*BL29</f>
        <v>966.57690751866528</v>
      </c>
      <c r="BN29" s="50">
        <f t="shared" si="37"/>
        <v>22502.203809092163</v>
      </c>
    </row>
    <row r="30" spans="1:66" x14ac:dyDescent="0.25">
      <c r="A30" s="1">
        <v>14</v>
      </c>
      <c r="B30" s="3">
        <f t="shared" si="38"/>
        <v>1552.3279565445562</v>
      </c>
      <c r="C30" s="48">
        <f t="shared" si="15"/>
        <v>188.56491423232367</v>
      </c>
      <c r="D30" s="47">
        <f t="shared" si="0"/>
        <v>197.99315994393987</v>
      </c>
      <c r="E30" s="8">
        <f>(1-$B$10)*B30</f>
        <v>1529.0430371963878</v>
      </c>
      <c r="F30" s="19">
        <f t="shared" si="1"/>
        <v>8.1088416868077164</v>
      </c>
      <c r="G30" s="7">
        <f t="shared" si="39"/>
        <v>137.99938264853759</v>
      </c>
      <c r="H30" s="8">
        <f t="shared" si="2"/>
        <v>27322.933840896865</v>
      </c>
      <c r="I30" s="8">
        <f>(1-$B$10)*H30</f>
        <v>26913.089833283411</v>
      </c>
      <c r="J30" s="8">
        <f t="shared" si="40"/>
        <v>19168.725783772334</v>
      </c>
      <c r="K30" s="8">
        <f t="shared" si="16"/>
        <v>7744.3640495110776</v>
      </c>
      <c r="L30" s="8">
        <f>$B$8*K30</f>
        <v>2168.0432363545683</v>
      </c>
      <c r="M30" s="8">
        <f t="shared" si="17"/>
        <v>24745.046596928842</v>
      </c>
      <c r="N30" s="58">
        <f t="shared" si="18"/>
        <v>145.01064087356809</v>
      </c>
      <c r="O30" s="57">
        <f t="shared" si="19"/>
        <v>152.26117291724651</v>
      </c>
      <c r="P30" s="57">
        <f t="shared" si="3"/>
        <v>3.0452234583449305</v>
      </c>
      <c r="Q30" s="57">
        <f>P30*$B$9</f>
        <v>0.56834243843601395</v>
      </c>
      <c r="R30" s="57">
        <f t="shared" si="20"/>
        <v>2.4768810199089164</v>
      </c>
      <c r="S30" s="57">
        <f t="shared" si="4"/>
        <v>149.21594945890158</v>
      </c>
      <c r="T30" s="5">
        <f>(1-$B$10)*B30</f>
        <v>1529.0430371963878</v>
      </c>
      <c r="U30" s="6">
        <f t="shared" si="5"/>
        <v>10.544350593757668</v>
      </c>
      <c r="V30" s="6">
        <f t="shared" si="21"/>
        <v>174.5551312405693</v>
      </c>
      <c r="W30" s="6">
        <f>(1-$B$10)*(V30*R30)/S30</f>
        <v>2.854031413326295</v>
      </c>
      <c r="X30" s="6">
        <f t="shared" si="6"/>
        <v>177.40916265389558</v>
      </c>
      <c r="Y30" s="13">
        <f t="shared" si="7"/>
        <v>26472.276648109731</v>
      </c>
      <c r="Z30" s="13">
        <f>(1-$B$10)*Y30</f>
        <v>26075.192498388085</v>
      </c>
      <c r="AA30" s="13">
        <f t="shared" si="22"/>
        <v>19168.725783772334</v>
      </c>
      <c r="AB30" s="13">
        <f t="shared" si="41"/>
        <v>2829.5114137096202</v>
      </c>
      <c r="AC30" s="13">
        <f t="shared" si="23"/>
        <v>4076.9553009061315</v>
      </c>
      <c r="AD30" s="13">
        <f>$B$8*AC30</f>
        <v>1141.3481221363133</v>
      </c>
      <c r="AE30" s="13">
        <f t="shared" si="24"/>
        <v>24933.844376251771</v>
      </c>
      <c r="AF30" s="45">
        <f t="shared" si="42"/>
        <v>188.56491423232367</v>
      </c>
      <c r="AG30" s="44">
        <f t="shared" si="25"/>
        <v>197.99315994393987</v>
      </c>
      <c r="AH30" s="44">
        <f t="shared" si="26"/>
        <v>3.9598631988787973</v>
      </c>
      <c r="AI30" s="44">
        <f>$B$9*AH30</f>
        <v>0.73904537289588002</v>
      </c>
      <c r="AJ30" s="44">
        <f t="shared" si="27"/>
        <v>3.9598631988787973</v>
      </c>
      <c r="AK30" s="44">
        <f t="shared" si="28"/>
        <v>197.99315994393987</v>
      </c>
      <c r="AL30" s="16">
        <f>(1-$B$10)*B30</f>
        <v>1529.0430371963878</v>
      </c>
      <c r="AM30" s="17">
        <f t="shared" si="8"/>
        <v>8.1088416868077164</v>
      </c>
      <c r="AN30" s="17">
        <f t="shared" si="43"/>
        <v>134.31084957829734</v>
      </c>
      <c r="AO30" s="16">
        <f t="shared" si="9"/>
        <v>531.85259045524549</v>
      </c>
      <c r="AP30" s="16">
        <f t="shared" si="10"/>
        <v>99.26181191055521</v>
      </c>
      <c r="AQ30" s="17">
        <f>IF($B$13="JA",AP30/(AX30/AN30),IF($B$13="NEIN",0,"FEHLER"))</f>
        <v>0.53110704252797569</v>
      </c>
      <c r="AR30" s="16">
        <f t="shared" si="11"/>
        <v>26592.629522762272</v>
      </c>
      <c r="AS30" s="16">
        <f>(1-$B$10)*AR30</f>
        <v>26193.740079920837</v>
      </c>
      <c r="AT30" s="15">
        <f t="shared" si="29"/>
        <v>19168.725783772334</v>
      </c>
      <c r="AU30" s="16">
        <f t="shared" si="44"/>
        <v>3480.4305639123504</v>
      </c>
      <c r="AV30" s="16">
        <f t="shared" si="30"/>
        <v>3544.5837322361531</v>
      </c>
      <c r="AW30" s="16">
        <f>$B$8*AV30</f>
        <v>992.310115748263</v>
      </c>
      <c r="AX30" s="16">
        <f t="shared" si="31"/>
        <v>25102.16815226202</v>
      </c>
      <c r="AY30" s="55">
        <f t="shared" si="45"/>
        <v>179.61697606177219</v>
      </c>
      <c r="AZ30" s="54">
        <f t="shared" si="32"/>
        <v>188.5978248648608</v>
      </c>
      <c r="BA30" s="54">
        <f t="shared" si="12"/>
        <v>3.7719564972972162</v>
      </c>
      <c r="BB30" s="54">
        <f>BA30*$B$9</f>
        <v>0.70397558099516111</v>
      </c>
      <c r="BC30" s="54">
        <f t="shared" si="33"/>
        <v>3.067980916302055</v>
      </c>
      <c r="BD30" s="54">
        <f t="shared" si="34"/>
        <v>187.89384928386562</v>
      </c>
      <c r="BE30" s="50">
        <f>(1-$B$10)*B30</f>
        <v>1529.0430371963878</v>
      </c>
      <c r="BF30" s="51">
        <f t="shared" si="13"/>
        <v>8.512798014540305</v>
      </c>
      <c r="BG30" s="51">
        <f t="shared" si="46"/>
        <v>141.16269469336032</v>
      </c>
      <c r="BH30" s="50">
        <f t="shared" si="14"/>
        <v>26523.602081218582</v>
      </c>
      <c r="BI30" s="50">
        <f>(1-$B$10)*BH30</f>
        <v>26125.748050000304</v>
      </c>
      <c r="BJ30" s="52">
        <f t="shared" si="35"/>
        <v>19168.725783772334</v>
      </c>
      <c r="BK30" s="50">
        <f t="shared" si="47"/>
        <v>2832.8039788210835</v>
      </c>
      <c r="BL30" s="52">
        <f t="shared" si="36"/>
        <v>4124.2182874068867</v>
      </c>
      <c r="BM30" s="50">
        <f>$B$8*BL30</f>
        <v>1154.5794472080406</v>
      </c>
      <c r="BN30" s="50">
        <f t="shared" si="37"/>
        <v>24971.168602792262</v>
      </c>
    </row>
    <row r="31" spans="1:66" x14ac:dyDescent="0.25">
      <c r="A31" s="1">
        <v>15</v>
      </c>
      <c r="B31" s="3">
        <f t="shared" si="38"/>
        <v>1583.3745156754474</v>
      </c>
      <c r="C31" s="48">
        <f t="shared" si="15"/>
        <v>197.99315994393987</v>
      </c>
      <c r="D31" s="47">
        <f t="shared" si="0"/>
        <v>207.89281794113688</v>
      </c>
      <c r="E31" s="8">
        <f>(1-$B$10)*B31</f>
        <v>1559.6238979403156</v>
      </c>
      <c r="F31" s="19">
        <f t="shared" si="1"/>
        <v>7.8771604957560664</v>
      </c>
      <c r="G31" s="7">
        <f t="shared" si="39"/>
        <v>145.87654314429366</v>
      </c>
      <c r="H31" s="8">
        <f t="shared" si="2"/>
        <v>30326.685625779042</v>
      </c>
      <c r="I31" s="8">
        <f>(1-$B$10)*H31</f>
        <v>29871.785341392355</v>
      </c>
      <c r="J31" s="8">
        <f t="shared" si="40"/>
        <v>20752.100299447782</v>
      </c>
      <c r="K31" s="8">
        <f t="shared" si="16"/>
        <v>9119.6850419445727</v>
      </c>
      <c r="L31" s="8">
        <f>$B$8*K31</f>
        <v>2553.0658613756814</v>
      </c>
      <c r="M31" s="8">
        <f t="shared" si="17"/>
        <v>27318.719480016673</v>
      </c>
      <c r="N31" s="58">
        <f t="shared" si="18"/>
        <v>149.21594945890158</v>
      </c>
      <c r="O31" s="57">
        <f t="shared" si="19"/>
        <v>156.67674693184665</v>
      </c>
      <c r="P31" s="57">
        <f t="shared" si="3"/>
        <v>3.1335349386369331</v>
      </c>
      <c r="Q31" s="57">
        <f>P31*$B$9</f>
        <v>0.58482436915065839</v>
      </c>
      <c r="R31" s="57">
        <f t="shared" si="20"/>
        <v>2.5487105694862748</v>
      </c>
      <c r="S31" s="57">
        <f t="shared" si="4"/>
        <v>153.54321199320972</v>
      </c>
      <c r="T31" s="5">
        <f>(1-$B$10)*B31</f>
        <v>1559.6238979403156</v>
      </c>
      <c r="U31" s="6">
        <f t="shared" si="5"/>
        <v>10.45212595299594</v>
      </c>
      <c r="V31" s="6">
        <f t="shared" si="21"/>
        <v>187.86128860689152</v>
      </c>
      <c r="W31" s="6">
        <f>(1-$B$10)*(V31*R31)/S31</f>
        <v>3.0715912801961403</v>
      </c>
      <c r="X31" s="6">
        <f t="shared" si="6"/>
        <v>190.93287988708767</v>
      </c>
      <c r="Y31" s="13">
        <f t="shared" si="7"/>
        <v>29316.447652977149</v>
      </c>
      <c r="Z31" s="13">
        <f>(1-$B$10)*Y31</f>
        <v>28876.70093818249</v>
      </c>
      <c r="AA31" s="13">
        <f t="shared" si="22"/>
        <v>20752.100299447782</v>
      </c>
      <c r="AB31" s="13">
        <f t="shared" si="41"/>
        <v>3308.315465579316</v>
      </c>
      <c r="AC31" s="13">
        <f t="shared" si="23"/>
        <v>4816.2851731553919</v>
      </c>
      <c r="AD31" s="13">
        <f>$B$8*AC31</f>
        <v>1348.3243333161186</v>
      </c>
      <c r="AE31" s="13">
        <f t="shared" si="24"/>
        <v>27528.376604866371</v>
      </c>
      <c r="AF31" s="45">
        <f t="shared" si="42"/>
        <v>197.99315994393987</v>
      </c>
      <c r="AG31" s="44">
        <f t="shared" si="25"/>
        <v>207.89281794113688</v>
      </c>
      <c r="AH31" s="44">
        <f t="shared" si="26"/>
        <v>4.1578563588227375</v>
      </c>
      <c r="AI31" s="44">
        <f>$B$9*AH31</f>
        <v>0.77599764154067408</v>
      </c>
      <c r="AJ31" s="44">
        <f t="shared" si="27"/>
        <v>4.1578563588227375</v>
      </c>
      <c r="AK31" s="44">
        <f t="shared" si="28"/>
        <v>207.89281794113688</v>
      </c>
      <c r="AL31" s="16">
        <f>(1-$B$10)*B31</f>
        <v>1559.6238979403156</v>
      </c>
      <c r="AM31" s="17">
        <f t="shared" si="8"/>
        <v>7.8771604957560664</v>
      </c>
      <c r="AN31" s="17">
        <f t="shared" si="43"/>
        <v>141.65690303152545</v>
      </c>
      <c r="AO31" s="16">
        <f t="shared" si="9"/>
        <v>588.98905504076401</v>
      </c>
      <c r="AP31" s="16">
        <f t="shared" si="10"/>
        <v>109.92542266041971</v>
      </c>
      <c r="AQ31" s="17">
        <f>IF($B$13="JA",AP31/(AX31/AN31),IF($B$13="NEIN",0,"FEHLER"))</f>
        <v>0.56163079391699455</v>
      </c>
      <c r="AR31" s="16">
        <f t="shared" si="11"/>
        <v>29449.4527520382</v>
      </c>
      <c r="AS31" s="16">
        <f>(1-$B$10)*AR31</f>
        <v>29007.710960757628</v>
      </c>
      <c r="AT31" s="15">
        <f t="shared" si="29"/>
        <v>20752.100299447782</v>
      </c>
      <c r="AU31" s="16">
        <f t="shared" si="44"/>
        <v>4069.4196189531144</v>
      </c>
      <c r="AV31" s="16">
        <f t="shared" si="30"/>
        <v>4186.1910423567315</v>
      </c>
      <c r="AW31" s="16">
        <f>$B$8*AV31</f>
        <v>1171.9287881414323</v>
      </c>
      <c r="AX31" s="16">
        <f t="shared" si="31"/>
        <v>27725.856749955776</v>
      </c>
      <c r="AY31" s="55">
        <f t="shared" si="45"/>
        <v>187.89384928386562</v>
      </c>
      <c r="AZ31" s="54">
        <f t="shared" si="32"/>
        <v>197.28854174805892</v>
      </c>
      <c r="BA31" s="54">
        <f t="shared" si="12"/>
        <v>3.9457708349611784</v>
      </c>
      <c r="BB31" s="54">
        <f>BA31*$B$9</f>
        <v>0.73641525770669114</v>
      </c>
      <c r="BC31" s="54">
        <f t="shared" si="33"/>
        <v>3.2093555772544873</v>
      </c>
      <c r="BD31" s="54">
        <f t="shared" si="34"/>
        <v>196.55212649035224</v>
      </c>
      <c r="BE31" s="50">
        <f>(1-$B$10)*B31</f>
        <v>1559.6238979403156</v>
      </c>
      <c r="BF31" s="51">
        <f t="shared" si="13"/>
        <v>8.3005585541231444</v>
      </c>
      <c r="BG31" s="51">
        <f t="shared" si="46"/>
        <v>149.46325324748346</v>
      </c>
      <c r="BH31" s="50">
        <f t="shared" si="14"/>
        <v>29377.32025795892</v>
      </c>
      <c r="BI31" s="50">
        <f>(1-$B$10)*BH31</f>
        <v>28936.660454089535</v>
      </c>
      <c r="BJ31" s="52">
        <f t="shared" si="35"/>
        <v>20752.100299447782</v>
      </c>
      <c r="BK31" s="50">
        <f t="shared" si="47"/>
        <v>3312.4847042254946</v>
      </c>
      <c r="BL31" s="52">
        <f t="shared" si="36"/>
        <v>4872.0754504162578</v>
      </c>
      <c r="BM31" s="50">
        <f>$B$8*BL31</f>
        <v>1363.9428828182436</v>
      </c>
      <c r="BN31" s="50">
        <f t="shared" si="37"/>
        <v>27572.717571271292</v>
      </c>
    </row>
    <row r="32" spans="1:66" x14ac:dyDescent="0.25">
      <c r="A32" s="1">
        <v>16</v>
      </c>
      <c r="B32" s="3">
        <f t="shared" si="38"/>
        <v>1615.0420059889564</v>
      </c>
      <c r="C32" s="48">
        <f t="shared" si="15"/>
        <v>207.89281794113688</v>
      </c>
      <c r="D32" s="47">
        <f t="shared" si="0"/>
        <v>218.28745883819374</v>
      </c>
      <c r="E32" s="8">
        <f>(1-$B$10)*B32</f>
        <v>1590.816375899122</v>
      </c>
      <c r="F32" s="19">
        <f t="shared" si="1"/>
        <v>7.6520987673058931</v>
      </c>
      <c r="G32" s="7">
        <f t="shared" si="39"/>
        <v>153.52864191159955</v>
      </c>
      <c r="H32" s="8">
        <f t="shared" si="2"/>
        <v>33513.377101762075</v>
      </c>
      <c r="I32" s="8">
        <f>(1-$B$10)*H32</f>
        <v>33010.676445235644</v>
      </c>
      <c r="J32" s="8">
        <f t="shared" si="40"/>
        <v>22367.142305436737</v>
      </c>
      <c r="K32" s="8">
        <f t="shared" si="16"/>
        <v>10643.534139798907</v>
      </c>
      <c r="L32" s="8">
        <f>$B$8*K32</f>
        <v>2979.6690929265892</v>
      </c>
      <c r="M32" s="8">
        <f t="shared" si="17"/>
        <v>30031.007352309054</v>
      </c>
      <c r="N32" s="58">
        <f t="shared" si="18"/>
        <v>153.54321199320972</v>
      </c>
      <c r="O32" s="57">
        <f t="shared" si="19"/>
        <v>161.22037259287021</v>
      </c>
      <c r="P32" s="57">
        <f t="shared" si="3"/>
        <v>3.2244074518574042</v>
      </c>
      <c r="Q32" s="57">
        <f>P32*$B$9</f>
        <v>0.60178427585602745</v>
      </c>
      <c r="R32" s="57">
        <f t="shared" si="20"/>
        <v>2.622623176001377</v>
      </c>
      <c r="S32" s="57">
        <f t="shared" si="4"/>
        <v>157.99596514101279</v>
      </c>
      <c r="T32" s="5">
        <f>(1-$B$10)*B32</f>
        <v>1590.816375899122</v>
      </c>
      <c r="U32" s="6">
        <f t="shared" si="5"/>
        <v>10.360707941745247</v>
      </c>
      <c r="V32" s="6">
        <f t="shared" si="21"/>
        <v>201.29358782883293</v>
      </c>
      <c r="W32" s="6">
        <f>(1-$B$10)*(V32*R32)/S32</f>
        <v>3.2912136061636588</v>
      </c>
      <c r="X32" s="6">
        <f t="shared" si="6"/>
        <v>204.58480143499659</v>
      </c>
      <c r="Y32" s="13">
        <f t="shared" si="7"/>
        <v>32323.573155904745</v>
      </c>
      <c r="Z32" s="13">
        <f>(1-$B$10)*Y32</f>
        <v>31838.719558566172</v>
      </c>
      <c r="AA32" s="13">
        <f t="shared" si="22"/>
        <v>22367.142305436737</v>
      </c>
      <c r="AB32" s="13">
        <f t="shared" si="41"/>
        <v>3836.2326941996816</v>
      </c>
      <c r="AC32" s="13">
        <f t="shared" si="23"/>
        <v>5635.3445589297535</v>
      </c>
      <c r="AD32" s="13">
        <f>$B$8*AC32</f>
        <v>1577.6209095292345</v>
      </c>
      <c r="AE32" s="13">
        <f t="shared" si="24"/>
        <v>30261.098649036936</v>
      </c>
      <c r="AF32" s="45">
        <f t="shared" si="42"/>
        <v>207.89281794113688</v>
      </c>
      <c r="AG32" s="44">
        <f t="shared" si="25"/>
        <v>218.28745883819374</v>
      </c>
      <c r="AH32" s="44">
        <f t="shared" si="26"/>
        <v>4.3657491767638748</v>
      </c>
      <c r="AI32" s="44">
        <f>$B$9*AH32</f>
        <v>0.81479752361770774</v>
      </c>
      <c r="AJ32" s="44">
        <f t="shared" si="27"/>
        <v>4.3657491767638748</v>
      </c>
      <c r="AK32" s="44">
        <f t="shared" si="28"/>
        <v>218.28745883819374</v>
      </c>
      <c r="AL32" s="16">
        <f>(1-$B$10)*B32</f>
        <v>1590.816375899122</v>
      </c>
      <c r="AM32" s="17">
        <f t="shared" si="8"/>
        <v>7.6520987673058931</v>
      </c>
      <c r="AN32" s="17">
        <f t="shared" si="43"/>
        <v>148.74737100491433</v>
      </c>
      <c r="AO32" s="16">
        <f t="shared" si="9"/>
        <v>649.39371251049533</v>
      </c>
      <c r="AP32" s="16">
        <f t="shared" si="10"/>
        <v>121.19898953944862</v>
      </c>
      <c r="AQ32" s="17">
        <f>IF($B$13="JA",AP32/(AX32/AN32),IF($B$13="NEIN",0,"FEHLER"))</f>
        <v>0.59126503555549592</v>
      </c>
      <c r="AR32" s="16">
        <f t="shared" si="11"/>
        <v>32469.685625524769</v>
      </c>
      <c r="AS32" s="16">
        <f>(1-$B$10)*AR32</f>
        <v>31982.640341141898</v>
      </c>
      <c r="AT32" s="15">
        <f t="shared" si="29"/>
        <v>22367.142305436737</v>
      </c>
      <c r="AU32" s="16">
        <f t="shared" si="44"/>
        <v>4718.8133314636098</v>
      </c>
      <c r="AV32" s="16">
        <f t="shared" si="30"/>
        <v>4896.6847042415511</v>
      </c>
      <c r="AW32" s="16">
        <f>$B$8*AV32</f>
        <v>1370.8322705028306</v>
      </c>
      <c r="AX32" s="16">
        <f t="shared" si="31"/>
        <v>30490.609081099621</v>
      </c>
      <c r="AY32" s="55">
        <f t="shared" si="45"/>
        <v>196.55212649035224</v>
      </c>
      <c r="AZ32" s="54">
        <f t="shared" si="32"/>
        <v>206.37973281486987</v>
      </c>
      <c r="BA32" s="54">
        <f t="shared" si="12"/>
        <v>4.1275946562973971</v>
      </c>
      <c r="BB32" s="54">
        <f>BA32*$B$9</f>
        <v>0.77034977692918016</v>
      </c>
      <c r="BC32" s="54">
        <f t="shared" si="33"/>
        <v>3.357244879368217</v>
      </c>
      <c r="BD32" s="54">
        <f t="shared" si="34"/>
        <v>205.60938303794069</v>
      </c>
      <c r="BE32" s="50">
        <f>(1-$B$10)*B32</f>
        <v>1590.816375899122</v>
      </c>
      <c r="BF32" s="51">
        <f t="shared" si="13"/>
        <v>8.0936106075515148</v>
      </c>
      <c r="BG32" s="51">
        <f t="shared" si="46"/>
        <v>157.55686385503498</v>
      </c>
      <c r="BH32" s="50">
        <f t="shared" si="14"/>
        <v>32395.16957062656</v>
      </c>
      <c r="BI32" s="50">
        <f>(1-$B$10)*BH32</f>
        <v>31909.242027067161</v>
      </c>
      <c r="BJ32" s="52">
        <f t="shared" si="35"/>
        <v>22367.142305436737</v>
      </c>
      <c r="BK32" s="50">
        <f t="shared" si="47"/>
        <v>3841.441678612126</v>
      </c>
      <c r="BL32" s="52">
        <f t="shared" si="36"/>
        <v>5700.6580430182985</v>
      </c>
      <c r="BM32" s="50">
        <f>$B$8*BL32</f>
        <v>1595.9054912606241</v>
      </c>
      <c r="BN32" s="50">
        <f t="shared" si="37"/>
        <v>30313.336535806538</v>
      </c>
    </row>
    <row r="33" spans="1:66" x14ac:dyDescent="0.25">
      <c r="A33" s="1">
        <v>17</v>
      </c>
      <c r="B33" s="3">
        <f t="shared" si="38"/>
        <v>1647.3428461087356</v>
      </c>
      <c r="C33" s="48">
        <f t="shared" si="15"/>
        <v>218.28745883819374</v>
      </c>
      <c r="D33" s="47">
        <f t="shared" si="0"/>
        <v>229.20183178010345</v>
      </c>
      <c r="E33" s="8">
        <f>(1-$B$10)*B33</f>
        <v>1622.6327034171045</v>
      </c>
      <c r="F33" s="19">
        <f t="shared" si="1"/>
        <v>7.4334673739542962</v>
      </c>
      <c r="G33" s="7">
        <f t="shared" si="39"/>
        <v>160.96210928555385</v>
      </c>
      <c r="H33" s="8">
        <f t="shared" si="2"/>
        <v>36892.810295438139</v>
      </c>
      <c r="I33" s="8">
        <f>(1-$B$10)*H33</f>
        <v>36339.418141006565</v>
      </c>
      <c r="J33" s="8">
        <f t="shared" si="40"/>
        <v>24014.485151545472</v>
      </c>
      <c r="K33" s="8">
        <f t="shared" si="16"/>
        <v>12324.932989461093</v>
      </c>
      <c r="L33" s="8">
        <f>$B$8*K33</f>
        <v>3450.378550839353</v>
      </c>
      <c r="M33" s="8">
        <f t="shared" si="17"/>
        <v>32889.039590167209</v>
      </c>
      <c r="N33" s="58">
        <f t="shared" si="18"/>
        <v>157.99596514101279</v>
      </c>
      <c r="O33" s="57">
        <f t="shared" si="19"/>
        <v>165.89576339806342</v>
      </c>
      <c r="P33" s="57">
        <f t="shared" si="3"/>
        <v>3.3179152679612685</v>
      </c>
      <c r="Q33" s="57">
        <f>P33*$B$9</f>
        <v>0.61923601985585219</v>
      </c>
      <c r="R33" s="57">
        <f t="shared" si="20"/>
        <v>2.6986792481054165</v>
      </c>
      <c r="S33" s="57">
        <f t="shared" si="4"/>
        <v>162.57784813010215</v>
      </c>
      <c r="T33" s="5">
        <f>(1-$B$10)*B33</f>
        <v>1622.6327034171045</v>
      </c>
      <c r="U33" s="6">
        <f t="shared" si="5"/>
        <v>10.270089504936982</v>
      </c>
      <c r="V33" s="6">
        <f t="shared" si="21"/>
        <v>214.85489093993357</v>
      </c>
      <c r="W33" s="6">
        <f>(1-$B$10)*(V33*R33)/S33</f>
        <v>3.5129451863793046</v>
      </c>
      <c r="X33" s="6">
        <f t="shared" si="6"/>
        <v>218.36783612631288</v>
      </c>
      <c r="Y33" s="13">
        <f t="shared" si="7"/>
        <v>35501.772898242729</v>
      </c>
      <c r="Z33" s="13">
        <f>(1-$B$10)*Y33</f>
        <v>34969.246304769091</v>
      </c>
      <c r="AA33" s="13">
        <f t="shared" si="22"/>
        <v>24014.485151545472</v>
      </c>
      <c r="AB33" s="13">
        <f t="shared" si="41"/>
        <v>4416.0571297332326</v>
      </c>
      <c r="AC33" s="13">
        <f t="shared" si="23"/>
        <v>6538.7040234903861</v>
      </c>
      <c r="AD33" s="13">
        <f>$B$8*AC33</f>
        <v>1830.5173855492649</v>
      </c>
      <c r="AE33" s="13">
        <f t="shared" si="24"/>
        <v>33138.728919219822</v>
      </c>
      <c r="AF33" s="45">
        <f t="shared" si="42"/>
        <v>218.28745883819374</v>
      </c>
      <c r="AG33" s="44">
        <f t="shared" si="25"/>
        <v>229.20183178010345</v>
      </c>
      <c r="AH33" s="44">
        <f t="shared" si="26"/>
        <v>4.584036635602069</v>
      </c>
      <c r="AI33" s="44">
        <f>$B$9*AH33</f>
        <v>0.85553739979859322</v>
      </c>
      <c r="AJ33" s="44">
        <f t="shared" si="27"/>
        <v>4.584036635602069</v>
      </c>
      <c r="AK33" s="44">
        <f t="shared" si="28"/>
        <v>229.20183178010345</v>
      </c>
      <c r="AL33" s="16">
        <f>(1-$B$10)*B33</f>
        <v>1622.6327034171045</v>
      </c>
      <c r="AM33" s="17">
        <f t="shared" si="8"/>
        <v>7.4334673739542962</v>
      </c>
      <c r="AN33" s="17">
        <f t="shared" si="43"/>
        <v>155.58957334331313</v>
      </c>
      <c r="AO33" s="16">
        <f t="shared" si="9"/>
        <v>713.22830432344244</v>
      </c>
      <c r="AP33" s="16">
        <f t="shared" si="10"/>
        <v>133.11269901391063</v>
      </c>
      <c r="AQ33" s="17">
        <f>IF($B$13="JA",AP33/(AX33/AN33),IF($B$13="NEIN",0,"FEHLER"))</f>
        <v>0.62002759456519274</v>
      </c>
      <c r="AR33" s="16">
        <f t="shared" si="11"/>
        <v>35661.415216172121</v>
      </c>
      <c r="AS33" s="16">
        <f>(1-$B$10)*AR33</f>
        <v>35126.493987929542</v>
      </c>
      <c r="AT33" s="15">
        <f t="shared" si="29"/>
        <v>24014.485151545472</v>
      </c>
      <c r="AU33" s="16">
        <f t="shared" si="44"/>
        <v>5432.0416357870527</v>
      </c>
      <c r="AV33" s="16">
        <f t="shared" si="30"/>
        <v>5679.9672005970169</v>
      </c>
      <c r="AW33" s="16">
        <f>$B$8*AV33</f>
        <v>1590.1130671598007</v>
      </c>
      <c r="AX33" s="16">
        <f t="shared" si="31"/>
        <v>33403.268221755832</v>
      </c>
      <c r="AY33" s="55">
        <f t="shared" si="45"/>
        <v>205.60938303794069</v>
      </c>
      <c r="AZ33" s="54">
        <f t="shared" si="32"/>
        <v>215.88985218983774</v>
      </c>
      <c r="BA33" s="54">
        <f t="shared" si="12"/>
        <v>4.3177970437967552</v>
      </c>
      <c r="BB33" s="54">
        <f>BA33*$B$9</f>
        <v>0.80584802202889738</v>
      </c>
      <c r="BC33" s="54">
        <f t="shared" si="33"/>
        <v>3.5119490217678577</v>
      </c>
      <c r="BD33" s="54">
        <f t="shared" si="34"/>
        <v>215.08400416780884</v>
      </c>
      <c r="BE33" s="50">
        <f>(1-$B$10)*B33</f>
        <v>1622.6327034171045</v>
      </c>
      <c r="BF33" s="51">
        <f t="shared" si="13"/>
        <v>7.8918222478090083</v>
      </c>
      <c r="BG33" s="51">
        <f t="shared" si="46"/>
        <v>165.44868610284399</v>
      </c>
      <c r="BH33" s="50">
        <f t="shared" si="14"/>
        <v>35585.365891302594</v>
      </c>
      <c r="BI33" s="50">
        <f>(1-$B$10)*BH33</f>
        <v>35051.585402933051</v>
      </c>
      <c r="BJ33" s="52">
        <f t="shared" si="35"/>
        <v>24014.485151545472</v>
      </c>
      <c r="BK33" s="50">
        <f t="shared" si="47"/>
        <v>4422.4890299237868</v>
      </c>
      <c r="BL33" s="52">
        <f t="shared" si="36"/>
        <v>6614.6112214637924</v>
      </c>
      <c r="BM33" s="50">
        <f>$B$8*BL33</f>
        <v>1851.7676891383969</v>
      </c>
      <c r="BN33" s="50">
        <f t="shared" si="37"/>
        <v>33199.817713794655</v>
      </c>
    </row>
    <row r="34" spans="1:66" x14ac:dyDescent="0.25">
      <c r="A34" s="1">
        <v>18</v>
      </c>
      <c r="B34" s="3">
        <f t="shared" si="38"/>
        <v>1680.2897030309102</v>
      </c>
      <c r="C34" s="48">
        <f t="shared" si="15"/>
        <v>229.20183178010345</v>
      </c>
      <c r="D34" s="47">
        <f t="shared" si="0"/>
        <v>240.66192336910862</v>
      </c>
      <c r="E34" s="8">
        <f>(1-$B$10)*B34</f>
        <v>1655.0853574854466</v>
      </c>
      <c r="F34" s="19">
        <f t="shared" si="1"/>
        <v>7.2210825918413155</v>
      </c>
      <c r="G34" s="7">
        <f t="shared" si="39"/>
        <v>168.18319187739516</v>
      </c>
      <c r="H34" s="8">
        <f t="shared" si="2"/>
        <v>40475.290435569768</v>
      </c>
      <c r="I34" s="8">
        <f>(1-$B$10)*H34</f>
        <v>39868.161079036225</v>
      </c>
      <c r="J34" s="8">
        <f t="shared" si="40"/>
        <v>25694.774854576382</v>
      </c>
      <c r="K34" s="8">
        <f t="shared" si="16"/>
        <v>14173.386224459842</v>
      </c>
      <c r="L34" s="8">
        <f>$B$8*K34</f>
        <v>3967.8550677277558</v>
      </c>
      <c r="M34" s="8">
        <f t="shared" si="17"/>
        <v>35900.306011308472</v>
      </c>
      <c r="N34" s="58">
        <f t="shared" si="18"/>
        <v>162.57784813010215</v>
      </c>
      <c r="O34" s="57">
        <f t="shared" si="19"/>
        <v>170.70674053660727</v>
      </c>
      <c r="P34" s="57">
        <f t="shared" si="3"/>
        <v>3.4141348107321456</v>
      </c>
      <c r="Q34" s="57">
        <f>P34*$B$9</f>
        <v>0.63719386443167192</v>
      </c>
      <c r="R34" s="57">
        <f t="shared" si="20"/>
        <v>2.7769409463004737</v>
      </c>
      <c r="S34" s="57">
        <f t="shared" si="4"/>
        <v>167.29260572587512</v>
      </c>
      <c r="T34" s="5">
        <f>(1-$B$10)*B34</f>
        <v>1655.0853574854466</v>
      </c>
      <c r="U34" s="6">
        <f t="shared" si="5"/>
        <v>10.180263649208669</v>
      </c>
      <c r="V34" s="6">
        <f t="shared" si="21"/>
        <v>228.54809977552156</v>
      </c>
      <c r="W34" s="6">
        <f>(1-$B$10)*(V34*R34)/S34</f>
        <v>3.7368334667653138</v>
      </c>
      <c r="X34" s="6">
        <f t="shared" si="6"/>
        <v>232.28493324228688</v>
      </c>
      <c r="Y34" s="13">
        <f t="shared" si="7"/>
        <v>38859.551752963125</v>
      </c>
      <c r="Z34" s="13">
        <f>(1-$B$10)*Y34</f>
        <v>38276.658476668679</v>
      </c>
      <c r="AA34" s="13">
        <f t="shared" si="22"/>
        <v>25694.774854576382</v>
      </c>
      <c r="AB34" s="13">
        <f t="shared" si="41"/>
        <v>5050.721706199045</v>
      </c>
      <c r="AC34" s="13">
        <f t="shared" si="23"/>
        <v>7531.1619158932517</v>
      </c>
      <c r="AD34" s="13">
        <f>$B$8*AC34</f>
        <v>2108.3570644737833</v>
      </c>
      <c r="AE34" s="13">
        <f t="shared" si="24"/>
        <v>36168.301412194895</v>
      </c>
      <c r="AF34" s="45">
        <f t="shared" si="42"/>
        <v>229.20183178010345</v>
      </c>
      <c r="AG34" s="44">
        <f t="shared" si="25"/>
        <v>240.66192336910862</v>
      </c>
      <c r="AH34" s="44">
        <f t="shared" si="26"/>
        <v>4.8132384673821722</v>
      </c>
      <c r="AI34" s="44">
        <f>$B$9*AH34</f>
        <v>0.89831426978852291</v>
      </c>
      <c r="AJ34" s="44">
        <f t="shared" si="27"/>
        <v>4.8132384673821722</v>
      </c>
      <c r="AK34" s="44">
        <f t="shared" si="28"/>
        <v>240.66192336910862</v>
      </c>
      <c r="AL34" s="16">
        <f>(1-$B$10)*B34</f>
        <v>1655.0853574854466</v>
      </c>
      <c r="AM34" s="17">
        <f t="shared" si="8"/>
        <v>7.2210825918413155</v>
      </c>
      <c r="AN34" s="17">
        <f t="shared" si="43"/>
        <v>162.19062834058926</v>
      </c>
      <c r="AO34" s="16">
        <f t="shared" si="9"/>
        <v>780.66217137780939</v>
      </c>
      <c r="AP34" s="16">
        <f t="shared" si="10"/>
        <v>145.69815586431815</v>
      </c>
      <c r="AQ34" s="17">
        <f>IF($B$13="JA",AP34/(AX34/AN34),IF($B$13="NEIN",0,"FEHLER"))</f>
        <v>0.64793610977781591</v>
      </c>
      <c r="AR34" s="16">
        <f t="shared" si="11"/>
        <v>39033.108568890471</v>
      </c>
      <c r="AS34" s="16">
        <f>(1-$B$10)*AR34</f>
        <v>38447.611940357114</v>
      </c>
      <c r="AT34" s="15">
        <f t="shared" si="29"/>
        <v>25694.774854576382</v>
      </c>
      <c r="AU34" s="16">
        <f t="shared" si="44"/>
        <v>6212.7038071648622</v>
      </c>
      <c r="AV34" s="16">
        <f t="shared" si="30"/>
        <v>6540.1332786158691</v>
      </c>
      <c r="AW34" s="16">
        <f>$B$8*AV34</f>
        <v>1830.917507094174</v>
      </c>
      <c r="AX34" s="16">
        <f t="shared" si="31"/>
        <v>36470.996277398626</v>
      </c>
      <c r="AY34" s="55">
        <f t="shared" si="45"/>
        <v>215.08400416780884</v>
      </c>
      <c r="AZ34" s="54">
        <f t="shared" si="32"/>
        <v>225.83820437619929</v>
      </c>
      <c r="BA34" s="54">
        <f t="shared" si="12"/>
        <v>4.5167640875239856</v>
      </c>
      <c r="BB34" s="54">
        <f>BA34*$B$9</f>
        <v>0.84298205056478637</v>
      </c>
      <c r="BC34" s="54">
        <f t="shared" si="33"/>
        <v>3.6737820369591994</v>
      </c>
      <c r="BD34" s="54">
        <f t="shared" si="34"/>
        <v>224.9952223256345</v>
      </c>
      <c r="BE34" s="50">
        <f>(1-$B$10)*B34</f>
        <v>1655.0853574854466</v>
      </c>
      <c r="BF34" s="51">
        <f t="shared" si="13"/>
        <v>7.695064837058486</v>
      </c>
      <c r="BG34" s="51">
        <f t="shared" si="46"/>
        <v>173.14375093990247</v>
      </c>
      <c r="BH34" s="50">
        <f t="shared" si="14"/>
        <v>38956.516737017642</v>
      </c>
      <c r="BI34" s="50">
        <f>(1-$B$10)*BH34</f>
        <v>38372.16898596238</v>
      </c>
      <c r="BJ34" s="52">
        <f t="shared" si="35"/>
        <v>25694.774854576382</v>
      </c>
      <c r="BK34" s="50">
        <f t="shared" si="47"/>
        <v>5058.5814319385381</v>
      </c>
      <c r="BL34" s="52">
        <f t="shared" si="36"/>
        <v>7618.8126994474596</v>
      </c>
      <c r="BM34" s="50">
        <f>$B$8*BL34</f>
        <v>2132.8949977670763</v>
      </c>
      <c r="BN34" s="50">
        <f t="shared" si="37"/>
        <v>36239.273988195302</v>
      </c>
    </row>
    <row r="35" spans="1:66" x14ac:dyDescent="0.25">
      <c r="A35" s="1">
        <v>19</v>
      </c>
      <c r="B35" s="3">
        <f t="shared" si="38"/>
        <v>1713.8954970915286</v>
      </c>
      <c r="C35" s="48">
        <f t="shared" si="15"/>
        <v>240.66192336910862</v>
      </c>
      <c r="D35" s="47">
        <f t="shared" si="0"/>
        <v>252.69501953756406</v>
      </c>
      <c r="E35" s="8">
        <f>(1-$B$10)*B35</f>
        <v>1688.1870646351556</v>
      </c>
      <c r="F35" s="19">
        <f t="shared" si="1"/>
        <v>7.0147659463601357</v>
      </c>
      <c r="G35" s="7">
        <f t="shared" si="39"/>
        <v>175.1979578237553</v>
      </c>
      <c r="H35" s="8">
        <f t="shared" si="2"/>
        <v>44271.651375215173</v>
      </c>
      <c r="I35" s="8">
        <f>(1-$B$10)*H35</f>
        <v>43607.576604586946</v>
      </c>
      <c r="J35" s="8">
        <f t="shared" si="40"/>
        <v>27408.670351667912</v>
      </c>
      <c r="K35" s="8">
        <f t="shared" si="16"/>
        <v>16198.906252919034</v>
      </c>
      <c r="L35" s="8">
        <f>$B$8*K35</f>
        <v>4534.9016282621751</v>
      </c>
      <c r="M35" s="8">
        <f t="shared" si="17"/>
        <v>39072.674976324772</v>
      </c>
      <c r="N35" s="58">
        <f t="shared" si="18"/>
        <v>167.29260572587512</v>
      </c>
      <c r="O35" s="57">
        <f t="shared" si="19"/>
        <v>175.65723601216888</v>
      </c>
      <c r="P35" s="57">
        <f t="shared" si="3"/>
        <v>3.5131447202433779</v>
      </c>
      <c r="Q35" s="57">
        <f>P35*$B$9</f>
        <v>0.65567248650019039</v>
      </c>
      <c r="R35" s="57">
        <f t="shared" si="20"/>
        <v>2.8574722337431875</v>
      </c>
      <c r="S35" s="57">
        <f t="shared" si="4"/>
        <v>172.14409129192549</v>
      </c>
      <c r="T35" s="5">
        <f>(1-$B$10)*B35</f>
        <v>1688.1870646351556</v>
      </c>
      <c r="U35" s="6">
        <f t="shared" si="5"/>
        <v>10.09122344236428</v>
      </c>
      <c r="V35" s="6">
        <f t="shared" si="21"/>
        <v>242.37615668465116</v>
      </c>
      <c r="W35" s="6">
        <f>(1-$B$10)*(V35*R35)/S35</f>
        <v>3.9629265556561157</v>
      </c>
      <c r="X35" s="6">
        <f t="shared" si="6"/>
        <v>246.33908324030727</v>
      </c>
      <c r="Y35" s="13">
        <f t="shared" si="7"/>
        <v>42405.817634088686</v>
      </c>
      <c r="Z35" s="13">
        <f>(1-$B$10)*Y35</f>
        <v>41769.730369577352</v>
      </c>
      <c r="AA35" s="13">
        <f t="shared" si="22"/>
        <v>27408.670351667912</v>
      </c>
      <c r="AB35" s="13">
        <f t="shared" si="41"/>
        <v>5743.3048440468237</v>
      </c>
      <c r="AC35" s="13">
        <f t="shared" si="23"/>
        <v>8617.7551738626171</v>
      </c>
      <c r="AD35" s="13">
        <f>$B$8*AC35</f>
        <v>2412.5500425605619</v>
      </c>
      <c r="AE35" s="13">
        <f t="shared" si="24"/>
        <v>39357.180327016787</v>
      </c>
      <c r="AF35" s="45">
        <f t="shared" si="42"/>
        <v>240.66192336910862</v>
      </c>
      <c r="AG35" s="44">
        <f t="shared" si="25"/>
        <v>252.69501953756406</v>
      </c>
      <c r="AH35" s="44">
        <f t="shared" si="26"/>
        <v>5.0539003907512816</v>
      </c>
      <c r="AI35" s="44">
        <f>$B$9*AH35</f>
        <v>0.94322998327794916</v>
      </c>
      <c r="AJ35" s="44">
        <f t="shared" si="27"/>
        <v>5.0539003907512816</v>
      </c>
      <c r="AK35" s="44">
        <f t="shared" si="28"/>
        <v>252.69501953756406</v>
      </c>
      <c r="AL35" s="16">
        <f>(1-$B$10)*B35</f>
        <v>1688.1870646351556</v>
      </c>
      <c r="AM35" s="17">
        <f t="shared" si="8"/>
        <v>7.0147659463601357</v>
      </c>
      <c r="AN35" s="17">
        <f t="shared" si="43"/>
        <v>168.55745817717158</v>
      </c>
      <c r="AO35" s="16">
        <f t="shared" si="9"/>
        <v>851.87260374565028</v>
      </c>
      <c r="AP35" s="16">
        <f t="shared" si="10"/>
        <v>158.98844845782716</v>
      </c>
      <c r="AQ35" s="17">
        <f>IF($B$13="JA",AP35/(AX35/AN35),IF($B$13="NEIN",0,"FEHLER"))</f>
        <v>0.67500802657890346</v>
      </c>
      <c r="AR35" s="16">
        <f t="shared" si="11"/>
        <v>42593.630187282513</v>
      </c>
      <c r="AS35" s="16">
        <f>(1-$B$10)*AR35</f>
        <v>41954.725734473272</v>
      </c>
      <c r="AT35" s="15">
        <f t="shared" si="29"/>
        <v>27408.670351667912</v>
      </c>
      <c r="AU35" s="16">
        <f t="shared" si="44"/>
        <v>7064.5764109105121</v>
      </c>
      <c r="AV35" s="16">
        <f t="shared" si="30"/>
        <v>7481.4789718948477</v>
      </c>
      <c r="AW35" s="16">
        <f>$B$8*AV35</f>
        <v>2094.4482696380446</v>
      </c>
      <c r="AX35" s="16">
        <f t="shared" si="31"/>
        <v>39701.289016377399</v>
      </c>
      <c r="AY35" s="55">
        <f t="shared" si="45"/>
        <v>224.9952223256345</v>
      </c>
      <c r="AZ35" s="54">
        <f t="shared" si="32"/>
        <v>236.24498344191625</v>
      </c>
      <c r="BA35" s="54">
        <f t="shared" si="12"/>
        <v>4.7248996688383249</v>
      </c>
      <c r="BB35" s="54">
        <f>BA35*$B$9</f>
        <v>0.88182724055743811</v>
      </c>
      <c r="BC35" s="54">
        <f t="shared" si="33"/>
        <v>3.8430724282808866</v>
      </c>
      <c r="BD35" s="54">
        <f t="shared" si="34"/>
        <v>235.36315620135881</v>
      </c>
      <c r="BE35" s="50">
        <f>(1-$B$10)*B35</f>
        <v>1688.1870646351556</v>
      </c>
      <c r="BF35" s="51">
        <f t="shared" si="13"/>
        <v>7.5032129446368891</v>
      </c>
      <c r="BG35" s="51">
        <f t="shared" si="46"/>
        <v>180.64696388453936</v>
      </c>
      <c r="BH35" s="50">
        <f t="shared" si="14"/>
        <v>42517.639578058057</v>
      </c>
      <c r="BI35" s="50">
        <f>(1-$B$10)*BH35</f>
        <v>41879.874984387185</v>
      </c>
      <c r="BJ35" s="52">
        <f t="shared" si="35"/>
        <v>27408.670351667912</v>
      </c>
      <c r="BK35" s="50">
        <f t="shared" si="47"/>
        <v>5752.8207980958641</v>
      </c>
      <c r="BL35" s="52">
        <f t="shared" si="36"/>
        <v>8718.3838346234079</v>
      </c>
      <c r="BM35" s="50">
        <f>$B$8*BL35</f>
        <v>2440.7211468566757</v>
      </c>
      <c r="BN35" s="50">
        <f t="shared" si="37"/>
        <v>39439.15383753051</v>
      </c>
    </row>
    <row r="36" spans="1:66" x14ac:dyDescent="0.25">
      <c r="A36" s="1">
        <v>20</v>
      </c>
      <c r="B36" s="3">
        <f t="shared" si="38"/>
        <v>1748.1734070333591</v>
      </c>
      <c r="C36" s="48">
        <f t="shared" si="15"/>
        <v>252.69501953756406</v>
      </c>
      <c r="D36" s="47">
        <f t="shared" si="0"/>
        <v>265.32977051444226</v>
      </c>
      <c r="E36" s="8">
        <f>(1-$B$10)*B36</f>
        <v>1721.9508059278587</v>
      </c>
      <c r="F36" s="19">
        <f t="shared" si="1"/>
        <v>6.8143440621784164</v>
      </c>
      <c r="G36" s="7">
        <f t="shared" si="39"/>
        <v>182.01230188593371</v>
      </c>
      <c r="H36" s="8">
        <f t="shared" si="2"/>
        <v>48293.282290200179</v>
      </c>
      <c r="I36" s="8">
        <f>(1-$B$10)*H36</f>
        <v>47568.883055847175</v>
      </c>
      <c r="J36" s="8">
        <f t="shared" si="40"/>
        <v>29156.84375870127</v>
      </c>
      <c r="K36" s="8">
        <f t="shared" si="16"/>
        <v>18412.039297145904</v>
      </c>
      <c r="L36" s="8">
        <f>$B$8*K36</f>
        <v>5154.4706589809448</v>
      </c>
      <c r="M36" s="8">
        <f t="shared" si="17"/>
        <v>42414.412396866232</v>
      </c>
      <c r="N36" s="58">
        <f t="shared" si="18"/>
        <v>172.14409129192549</v>
      </c>
      <c r="O36" s="57">
        <f t="shared" si="19"/>
        <v>180.75129585652178</v>
      </c>
      <c r="P36" s="57">
        <f t="shared" si="3"/>
        <v>3.6150259171304358</v>
      </c>
      <c r="Q36" s="57">
        <f>P36*$B$9</f>
        <v>0.67468698860869591</v>
      </c>
      <c r="R36" s="57">
        <f t="shared" si="20"/>
        <v>2.9403389285217401</v>
      </c>
      <c r="S36" s="57">
        <f t="shared" si="4"/>
        <v>177.13626993939135</v>
      </c>
      <c r="T36" s="5">
        <f>(1-$B$10)*B36</f>
        <v>1721.9508059278587</v>
      </c>
      <c r="U36" s="6">
        <f t="shared" si="5"/>
        <v>10.002962012839227</v>
      </c>
      <c r="V36" s="6">
        <f t="shared" si="21"/>
        <v>256.34204525314652</v>
      </c>
      <c r="W36" s="6">
        <f>(1-$B$10)*(V36*R36)/S36</f>
        <v>4.1912732356203222</v>
      </c>
      <c r="X36" s="6">
        <f t="shared" si="6"/>
        <v>260.53331848876684</v>
      </c>
      <c r="Y36" s="13">
        <f t="shared" si="7"/>
        <v>46149.900232031621</v>
      </c>
      <c r="Z36" s="13">
        <f>(1-$B$10)*Y36</f>
        <v>45457.651728551144</v>
      </c>
      <c r="AA36" s="13">
        <f t="shared" si="22"/>
        <v>29156.84375870127</v>
      </c>
      <c r="AB36" s="13">
        <f t="shared" si="41"/>
        <v>6497.0373387215323</v>
      </c>
      <c r="AC36" s="13">
        <f t="shared" si="23"/>
        <v>9803.77063112834</v>
      </c>
      <c r="AD36" s="13">
        <f>$B$8*AC36</f>
        <v>2744.5763747290835</v>
      </c>
      <c r="AE36" s="13">
        <f t="shared" si="24"/>
        <v>42713.07535382206</v>
      </c>
      <c r="AF36" s="45">
        <f t="shared" si="42"/>
        <v>252.69501953756406</v>
      </c>
      <c r="AG36" s="44">
        <f t="shared" si="25"/>
        <v>265.32977051444226</v>
      </c>
      <c r="AH36" s="44">
        <f t="shared" si="26"/>
        <v>5.3065954102888453</v>
      </c>
      <c r="AI36" s="44">
        <f>$B$9*AH36</f>
        <v>0.9903914824418466</v>
      </c>
      <c r="AJ36" s="44">
        <f t="shared" si="27"/>
        <v>5.3065954102888453</v>
      </c>
      <c r="AK36" s="44">
        <f t="shared" si="28"/>
        <v>265.32977051444226</v>
      </c>
      <c r="AL36" s="16">
        <f>(1-$B$10)*B36</f>
        <v>1721.9508059278587</v>
      </c>
      <c r="AM36" s="17">
        <f t="shared" si="8"/>
        <v>6.8143440621784164</v>
      </c>
      <c r="AN36" s="17">
        <f t="shared" si="43"/>
        <v>174.6967942127711</v>
      </c>
      <c r="AO36" s="16">
        <f t="shared" si="9"/>
        <v>927.04520636166603</v>
      </c>
      <c r="AP36" s="16">
        <f t="shared" si="10"/>
        <v>173.01821699822457</v>
      </c>
      <c r="AQ36" s="17">
        <f>IF($B$13="JA",AP36/(AX36/AN36),IF($B$13="NEIN",0,"FEHLER"))</f>
        <v>0.70126059213383551</v>
      </c>
      <c r="AR36" s="16">
        <f t="shared" si="11"/>
        <v>46352.260318083303</v>
      </c>
      <c r="AS36" s="16">
        <f>(1-$B$10)*AR36</f>
        <v>45656.976413312055</v>
      </c>
      <c r="AT36" s="15">
        <f t="shared" si="29"/>
        <v>29156.84375870127</v>
      </c>
      <c r="AU36" s="16">
        <f t="shared" si="44"/>
        <v>7991.6216172721779</v>
      </c>
      <c r="AV36" s="16">
        <f t="shared" si="30"/>
        <v>8508.5110373386069</v>
      </c>
      <c r="AW36" s="16">
        <f>$B$8*AV36</f>
        <v>2381.967026345405</v>
      </c>
      <c r="AX36" s="16">
        <f t="shared" si="31"/>
        <v>43101.991169968431</v>
      </c>
      <c r="AY36" s="55">
        <f t="shared" si="45"/>
        <v>235.36315620135881</v>
      </c>
      <c r="AZ36" s="54">
        <f t="shared" si="32"/>
        <v>247.13131401142675</v>
      </c>
      <c r="BA36" s="54">
        <f t="shared" si="12"/>
        <v>4.9426262802285352</v>
      </c>
      <c r="BB36" s="54">
        <f>BA36*$B$9</f>
        <v>0.92246244349823536</v>
      </c>
      <c r="BC36" s="54">
        <f t="shared" si="33"/>
        <v>4.0201638367302994</v>
      </c>
      <c r="BD36" s="54">
        <f t="shared" si="34"/>
        <v>246.20885156792852</v>
      </c>
      <c r="BE36" s="50">
        <f>(1-$B$10)*B36</f>
        <v>1721.9508059278587</v>
      </c>
      <c r="BF36" s="51">
        <f t="shared" si="13"/>
        <v>7.316144267094586</v>
      </c>
      <c r="BG36" s="51">
        <f t="shared" si="46"/>
        <v>187.96310815163395</v>
      </c>
      <c r="BH36" s="50">
        <f t="shared" si="14"/>
        <v>46278.180995152135</v>
      </c>
      <c r="BI36" s="50">
        <f>(1-$B$10)*BH36</f>
        <v>45584.008280224851</v>
      </c>
      <c r="BJ36" s="52">
        <f t="shared" si="35"/>
        <v>29156.84375870127</v>
      </c>
      <c r="BK36" s="50">
        <f t="shared" si="47"/>
        <v>6508.4632881264888</v>
      </c>
      <c r="BL36" s="52">
        <f t="shared" si="36"/>
        <v>9918.7012333970924</v>
      </c>
      <c r="BM36" s="50">
        <f>$B$8*BL36</f>
        <v>2776.7513232859833</v>
      </c>
      <c r="BN36" s="50">
        <f t="shared" si="37"/>
        <v>42807.256956938865</v>
      </c>
    </row>
    <row r="37" spans="1:66" x14ac:dyDescent="0.25">
      <c r="A37" s="1">
        <v>21</v>
      </c>
      <c r="B37" s="3">
        <f t="shared" si="38"/>
        <v>1783.1368751740263</v>
      </c>
      <c r="C37" s="48">
        <f t="shared" si="15"/>
        <v>265.32977051444226</v>
      </c>
      <c r="D37" s="47">
        <f t="shared" si="0"/>
        <v>278.5962590401644</v>
      </c>
      <c r="E37" s="8">
        <f>(1-$B$10)*B37</f>
        <v>1756.3898220464159</v>
      </c>
      <c r="F37" s="19">
        <f t="shared" si="1"/>
        <v>6.6196485175447481</v>
      </c>
      <c r="G37" s="7">
        <f t="shared" si="39"/>
        <v>188.63195040347847</v>
      </c>
      <c r="H37" s="8">
        <f t="shared" si="2"/>
        <v>52552.155717858928</v>
      </c>
      <c r="I37" s="8">
        <f>(1-$B$10)*H37</f>
        <v>51763.873382091042</v>
      </c>
      <c r="J37" s="8">
        <f t="shared" si="40"/>
        <v>30939.980633875297</v>
      </c>
      <c r="K37" s="8">
        <f t="shared" si="16"/>
        <v>20823.892748215745</v>
      </c>
      <c r="L37" s="8">
        <f>$B$8*K37</f>
        <v>5829.6716862364383</v>
      </c>
      <c r="M37" s="8">
        <f t="shared" si="17"/>
        <v>45934.201695854601</v>
      </c>
      <c r="N37" s="58">
        <f t="shared" si="18"/>
        <v>177.13626993939135</v>
      </c>
      <c r="O37" s="57">
        <f t="shared" si="19"/>
        <v>185.99308343636093</v>
      </c>
      <c r="P37" s="57">
        <f t="shared" si="3"/>
        <v>3.7198616687272188</v>
      </c>
      <c r="Q37" s="57">
        <f>P37*$B$9</f>
        <v>0.69425291127834821</v>
      </c>
      <c r="R37" s="57">
        <f t="shared" si="20"/>
        <v>3.0256087574488708</v>
      </c>
      <c r="S37" s="57">
        <f t="shared" si="4"/>
        <v>182.27322176763371</v>
      </c>
      <c r="T37" s="5">
        <f>(1-$B$10)*B37</f>
        <v>1756.3898220464159</v>
      </c>
      <c r="U37" s="6">
        <f t="shared" si="5"/>
        <v>9.9154725491700777</v>
      </c>
      <c r="V37" s="6">
        <f t="shared" si="21"/>
        <v>270.44879103793693</v>
      </c>
      <c r="W37" s="6">
        <f>(1-$B$10)*(V37*R37)/S37</f>
        <v>4.4219229754673446</v>
      </c>
      <c r="X37" s="6">
        <f t="shared" si="6"/>
        <v>274.87071401340427</v>
      </c>
      <c r="Y37" s="13">
        <f t="shared" si="7"/>
        <v>50101.570612793061</v>
      </c>
      <c r="Z37" s="13">
        <f>(1-$B$10)*Y37</f>
        <v>49350.047053601163</v>
      </c>
      <c r="AA37" s="13">
        <f t="shared" si="22"/>
        <v>30939.980633875297</v>
      </c>
      <c r="AB37" s="13">
        <f t="shared" si="41"/>
        <v>7315.3095693273735</v>
      </c>
      <c r="AC37" s="13">
        <f t="shared" si="23"/>
        <v>11094.756850398493</v>
      </c>
      <c r="AD37" s="13">
        <f>$B$8*AC37</f>
        <v>3105.9893872142484</v>
      </c>
      <c r="AE37" s="13">
        <f t="shared" si="24"/>
        <v>46244.057666386914</v>
      </c>
      <c r="AF37" s="45">
        <f t="shared" si="42"/>
        <v>265.32977051444226</v>
      </c>
      <c r="AG37" s="44">
        <f t="shared" si="25"/>
        <v>278.5962590401644</v>
      </c>
      <c r="AH37" s="44">
        <f t="shared" si="26"/>
        <v>5.5719251808032881</v>
      </c>
      <c r="AI37" s="44">
        <f>$B$9*AH37</f>
        <v>1.0399110565639391</v>
      </c>
      <c r="AJ37" s="44">
        <f t="shared" si="27"/>
        <v>5.5719251808032881</v>
      </c>
      <c r="AK37" s="44">
        <f t="shared" si="28"/>
        <v>278.5962590401644</v>
      </c>
      <c r="AL37" s="16">
        <f>(1-$B$10)*B37</f>
        <v>1756.3898220464159</v>
      </c>
      <c r="AM37" s="17">
        <f t="shared" si="8"/>
        <v>6.6196485175447481</v>
      </c>
      <c r="AN37" s="17">
        <f t="shared" si="43"/>
        <v>180.61518213818201</v>
      </c>
      <c r="AO37" s="16">
        <f t="shared" si="9"/>
        <v>1006.3742813911086</v>
      </c>
      <c r="AP37" s="16">
        <f t="shared" si="10"/>
        <v>187.82372488880515</v>
      </c>
      <c r="AQ37" s="17">
        <f>IF($B$13="JA",AP37/(AX37/AN37),IF($B$13="NEIN",0,"FEHLER"))</f>
        <v>0.72671085098671961</v>
      </c>
      <c r="AR37" s="16">
        <f t="shared" si="11"/>
        <v>50318.714069555426</v>
      </c>
      <c r="AS37" s="16">
        <f>(1-$B$10)*AR37</f>
        <v>49563.933358512091</v>
      </c>
      <c r="AT37" s="15">
        <f t="shared" si="29"/>
        <v>30939.980633875297</v>
      </c>
      <c r="AU37" s="16">
        <f t="shared" si="44"/>
        <v>8997.9958986632864</v>
      </c>
      <c r="AV37" s="16">
        <f t="shared" si="30"/>
        <v>9625.9568259735079</v>
      </c>
      <c r="AW37" s="16">
        <f>$B$8*AV37</f>
        <v>2694.797204337327</v>
      </c>
      <c r="AX37" s="16">
        <f t="shared" si="31"/>
        <v>46681.312429285957</v>
      </c>
      <c r="AY37" s="55">
        <f t="shared" si="45"/>
        <v>246.20885156792852</v>
      </c>
      <c r="AZ37" s="54">
        <f t="shared" si="32"/>
        <v>258.51929414632497</v>
      </c>
      <c r="BA37" s="54">
        <f t="shared" si="12"/>
        <v>5.1703858829264995</v>
      </c>
      <c r="BB37" s="54">
        <f>BA37*$B$9</f>
        <v>0.96497014440926532</v>
      </c>
      <c r="BC37" s="54">
        <f t="shared" si="33"/>
        <v>4.2054157385172344</v>
      </c>
      <c r="BD37" s="54">
        <f t="shared" si="34"/>
        <v>257.55432400191569</v>
      </c>
      <c r="BE37" s="50">
        <f>(1-$B$10)*B37</f>
        <v>1756.3898220464159</v>
      </c>
      <c r="BF37" s="51">
        <f t="shared" si="13"/>
        <v>7.133739550228281</v>
      </c>
      <c r="BG37" s="51">
        <f t="shared" si="46"/>
        <v>195.09684770186223</v>
      </c>
      <c r="BH37" s="50">
        <f t="shared" si="14"/>
        <v>50248.036724757825</v>
      </c>
      <c r="BI37" s="50">
        <f>(1-$B$10)*BH37</f>
        <v>49494.316173886458</v>
      </c>
      <c r="BJ37" s="52">
        <f t="shared" si="35"/>
        <v>30939.980633875297</v>
      </c>
      <c r="BK37" s="50">
        <f t="shared" si="47"/>
        <v>7328.926641987</v>
      </c>
      <c r="BL37" s="52">
        <f t="shared" si="36"/>
        <v>11225.408898024161</v>
      </c>
      <c r="BM37" s="50">
        <f>$B$8*BL37</f>
        <v>3142.565571696251</v>
      </c>
      <c r="BN37" s="50">
        <f t="shared" si="37"/>
        <v>46351.750602190208</v>
      </c>
    </row>
    <row r="38" spans="1:66" x14ac:dyDescent="0.25">
      <c r="A38" s="1">
        <v>22</v>
      </c>
      <c r="B38" s="3">
        <f t="shared" si="38"/>
        <v>1818.7996126775067</v>
      </c>
      <c r="C38" s="48">
        <f t="shared" si="15"/>
        <v>278.5962590401644</v>
      </c>
      <c r="D38" s="47">
        <f t="shared" si="0"/>
        <v>292.5260719921726</v>
      </c>
      <c r="E38" s="8">
        <f>(1-$B$10)*B38</f>
        <v>1791.5176184873442</v>
      </c>
      <c r="F38" s="19">
        <f t="shared" si="1"/>
        <v>6.4305157027577549</v>
      </c>
      <c r="G38" s="7">
        <f t="shared" si="39"/>
        <v>195.06246610623623</v>
      </c>
      <c r="H38" s="8">
        <f t="shared" si="2"/>
        <v>57060.85700316359</v>
      </c>
      <c r="I38" s="8">
        <f>(1-$B$10)*H38</f>
        <v>56204.944148116134</v>
      </c>
      <c r="J38" s="8">
        <f t="shared" si="40"/>
        <v>32758.780246552804</v>
      </c>
      <c r="K38" s="8">
        <f t="shared" si="16"/>
        <v>23446.16390156333</v>
      </c>
      <c r="L38" s="8">
        <f>$B$8*K38</f>
        <v>6563.7793807555054</v>
      </c>
      <c r="M38" s="8">
        <f t="shared" si="17"/>
        <v>49641.164767360628</v>
      </c>
      <c r="N38" s="58">
        <f t="shared" si="18"/>
        <v>182.27322176763371</v>
      </c>
      <c r="O38" s="57">
        <f t="shared" si="19"/>
        <v>191.3868828560154</v>
      </c>
      <c r="P38" s="57">
        <f t="shared" si="3"/>
        <v>3.8277376571203083</v>
      </c>
      <c r="Q38" s="57">
        <f>P38*$B$9</f>
        <v>0.71438624570542031</v>
      </c>
      <c r="R38" s="57">
        <f t="shared" si="20"/>
        <v>3.1133514114148881</v>
      </c>
      <c r="S38" s="57">
        <f t="shared" si="4"/>
        <v>187.5591451988951</v>
      </c>
      <c r="T38" s="5">
        <f>(1-$B$10)*B38</f>
        <v>1791.5176184873442</v>
      </c>
      <c r="U38" s="6">
        <f t="shared" si="5"/>
        <v>9.8287482994688808</v>
      </c>
      <c r="V38" s="6">
        <f t="shared" si="21"/>
        <v>284.69946231287315</v>
      </c>
      <c r="W38" s="6">
        <f>(1-$B$10)*(V38*R38)/S38</f>
        <v>4.6549259424417233</v>
      </c>
      <c r="X38" s="6">
        <f t="shared" si="6"/>
        <v>289.35438825531486</v>
      </c>
      <c r="Y38" s="13">
        <f t="shared" si="7"/>
        <v>54271.061720716069</v>
      </c>
      <c r="Z38" s="13">
        <f>(1-$B$10)*Y38</f>
        <v>53456.995794905328</v>
      </c>
      <c r="AA38" s="13">
        <f t="shared" si="22"/>
        <v>32758.780246552804</v>
      </c>
      <c r="AB38" s="13">
        <f t="shared" si="41"/>
        <v>8201.6790421482165</v>
      </c>
      <c r="AC38" s="13">
        <f t="shared" si="23"/>
        <v>12496.536506204307</v>
      </c>
      <c r="AD38" s="13">
        <f>$B$8*AC38</f>
        <v>3498.4191441574412</v>
      </c>
      <c r="AE38" s="13">
        <f t="shared" si="24"/>
        <v>49958.576650747884</v>
      </c>
      <c r="AF38" s="45">
        <f t="shared" si="42"/>
        <v>278.5962590401644</v>
      </c>
      <c r="AG38" s="44">
        <f t="shared" si="25"/>
        <v>292.5260719921726</v>
      </c>
      <c r="AH38" s="44">
        <f t="shared" si="26"/>
        <v>5.850521439843452</v>
      </c>
      <c r="AI38" s="44">
        <f>$B$9*AH38</f>
        <v>1.0919066093921359</v>
      </c>
      <c r="AJ38" s="44">
        <f t="shared" si="27"/>
        <v>5.850521439843452</v>
      </c>
      <c r="AK38" s="44">
        <f t="shared" si="28"/>
        <v>292.5260719921726</v>
      </c>
      <c r="AL38" s="16">
        <f>(1-$B$10)*B38</f>
        <v>1791.5176184873442</v>
      </c>
      <c r="AM38" s="17">
        <f t="shared" si="8"/>
        <v>6.4305157027577549</v>
      </c>
      <c r="AN38" s="17">
        <f t="shared" si="43"/>
        <v>186.31898698995306</v>
      </c>
      <c r="AO38" s="16">
        <f t="shared" si="9"/>
        <v>1090.0632280346335</v>
      </c>
      <c r="AP38" s="16">
        <f t="shared" si="10"/>
        <v>203.44293334957712</v>
      </c>
      <c r="AQ38" s="17">
        <f>IF($B$13="JA",AP38/(AX38/AN38),IF($B$13="NEIN",0,"FEHLER"))</f>
        <v>0.75137564102244303</v>
      </c>
      <c r="AR38" s="16">
        <f t="shared" si="11"/>
        <v>54503.161401731682</v>
      </c>
      <c r="AS38" s="16">
        <f>(1-$B$10)*AR38</f>
        <v>53685.613980705704</v>
      </c>
      <c r="AT38" s="15">
        <f t="shared" si="29"/>
        <v>32758.780246552804</v>
      </c>
      <c r="AU38" s="16">
        <f t="shared" si="44"/>
        <v>10088.059126697921</v>
      </c>
      <c r="AV38" s="16">
        <f t="shared" si="30"/>
        <v>10838.77460745498</v>
      </c>
      <c r="AW38" s="16">
        <f>$B$8*AV38</f>
        <v>3034.3268766591573</v>
      </c>
      <c r="AX38" s="16">
        <f t="shared" si="31"/>
        <v>50447.844170696968</v>
      </c>
      <c r="AY38" s="55">
        <f t="shared" si="45"/>
        <v>257.55432400191569</v>
      </c>
      <c r="AZ38" s="54">
        <f t="shared" si="32"/>
        <v>270.43204020201148</v>
      </c>
      <c r="BA38" s="54">
        <f t="shared" si="12"/>
        <v>5.4086408040402301</v>
      </c>
      <c r="BB38" s="54">
        <f>BA38*$B$9</f>
        <v>1.0094366292789021</v>
      </c>
      <c r="BC38" s="54">
        <f t="shared" si="33"/>
        <v>4.3992041747613282</v>
      </c>
      <c r="BD38" s="54">
        <f t="shared" si="34"/>
        <v>269.42260357273261</v>
      </c>
      <c r="BE38" s="50">
        <f>(1-$B$10)*B38</f>
        <v>1791.5176184873442</v>
      </c>
      <c r="BF38" s="51">
        <f t="shared" si="13"/>
        <v>6.9558825130577846</v>
      </c>
      <c r="BG38" s="51">
        <f t="shared" si="46"/>
        <v>202.05273021492002</v>
      </c>
      <c r="BH38" s="50">
        <f t="shared" si="14"/>
        <v>54437.57263348269</v>
      </c>
      <c r="BI38" s="50">
        <f>(1-$B$10)*BH38</f>
        <v>53621.009043980448</v>
      </c>
      <c r="BJ38" s="52">
        <f t="shared" si="35"/>
        <v>32758.780246552804</v>
      </c>
      <c r="BK38" s="50">
        <f t="shared" si="47"/>
        <v>8217.7978562704011</v>
      </c>
      <c r="BL38" s="52">
        <f t="shared" si="36"/>
        <v>12644.430941157243</v>
      </c>
      <c r="BM38" s="50">
        <f>$B$8*BL38</f>
        <v>3539.8223539425539</v>
      </c>
      <c r="BN38" s="50">
        <f t="shared" si="37"/>
        <v>50081.186690037895</v>
      </c>
    </row>
    <row r="39" spans="1:66" x14ac:dyDescent="0.25">
      <c r="A39" s="1">
        <v>23</v>
      </c>
      <c r="B39" s="3">
        <f t="shared" si="38"/>
        <v>1855.1756049310568</v>
      </c>
      <c r="C39" s="48">
        <f t="shared" si="15"/>
        <v>292.5260719921726</v>
      </c>
      <c r="D39" s="47">
        <f t="shared" si="0"/>
        <v>307.15237559178127</v>
      </c>
      <c r="E39" s="8">
        <f>(1-$B$10)*B39</f>
        <v>1827.347970857091</v>
      </c>
      <c r="F39" s="19">
        <f t="shared" si="1"/>
        <v>6.2467866826789615</v>
      </c>
      <c r="G39" s="7">
        <f t="shared" si="39"/>
        <v>201.30925278891519</v>
      </c>
      <c r="H39" s="8">
        <f t="shared" si="2"/>
        <v>61832.615222721717</v>
      </c>
      <c r="I39" s="8">
        <f>(1-$B$10)*H39</f>
        <v>60905.125994380891</v>
      </c>
      <c r="J39" s="8">
        <f t="shared" si="40"/>
        <v>34613.955851483857</v>
      </c>
      <c r="K39" s="8">
        <f t="shared" si="16"/>
        <v>26291.170142897034</v>
      </c>
      <c r="L39" s="8">
        <f>$B$8*K39</f>
        <v>7360.2420082193421</v>
      </c>
      <c r="M39" s="8">
        <f t="shared" si="17"/>
        <v>53544.883986161549</v>
      </c>
      <c r="N39" s="58">
        <f t="shared" si="18"/>
        <v>187.5591451988951</v>
      </c>
      <c r="O39" s="57">
        <f t="shared" si="19"/>
        <v>196.93710245883986</v>
      </c>
      <c r="P39" s="57">
        <f t="shared" si="3"/>
        <v>3.9387420491767973</v>
      </c>
      <c r="Q39" s="57">
        <f>P39*$B$9</f>
        <v>0.73510344683087747</v>
      </c>
      <c r="R39" s="57">
        <f t="shared" si="20"/>
        <v>3.2036386023459196</v>
      </c>
      <c r="S39" s="57">
        <f t="shared" si="4"/>
        <v>192.99836040966306</v>
      </c>
      <c r="T39" s="5">
        <f>(1-$B$10)*B39</f>
        <v>1827.347970857091</v>
      </c>
      <c r="U39" s="6">
        <f t="shared" si="5"/>
        <v>9.7427825709020972</v>
      </c>
      <c r="V39" s="6">
        <f t="shared" si="21"/>
        <v>299.09717082621694</v>
      </c>
      <c r="W39" s="6">
        <f>(1-$B$10)*(V39*R39)/S39</f>
        <v>4.8903330146083199</v>
      </c>
      <c r="X39" s="6">
        <f t="shared" si="6"/>
        <v>303.98750384082524</v>
      </c>
      <c r="Y39" s="13">
        <f t="shared" si="7"/>
        <v>58669.089826305426</v>
      </c>
      <c r="Z39" s="13">
        <f>(1-$B$10)*Y39</f>
        <v>57789.053478910842</v>
      </c>
      <c r="AA39" s="13">
        <f t="shared" si="22"/>
        <v>34613.955851483857</v>
      </c>
      <c r="AB39" s="13">
        <f t="shared" si="41"/>
        <v>9159.8782844595371</v>
      </c>
      <c r="AC39" s="13">
        <f t="shared" si="23"/>
        <v>14015.219342967448</v>
      </c>
      <c r="AD39" s="13">
        <f>$B$8*AC39</f>
        <v>3923.5760752317187</v>
      </c>
      <c r="AE39" s="13">
        <f t="shared" si="24"/>
        <v>53865.47740367912</v>
      </c>
      <c r="AF39" s="45">
        <f t="shared" si="42"/>
        <v>292.5260719921726</v>
      </c>
      <c r="AG39" s="44">
        <f t="shared" si="25"/>
        <v>307.15237559178127</v>
      </c>
      <c r="AH39" s="44">
        <f t="shared" si="26"/>
        <v>6.1430475118356256</v>
      </c>
      <c r="AI39" s="44">
        <f>$B$9*AH39</f>
        <v>1.1465019398617429</v>
      </c>
      <c r="AJ39" s="44">
        <f t="shared" si="27"/>
        <v>6.1430475118356256</v>
      </c>
      <c r="AK39" s="44">
        <f t="shared" si="28"/>
        <v>307.15237559178127</v>
      </c>
      <c r="AL39" s="16">
        <f>(1-$B$10)*B39</f>
        <v>1827.347970857091</v>
      </c>
      <c r="AM39" s="17">
        <f t="shared" si="8"/>
        <v>6.2467866826789615</v>
      </c>
      <c r="AN39" s="17">
        <f t="shared" si="43"/>
        <v>191.81439803160958</v>
      </c>
      <c r="AO39" s="16">
        <f t="shared" si="9"/>
        <v>1178.3249605623275</v>
      </c>
      <c r="AP39" s="16">
        <f t="shared" si="10"/>
        <v>219.91557943665285</v>
      </c>
      <c r="AQ39" s="17">
        <f>IF($B$13="JA",AP39/(AX39/AN39),IF($B$13="NEIN",0,"FEHLER"))</f>
        <v>0.77527158978199318</v>
      </c>
      <c r="AR39" s="16">
        <f t="shared" si="11"/>
        <v>58916.248028116373</v>
      </c>
      <c r="AS39" s="16">
        <f>(1-$B$10)*AR39</f>
        <v>58032.504307694624</v>
      </c>
      <c r="AT39" s="15">
        <f t="shared" si="29"/>
        <v>34613.955851483857</v>
      </c>
      <c r="AU39" s="16">
        <f t="shared" si="44"/>
        <v>11266.384087260249</v>
      </c>
      <c r="AV39" s="16">
        <f t="shared" si="30"/>
        <v>12152.164368950518</v>
      </c>
      <c r="AW39" s="16">
        <f>$B$8*AV39</f>
        <v>3402.0117854396931</v>
      </c>
      <c r="AX39" s="16">
        <f t="shared" si="31"/>
        <v>54410.576942818276</v>
      </c>
      <c r="AY39" s="55">
        <f t="shared" si="45"/>
        <v>269.42260357273261</v>
      </c>
      <c r="AZ39" s="54">
        <f t="shared" si="32"/>
        <v>282.89373375136927</v>
      </c>
      <c r="BA39" s="54">
        <f t="shared" si="12"/>
        <v>5.6578746750273856</v>
      </c>
      <c r="BB39" s="54">
        <f>BA39*$B$9</f>
        <v>1.0559521602129351</v>
      </c>
      <c r="BC39" s="54">
        <f t="shared" si="33"/>
        <v>4.6019225148144507</v>
      </c>
      <c r="BD39" s="54">
        <f t="shared" si="34"/>
        <v>281.83778159115639</v>
      </c>
      <c r="BE39" s="50">
        <f>(1-$B$10)*B39</f>
        <v>1827.347970857091</v>
      </c>
      <c r="BF39" s="51">
        <f t="shared" si="13"/>
        <v>6.7824597736981822</v>
      </c>
      <c r="BG39" s="51">
        <f t="shared" si="46"/>
        <v>208.8351899886182</v>
      </c>
      <c r="BH39" s="50">
        <f t="shared" si="14"/>
        <v>58857.646664559827</v>
      </c>
      <c r="BI39" s="50">
        <f>(1-$B$10)*BH39</f>
        <v>57974.781964591428</v>
      </c>
      <c r="BJ39" s="52">
        <f t="shared" si="35"/>
        <v>34613.955851483857</v>
      </c>
      <c r="BK39" s="50">
        <f t="shared" si="47"/>
        <v>9178.8412189645769</v>
      </c>
      <c r="BL39" s="52">
        <f t="shared" si="36"/>
        <v>14181.984894142994</v>
      </c>
      <c r="BM39" s="50">
        <f>$B$8*BL39</f>
        <v>3970.2622747661931</v>
      </c>
      <c r="BN39" s="50">
        <f t="shared" si="37"/>
        <v>54004.519689825232</v>
      </c>
    </row>
    <row r="40" spans="1:66" x14ac:dyDescent="0.25">
      <c r="A40" s="1">
        <v>24</v>
      </c>
      <c r="B40" s="3">
        <f t="shared" si="38"/>
        <v>1892.279117029678</v>
      </c>
      <c r="C40" s="48">
        <f t="shared" si="15"/>
        <v>307.15237559178127</v>
      </c>
      <c r="D40" s="47">
        <f t="shared" si="0"/>
        <v>322.50999437137034</v>
      </c>
      <c r="E40" s="8">
        <f>(1-$B$10)*B40</f>
        <v>1863.8949302742328</v>
      </c>
      <c r="F40" s="19">
        <f t="shared" si="1"/>
        <v>6.0683070631738474</v>
      </c>
      <c r="G40" s="7">
        <f t="shared" si="39"/>
        <v>207.37755985208904</v>
      </c>
      <c r="H40" s="8">
        <f t="shared" si="2"/>
        <v>66881.335660645753</v>
      </c>
      <c r="I40" s="8">
        <f>(1-$B$10)*H40</f>
        <v>65878.115625736071</v>
      </c>
      <c r="J40" s="8">
        <f t="shared" si="40"/>
        <v>36506.234968513534</v>
      </c>
      <c r="K40" s="8">
        <f t="shared" si="16"/>
        <v>29371.880657222537</v>
      </c>
      <c r="L40" s="8">
        <f>$B$8*K40</f>
        <v>8222.6903062395613</v>
      </c>
      <c r="M40" s="8">
        <f t="shared" si="17"/>
        <v>57655.425319496513</v>
      </c>
      <c r="N40" s="58">
        <f t="shared" si="18"/>
        <v>192.99836040966306</v>
      </c>
      <c r="O40" s="57">
        <f t="shared" si="19"/>
        <v>202.64827843014623</v>
      </c>
      <c r="P40" s="57">
        <f t="shared" si="3"/>
        <v>4.0529655686029251</v>
      </c>
      <c r="Q40" s="57">
        <f>P40*$B$9</f>
        <v>0.75642144678897305</v>
      </c>
      <c r="R40" s="57">
        <f t="shared" si="20"/>
        <v>3.2965441218139522</v>
      </c>
      <c r="S40" s="57">
        <f t="shared" si="4"/>
        <v>198.59531286154331</v>
      </c>
      <c r="T40" s="5">
        <f>(1-$B$10)*B40</f>
        <v>1863.8949302742328</v>
      </c>
      <c r="U40" s="6">
        <f t="shared" si="5"/>
        <v>9.6575687291740913</v>
      </c>
      <c r="V40" s="6">
        <f t="shared" si="21"/>
        <v>313.64507256999934</v>
      </c>
      <c r="W40" s="6">
        <f>(1-$B$10)*(V40*R40)/S40</f>
        <v>5.1281957934315736</v>
      </c>
      <c r="X40" s="6">
        <f t="shared" si="6"/>
        <v>318.77326836343093</v>
      </c>
      <c r="Y40" s="13">
        <f t="shared" si="7"/>
        <v>63306.876962532267</v>
      </c>
      <c r="Z40" s="13">
        <f>(1-$B$10)*Y40</f>
        <v>62357.27380809428</v>
      </c>
      <c r="AA40" s="13">
        <f t="shared" si="22"/>
        <v>36506.234968513534</v>
      </c>
      <c r="AB40" s="13">
        <f t="shared" si="41"/>
        <v>10193.823104776078</v>
      </c>
      <c r="AC40" s="13">
        <f t="shared" si="23"/>
        <v>15657.215734804668</v>
      </c>
      <c r="AD40" s="13">
        <f>$B$8*AC40</f>
        <v>4383.2547717240459</v>
      </c>
      <c r="AE40" s="13">
        <f t="shared" si="24"/>
        <v>57974.019036370235</v>
      </c>
      <c r="AF40" s="45">
        <f t="shared" si="42"/>
        <v>307.15237559178127</v>
      </c>
      <c r="AG40" s="44">
        <f t="shared" si="25"/>
        <v>322.50999437137034</v>
      </c>
      <c r="AH40" s="44">
        <f t="shared" si="26"/>
        <v>6.4501998874274067</v>
      </c>
      <c r="AI40" s="44">
        <f>$B$9*AH40</f>
        <v>1.2038270368548301</v>
      </c>
      <c r="AJ40" s="44">
        <f t="shared" si="27"/>
        <v>6.4501998874274067</v>
      </c>
      <c r="AK40" s="44">
        <f t="shared" si="28"/>
        <v>322.50999437137034</v>
      </c>
      <c r="AL40" s="16">
        <f>(1-$B$10)*B40</f>
        <v>1863.8949302742328</v>
      </c>
      <c r="AM40" s="17">
        <f t="shared" si="8"/>
        <v>6.0683070631738474</v>
      </c>
      <c r="AN40" s="17">
        <f t="shared" si="43"/>
        <v>197.10743350500144</v>
      </c>
      <c r="AO40" s="16">
        <f t="shared" si="9"/>
        <v>1271.3823454050653</v>
      </c>
      <c r="AP40" s="16">
        <f t="shared" si="10"/>
        <v>237.28325761838633</v>
      </c>
      <c r="AQ40" s="17">
        <f>IF($B$13="JA",AP40/(AX40/AN40),IF($B$13="NEIN",0,"FEHLER"))</f>
        <v>0.79841511112093133</v>
      </c>
      <c r="AR40" s="16">
        <f t="shared" si="11"/>
        <v>63569.117270253264</v>
      </c>
      <c r="AS40" s="16">
        <f>(1-$B$10)*AR40</f>
        <v>62615.580511199463</v>
      </c>
      <c r="AT40" s="15">
        <f t="shared" si="29"/>
        <v>36506.234968513534</v>
      </c>
      <c r="AU40" s="16">
        <f t="shared" si="44"/>
        <v>12537.766432665314</v>
      </c>
      <c r="AV40" s="16">
        <f t="shared" si="30"/>
        <v>13571.579110020615</v>
      </c>
      <c r="AW40" s="16">
        <f>$B$8*AV40</f>
        <v>3799.3785039055274</v>
      </c>
      <c r="AX40" s="16">
        <f t="shared" si="31"/>
        <v>58578.918749675548</v>
      </c>
      <c r="AY40" s="55">
        <f t="shared" si="45"/>
        <v>281.83778159115639</v>
      </c>
      <c r="AZ40" s="54">
        <f t="shared" si="32"/>
        <v>295.92967067071424</v>
      </c>
      <c r="BA40" s="54">
        <f t="shared" si="12"/>
        <v>5.9185934134142846</v>
      </c>
      <c r="BB40" s="54">
        <f>BA40*$B$9</f>
        <v>1.1046111586567819</v>
      </c>
      <c r="BC40" s="54">
        <f t="shared" si="33"/>
        <v>4.8139822547575024</v>
      </c>
      <c r="BD40" s="54">
        <f t="shared" si="34"/>
        <v>294.82505951205746</v>
      </c>
      <c r="BE40" s="50">
        <f>(1-$B$10)*B40</f>
        <v>1863.8949302742328</v>
      </c>
      <c r="BF40" s="51">
        <f t="shared" si="13"/>
        <v>6.6133607770801399</v>
      </c>
      <c r="BG40" s="51">
        <f t="shared" si="46"/>
        <v>215.44855076569834</v>
      </c>
      <c r="BH40" s="50">
        <f t="shared" si="14"/>
        <v>63519.631801283547</v>
      </c>
      <c r="BI40" s="50">
        <f>(1-$B$10)*BH40</f>
        <v>62566.837324264292</v>
      </c>
      <c r="BJ40" s="52">
        <f t="shared" si="35"/>
        <v>36506.234968513534</v>
      </c>
      <c r="BK40" s="50">
        <f t="shared" si="47"/>
        <v>10216.00671916387</v>
      </c>
      <c r="BL40" s="52">
        <f t="shared" si="36"/>
        <v>15844.595636586888</v>
      </c>
      <c r="BM40" s="50">
        <f>$B$8*BL40</f>
        <v>4435.7119813916843</v>
      </c>
      <c r="BN40" s="50">
        <f t="shared" si="37"/>
        <v>58131.125342872605</v>
      </c>
    </row>
    <row r="41" spans="1:66" x14ac:dyDescent="0.25">
      <c r="A41" s="1">
        <v>25</v>
      </c>
      <c r="B41" s="3">
        <f t="shared" si="38"/>
        <v>1930.1246993702716</v>
      </c>
      <c r="C41" s="48">
        <f t="shared" si="15"/>
        <v>322.50999437137034</v>
      </c>
      <c r="D41" s="47">
        <f t="shared" si="0"/>
        <v>338.63549408993885</v>
      </c>
      <c r="E41" s="8">
        <f>(1-$B$10)*B41</f>
        <v>1901.1728288797176</v>
      </c>
      <c r="F41" s="19">
        <f t="shared" si="1"/>
        <v>5.894926861368881</v>
      </c>
      <c r="G41" s="7">
        <f t="shared" si="39"/>
        <v>213.27248671345791</v>
      </c>
      <c r="H41" s="8">
        <f t="shared" si="2"/>
        <v>72221.633914001737</v>
      </c>
      <c r="I41" s="8">
        <f>(1-$B$10)*H41</f>
        <v>71138.309405291715</v>
      </c>
      <c r="J41" s="8">
        <f t="shared" si="40"/>
        <v>38436.359667883808</v>
      </c>
      <c r="K41" s="8">
        <f t="shared" si="16"/>
        <v>32701.949737407907</v>
      </c>
      <c r="L41" s="8">
        <f>$B$8*K41</f>
        <v>9154.9468091276431</v>
      </c>
      <c r="M41" s="8">
        <f t="shared" si="17"/>
        <v>61983.362596164072</v>
      </c>
      <c r="N41" s="58">
        <f t="shared" si="18"/>
        <v>198.59531286154331</v>
      </c>
      <c r="O41" s="57">
        <f t="shared" si="19"/>
        <v>208.52507850462047</v>
      </c>
      <c r="P41" s="57">
        <f t="shared" si="3"/>
        <v>4.1705015700924095</v>
      </c>
      <c r="Q41" s="57">
        <f>P41*$B$9</f>
        <v>0.77835766874585322</v>
      </c>
      <c r="R41" s="57">
        <f t="shared" si="20"/>
        <v>3.3921439013465564</v>
      </c>
      <c r="S41" s="57">
        <f t="shared" si="4"/>
        <v>204.35457693452807</v>
      </c>
      <c r="T41" s="5">
        <f>(1-$B$10)*B41</f>
        <v>1901.1728288797176</v>
      </c>
      <c r="U41" s="6">
        <f t="shared" si="5"/>
        <v>9.5731001980151333</v>
      </c>
      <c r="V41" s="6">
        <f t="shared" si="21"/>
        <v>328.34636856144607</v>
      </c>
      <c r="W41" s="6">
        <f>(1-$B$10)*(V41*R41)/S41</f>
        <v>5.36856661655204</v>
      </c>
      <c r="X41" s="6">
        <f t="shared" si="6"/>
        <v>333.71493517799809</v>
      </c>
      <c r="Y41" s="13">
        <f t="shared" si="7"/>
        <v>68196.17439503326</v>
      </c>
      <c r="Z41" s="13">
        <f>(1-$B$10)*Y41</f>
        <v>67173.231779107766</v>
      </c>
      <c r="AA41" s="13">
        <f t="shared" si="22"/>
        <v>38436.359667883808</v>
      </c>
      <c r="AB41" s="13">
        <f t="shared" si="41"/>
        <v>11307.621236421077</v>
      </c>
      <c r="AC41" s="13">
        <f t="shared" si="23"/>
        <v>17429.250874802881</v>
      </c>
      <c r="AD41" s="13">
        <f>$B$8*AC41</f>
        <v>4879.3379588384605</v>
      </c>
      <c r="AE41" s="13">
        <f t="shared" si="24"/>
        <v>62293.893820269303</v>
      </c>
      <c r="AF41" s="45">
        <f t="shared" si="42"/>
        <v>322.50999437137034</v>
      </c>
      <c r="AG41" s="44">
        <f t="shared" si="25"/>
        <v>338.63549408993885</v>
      </c>
      <c r="AH41" s="44">
        <f t="shared" si="26"/>
        <v>6.772709881798777</v>
      </c>
      <c r="AI41" s="44">
        <f>$B$9*AH41</f>
        <v>1.2640183886975713</v>
      </c>
      <c r="AJ41" s="44">
        <f t="shared" si="27"/>
        <v>6.772709881798777</v>
      </c>
      <c r="AK41" s="44">
        <f t="shared" si="28"/>
        <v>338.63549408993885</v>
      </c>
      <c r="AL41" s="16">
        <f>(1-$B$10)*B41</f>
        <v>1901.1728288797176</v>
      </c>
      <c r="AM41" s="17">
        <f t="shared" si="8"/>
        <v>5.894926861368881</v>
      </c>
      <c r="AN41" s="17">
        <f t="shared" si="43"/>
        <v>202.20394525524938</v>
      </c>
      <c r="AO41" s="16">
        <f t="shared" si="9"/>
        <v>1369.4686581689264</v>
      </c>
      <c r="AP41" s="16">
        <f t="shared" si="10"/>
        <v>255.58950506983226</v>
      </c>
      <c r="AQ41" s="17">
        <f>IF($B$13="JA",AP41/(AX41/AN41),IF($B$13="NEIN",0,"FEHLER"))</f>
        <v>0.82082240220076241</v>
      </c>
      <c r="AR41" s="16">
        <f t="shared" si="11"/>
        <v>68473.432908446324</v>
      </c>
      <c r="AS41" s="16">
        <f>(1-$B$10)*AR41</f>
        <v>67446.331414819622</v>
      </c>
      <c r="AT41" s="15">
        <f t="shared" si="29"/>
        <v>38436.359667883808</v>
      </c>
      <c r="AU41" s="16">
        <f t="shared" si="44"/>
        <v>13907.23509083424</v>
      </c>
      <c r="AV41" s="16">
        <f t="shared" si="30"/>
        <v>15102.736656101575</v>
      </c>
      <c r="AW41" s="16">
        <f>$B$8*AV41</f>
        <v>4228.0277435785592</v>
      </c>
      <c r="AX41" s="16">
        <f t="shared" si="31"/>
        <v>62962.71416617123</v>
      </c>
      <c r="AY41" s="55">
        <f t="shared" si="45"/>
        <v>294.82505951205746</v>
      </c>
      <c r="AZ41" s="54">
        <f t="shared" si="32"/>
        <v>309.56631248766035</v>
      </c>
      <c r="BA41" s="54">
        <f t="shared" si="12"/>
        <v>6.1913262497532076</v>
      </c>
      <c r="BB41" s="54">
        <f>BA41*$B$9</f>
        <v>1.1555123970607049</v>
      </c>
      <c r="BC41" s="54">
        <f t="shared" si="33"/>
        <v>5.0358138526925025</v>
      </c>
      <c r="BD41" s="54">
        <f t="shared" si="34"/>
        <v>308.41080009059965</v>
      </c>
      <c r="BE41" s="50">
        <f>(1-$B$10)*B41</f>
        <v>1901.1728288797176</v>
      </c>
      <c r="BF41" s="51">
        <f t="shared" si="13"/>
        <v>6.4484777244722826</v>
      </c>
      <c r="BG41" s="51">
        <f t="shared" si="46"/>
        <v>221.89702849017061</v>
      </c>
      <c r="BH41" s="50">
        <f t="shared" si="14"/>
        <v>68435.440094380101</v>
      </c>
      <c r="BI41" s="50">
        <f>(1-$B$10)*BH41</f>
        <v>67408.908492964401</v>
      </c>
      <c r="BJ41" s="52">
        <f t="shared" si="35"/>
        <v>38436.359667883808</v>
      </c>
      <c r="BK41" s="50">
        <f t="shared" si="47"/>
        <v>11333.438849105974</v>
      </c>
      <c r="BL41" s="52">
        <f t="shared" si="36"/>
        <v>17639.109975974621</v>
      </c>
      <c r="BM41" s="50">
        <f>$B$8*BL41</f>
        <v>4938.0882451078105</v>
      </c>
      <c r="BN41" s="50">
        <f t="shared" si="37"/>
        <v>62470.820247856595</v>
      </c>
    </row>
    <row r="42" spans="1:66" x14ac:dyDescent="0.25">
      <c r="A42" s="1">
        <v>26</v>
      </c>
      <c r="B42" s="3">
        <f t="shared" si="38"/>
        <v>1968.7271933576772</v>
      </c>
      <c r="C42" s="48">
        <f t="shared" si="15"/>
        <v>338.63549408993885</v>
      </c>
      <c r="D42" s="47">
        <f t="shared" si="0"/>
        <v>355.56726879443579</v>
      </c>
      <c r="E42" s="8">
        <f>(1-$B$10)*B42</f>
        <v>1939.1962854573119</v>
      </c>
      <c r="F42" s="19">
        <f t="shared" si="1"/>
        <v>5.7265003796154845</v>
      </c>
      <c r="G42" s="7">
        <f t="shared" si="39"/>
        <v>218.9989870930734</v>
      </c>
      <c r="H42" s="8">
        <f t="shared" si="2"/>
        <v>77868.871709432002</v>
      </c>
      <c r="I42" s="8">
        <f>(1-$B$10)*H42</f>
        <v>76700.838633790525</v>
      </c>
      <c r="J42" s="8">
        <f t="shared" si="40"/>
        <v>40405.086861241485</v>
      </c>
      <c r="K42" s="8">
        <f t="shared" si="16"/>
        <v>36295.75177254904</v>
      </c>
      <c r="L42" s="8">
        <f>$B$8*K42</f>
        <v>10161.035642926321</v>
      </c>
      <c r="M42" s="8">
        <f t="shared" si="17"/>
        <v>66539.802990864206</v>
      </c>
      <c r="N42" s="58">
        <f t="shared" si="18"/>
        <v>204.35457693452807</v>
      </c>
      <c r="O42" s="57">
        <f t="shared" si="19"/>
        <v>214.57230578125447</v>
      </c>
      <c r="P42" s="57">
        <f t="shared" si="3"/>
        <v>4.2914461156250896</v>
      </c>
      <c r="Q42" s="57">
        <f>P42*$B$9</f>
        <v>0.80093004113948296</v>
      </c>
      <c r="R42" s="57">
        <f t="shared" si="20"/>
        <v>3.4905160744856065</v>
      </c>
      <c r="S42" s="57">
        <f t="shared" si="4"/>
        <v>210.28085966562938</v>
      </c>
      <c r="T42" s="5">
        <f>(1-$B$10)*B42</f>
        <v>1939.1962854573119</v>
      </c>
      <c r="U42" s="6">
        <f t="shared" si="5"/>
        <v>9.4893704586738927</v>
      </c>
      <c r="V42" s="6">
        <f t="shared" si="21"/>
        <v>343.20430563667196</v>
      </c>
      <c r="W42" s="6">
        <f>(1-$B$10)*(V42*R42)/S42</f>
        <v>5.6114985707635618</v>
      </c>
      <c r="X42" s="6">
        <f t="shared" si="6"/>
        <v>348.81580420743552</v>
      </c>
      <c r="Y42" s="13">
        <f t="shared" si="7"/>
        <v>73349.287173697405</v>
      </c>
      <c r="Z42" s="13">
        <f>(1-$B$10)*Y42</f>
        <v>72249.047866091947</v>
      </c>
      <c r="AA42" s="13">
        <f t="shared" si="22"/>
        <v>40405.086861241485</v>
      </c>
      <c r="AB42" s="13">
        <f t="shared" si="41"/>
        <v>12505.581382078552</v>
      </c>
      <c r="AC42" s="13">
        <f t="shared" si="23"/>
        <v>19338.37962277191</v>
      </c>
      <c r="AD42" s="13">
        <f>$B$8*AC42</f>
        <v>5413.8006523407921</v>
      </c>
      <c r="AE42" s="13">
        <f t="shared" si="24"/>
        <v>66835.24721375115</v>
      </c>
      <c r="AF42" s="45">
        <f t="shared" si="42"/>
        <v>338.63549408993885</v>
      </c>
      <c r="AG42" s="44">
        <f t="shared" si="25"/>
        <v>355.56726879443579</v>
      </c>
      <c r="AH42" s="44">
        <f t="shared" si="26"/>
        <v>7.1113453758887157</v>
      </c>
      <c r="AI42" s="44">
        <f>$B$9*AH42</f>
        <v>1.3272193081324499</v>
      </c>
      <c r="AJ42" s="44">
        <f t="shared" si="27"/>
        <v>7.1113453758887157</v>
      </c>
      <c r="AK42" s="44">
        <f t="shared" si="28"/>
        <v>355.56726879443579</v>
      </c>
      <c r="AL42" s="16">
        <f>(1-$B$10)*B42</f>
        <v>1939.1962854573119</v>
      </c>
      <c r="AM42" s="17">
        <f t="shared" si="8"/>
        <v>5.7265003796154845</v>
      </c>
      <c r="AN42" s="17">
        <f t="shared" si="43"/>
        <v>207.10962323266409</v>
      </c>
      <c r="AO42" s="16">
        <f t="shared" si="9"/>
        <v>1472.82806147766</v>
      </c>
      <c r="AP42" s="16">
        <f t="shared" si="10"/>
        <v>274.87989085442882</v>
      </c>
      <c r="AQ42" s="17">
        <f>IF($B$13="JA",AP42/(AX42/AN42),IF($B$13="NEIN",0,"FEHLER"))</f>
        <v>0.84250944080281254</v>
      </c>
      <c r="AR42" s="16">
        <f t="shared" si="11"/>
        <v>73641.40307388299</v>
      </c>
      <c r="AS42" s="16">
        <f>(1-$B$10)*AR42</f>
        <v>72536.782027774738</v>
      </c>
      <c r="AT42" s="15">
        <f t="shared" si="29"/>
        <v>40405.086861241485</v>
      </c>
      <c r="AU42" s="16">
        <f t="shared" si="44"/>
        <v>15380.063152311899</v>
      </c>
      <c r="AV42" s="16">
        <f t="shared" si="30"/>
        <v>16751.632014221352</v>
      </c>
      <c r="AW42" s="16">
        <f>$B$8*AV42</f>
        <v>4689.6378132722375</v>
      </c>
      <c r="AX42" s="16">
        <f t="shared" si="31"/>
        <v>67572.26432364808</v>
      </c>
      <c r="AY42" s="55">
        <f t="shared" si="45"/>
        <v>308.41080009059965</v>
      </c>
      <c r="AZ42" s="54">
        <f t="shared" si="32"/>
        <v>323.83134009512963</v>
      </c>
      <c r="BA42" s="54">
        <f t="shared" si="12"/>
        <v>6.4766268019025928</v>
      </c>
      <c r="BB42" s="54">
        <f>BA42*$B$9</f>
        <v>1.2087591993770936</v>
      </c>
      <c r="BC42" s="54">
        <f t="shared" si="33"/>
        <v>5.2678676025254987</v>
      </c>
      <c r="BD42" s="54">
        <f t="shared" si="34"/>
        <v>322.62258089575255</v>
      </c>
      <c r="BE42" s="50">
        <f>(1-$B$10)*B42</f>
        <v>1939.1962854573119</v>
      </c>
      <c r="BF42" s="51">
        <f t="shared" si="13"/>
        <v>6.2877055047606891</v>
      </c>
      <c r="BG42" s="51">
        <f t="shared" si="46"/>
        <v>228.18473399493129</v>
      </c>
      <c r="BH42" s="50">
        <f t="shared" si="14"/>
        <v>73617.54780245549</v>
      </c>
      <c r="BI42" s="50">
        <f>(1-$B$10)*BH42</f>
        <v>72513.28458541866</v>
      </c>
      <c r="BJ42" s="52">
        <f t="shared" si="35"/>
        <v>40405.086861241485</v>
      </c>
      <c r="BK42" s="50">
        <f t="shared" si="47"/>
        <v>12535.485816708771</v>
      </c>
      <c r="BL42" s="52">
        <f t="shared" si="36"/>
        <v>19572.711907468401</v>
      </c>
      <c r="BM42" s="50">
        <f>$B$8*BL42</f>
        <v>5479.4022332643817</v>
      </c>
      <c r="BN42" s="50">
        <f t="shared" si="37"/>
        <v>67033.88235215428</v>
      </c>
    </row>
    <row r="43" spans="1:66" x14ac:dyDescent="0.25">
      <c r="A43" s="1">
        <v>27</v>
      </c>
      <c r="B43" s="3">
        <f t="shared" si="38"/>
        <v>2008.1017372248307</v>
      </c>
      <c r="C43" s="48">
        <f t="shared" si="15"/>
        <v>355.56726879443579</v>
      </c>
      <c r="D43" s="47">
        <f t="shared" si="0"/>
        <v>373.34563223415762</v>
      </c>
      <c r="E43" s="8">
        <f>(1-$B$10)*B43</f>
        <v>1977.9802111664583</v>
      </c>
      <c r="F43" s="19">
        <f t="shared" si="1"/>
        <v>5.5628860830550426</v>
      </c>
      <c r="G43" s="7">
        <f t="shared" si="39"/>
        <v>224.56187317612844</v>
      </c>
      <c r="H43" s="8">
        <f t="shared" si="2"/>
        <v>83839.194516628399</v>
      </c>
      <c r="I43" s="8">
        <f>(1-$B$10)*H43</f>
        <v>82581.606598878978</v>
      </c>
      <c r="J43" s="8">
        <f t="shared" si="40"/>
        <v>42413.188598466317</v>
      </c>
      <c r="K43" s="8">
        <f t="shared" si="16"/>
        <v>40168.418000412661</v>
      </c>
      <c r="L43" s="8">
        <f>$B$8*K43</f>
        <v>11245.192814296455</v>
      </c>
      <c r="M43" s="8">
        <f t="shared" si="17"/>
        <v>71336.413784582517</v>
      </c>
      <c r="N43" s="58">
        <f t="shared" si="18"/>
        <v>210.28085966562938</v>
      </c>
      <c r="O43" s="57">
        <f t="shared" si="19"/>
        <v>220.79490264891086</v>
      </c>
      <c r="P43" s="57">
        <f t="shared" si="3"/>
        <v>4.4158980529782177</v>
      </c>
      <c r="Q43" s="57">
        <f>P43*$B$9</f>
        <v>0.82415701233252814</v>
      </c>
      <c r="R43" s="57">
        <f t="shared" si="20"/>
        <v>3.5917410406456893</v>
      </c>
      <c r="S43" s="57">
        <f t="shared" si="4"/>
        <v>216.37900459593266</v>
      </c>
      <c r="T43" s="5">
        <f>(1-$B$10)*B43</f>
        <v>1977.9802111664583</v>
      </c>
      <c r="U43" s="6">
        <f t="shared" si="5"/>
        <v>9.4063730494143556</v>
      </c>
      <c r="V43" s="6">
        <f t="shared" si="21"/>
        <v>358.22217725684987</v>
      </c>
      <c r="W43" s="6">
        <f>(1-$B$10)*(V43*R43)/S43</f>
        <v>5.8570455051943711</v>
      </c>
      <c r="X43" s="6">
        <f t="shared" si="6"/>
        <v>364.07922276204425</v>
      </c>
      <c r="Y43" s="13">
        <f t="shared" si="7"/>
        <v>78779.099815311958</v>
      </c>
      <c r="Z43" s="13">
        <f>(1-$B$10)*Y43</f>
        <v>77597.413318082283</v>
      </c>
      <c r="AA43" s="13">
        <f t="shared" si="22"/>
        <v>42413.188598466317</v>
      </c>
      <c r="AB43" s="13">
        <f t="shared" si="41"/>
        <v>13792.222677801434</v>
      </c>
      <c r="AC43" s="13">
        <f t="shared" si="23"/>
        <v>21392.002041814532</v>
      </c>
      <c r="AD43" s="13">
        <f>$B$8*AC43</f>
        <v>5988.7145080385435</v>
      </c>
      <c r="AE43" s="13">
        <f t="shared" si="24"/>
        <v>71608.698810043745</v>
      </c>
      <c r="AF43" s="45">
        <f t="shared" si="42"/>
        <v>355.56726879443579</v>
      </c>
      <c r="AG43" s="44">
        <f t="shared" si="25"/>
        <v>373.34563223415762</v>
      </c>
      <c r="AH43" s="44">
        <f t="shared" si="26"/>
        <v>7.4669126446831529</v>
      </c>
      <c r="AI43" s="44">
        <f>$B$9*AH43</f>
        <v>1.3935802735390728</v>
      </c>
      <c r="AJ43" s="44">
        <f t="shared" si="27"/>
        <v>7.4669126446831529</v>
      </c>
      <c r="AK43" s="44">
        <f t="shared" si="28"/>
        <v>373.34563223415762</v>
      </c>
      <c r="AL43" s="16">
        <f>(1-$B$10)*B43</f>
        <v>1977.9802111664583</v>
      </c>
      <c r="AM43" s="17">
        <f t="shared" si="8"/>
        <v>5.5628860830550426</v>
      </c>
      <c r="AN43" s="17">
        <f t="shared" si="43"/>
        <v>211.82999987491633</v>
      </c>
      <c r="AO43" s="16">
        <f t="shared" si="9"/>
        <v>1581.7161045892433</v>
      </c>
      <c r="AP43" s="16">
        <f t="shared" si="10"/>
        <v>295.20210916946763</v>
      </c>
      <c r="AQ43" s="17">
        <f>IF($B$13="JA",AP43/(AX43/AN43),IF($B$13="NEIN",0,"FEHLER"))</f>
        <v>0.86349198295413576</v>
      </c>
      <c r="AR43" s="16">
        <f t="shared" si="11"/>
        <v>79085.805229462159</v>
      </c>
      <c r="AS43" s="16">
        <f>(1-$B$10)*AR43</f>
        <v>77899.518151020224</v>
      </c>
      <c r="AT43" s="15">
        <f t="shared" si="29"/>
        <v>42413.188598466317</v>
      </c>
      <c r="AU43" s="16">
        <f t="shared" si="44"/>
        <v>16961.779256901144</v>
      </c>
      <c r="AV43" s="16">
        <f t="shared" si="30"/>
        <v>18524.550295652763</v>
      </c>
      <c r="AW43" s="16">
        <f>$B$8*AV43</f>
        <v>5185.9682368025469</v>
      </c>
      <c r="AX43" s="16">
        <f t="shared" si="31"/>
        <v>72418.347805048208</v>
      </c>
      <c r="AY43" s="55">
        <f t="shared" si="45"/>
        <v>322.62258089575255</v>
      </c>
      <c r="AZ43" s="54">
        <f t="shared" si="32"/>
        <v>338.7537099405402</v>
      </c>
      <c r="BA43" s="54">
        <f t="shared" si="12"/>
        <v>6.7750741988108043</v>
      </c>
      <c r="BB43" s="54">
        <f>BA43*$B$9</f>
        <v>1.2644596507968007</v>
      </c>
      <c r="BC43" s="54">
        <f t="shared" si="33"/>
        <v>5.5106145480140034</v>
      </c>
      <c r="BD43" s="54">
        <f t="shared" si="34"/>
        <v>337.48925028974344</v>
      </c>
      <c r="BE43" s="50">
        <f>(1-$B$10)*B43</f>
        <v>1977.9802111664583</v>
      </c>
      <c r="BF43" s="51">
        <f t="shared" si="13"/>
        <v>6.1309416274417359</v>
      </c>
      <c r="BG43" s="51">
        <f t="shared" si="46"/>
        <v>234.31567562237302</v>
      </c>
      <c r="BH43" s="50">
        <f t="shared" si="14"/>
        <v>79079.021696929383</v>
      </c>
      <c r="BI43" s="50">
        <f>(1-$B$10)*BH43</f>
        <v>77892.836371475438</v>
      </c>
      <c r="BJ43" s="52">
        <f t="shared" si="35"/>
        <v>42413.188598466317</v>
      </c>
      <c r="BK43" s="50">
        <f t="shared" si="47"/>
        <v>13826.709187621151</v>
      </c>
      <c r="BL43" s="52">
        <f t="shared" si="36"/>
        <v>21652.938585387972</v>
      </c>
      <c r="BM43" s="50">
        <f>$B$8*BL43</f>
        <v>6061.7639805059243</v>
      </c>
      <c r="BN43" s="50">
        <f t="shared" si="37"/>
        <v>71831.072390969508</v>
      </c>
    </row>
    <row r="44" spans="1:66" x14ac:dyDescent="0.25">
      <c r="A44" s="1">
        <v>28</v>
      </c>
      <c r="B44" s="3">
        <f t="shared" si="38"/>
        <v>2048.2637719693275</v>
      </c>
      <c r="C44" s="48">
        <f t="shared" si="15"/>
        <v>373.34563223415762</v>
      </c>
      <c r="D44" s="47">
        <f t="shared" si="0"/>
        <v>392.01291384586551</v>
      </c>
      <c r="E44" s="8">
        <f>(1-$B$10)*B44</f>
        <v>2017.5398153897877</v>
      </c>
      <c r="F44" s="19">
        <f t="shared" si="1"/>
        <v>5.4039464806820412</v>
      </c>
      <c r="G44" s="7">
        <f t="shared" si="39"/>
        <v>229.96581965681048</v>
      </c>
      <c r="H44" s="8">
        <f t="shared" si="2"/>
        <v>90149.571048619095</v>
      </c>
      <c r="I44" s="8">
        <f>(1-$B$10)*H44</f>
        <v>88797.327482889814</v>
      </c>
      <c r="J44" s="8">
        <f t="shared" si="40"/>
        <v>44461.452370435647</v>
      </c>
      <c r="K44" s="8">
        <f t="shared" si="16"/>
        <v>44335.875112454167</v>
      </c>
      <c r="L44" s="8">
        <f>$B$8*K44</f>
        <v>12411.877018034236</v>
      </c>
      <c r="M44" s="8">
        <f t="shared" si="17"/>
        <v>76385.450464855574</v>
      </c>
      <c r="N44" s="58">
        <f t="shared" si="18"/>
        <v>216.37900459593266</v>
      </c>
      <c r="O44" s="57">
        <f t="shared" si="19"/>
        <v>227.19795482572931</v>
      </c>
      <c r="P44" s="57">
        <f t="shared" si="3"/>
        <v>4.5439590965145866</v>
      </c>
      <c r="Q44" s="57">
        <f>P44*$B$9</f>
        <v>0.84805756569017154</v>
      </c>
      <c r="R44" s="57">
        <f t="shared" si="20"/>
        <v>3.6959015308244152</v>
      </c>
      <c r="S44" s="57">
        <f t="shared" si="4"/>
        <v>222.65399572921473</v>
      </c>
      <c r="T44" s="5">
        <f>(1-$B$10)*B44</f>
        <v>2017.5398153897877</v>
      </c>
      <c r="U44" s="6">
        <f t="shared" si="5"/>
        <v>9.3241015650171448</v>
      </c>
      <c r="V44" s="6">
        <f t="shared" si="21"/>
        <v>373.4033243270614</v>
      </c>
      <c r="W44" s="6">
        <f>(1-$B$10)*(V44*R44)/S44</f>
        <v>6.1052620446955608</v>
      </c>
      <c r="X44" s="6">
        <f t="shared" si="6"/>
        <v>379.50858637175696</v>
      </c>
      <c r="Y44" s="13">
        <f t="shared" si="7"/>
        <v>84499.103169217487</v>
      </c>
      <c r="Z44" s="13">
        <f>(1-$B$10)*Y44</f>
        <v>83231.616621679219</v>
      </c>
      <c r="AA44" s="13">
        <f t="shared" si="22"/>
        <v>44461.452370435647</v>
      </c>
      <c r="AB44" s="13">
        <f t="shared" si="41"/>
        <v>15172.284595796746</v>
      </c>
      <c r="AC44" s="13">
        <f t="shared" si="23"/>
        <v>23597.879655446828</v>
      </c>
      <c r="AD44" s="13">
        <f>$B$8*AC44</f>
        <v>6606.2523729796139</v>
      </c>
      <c r="AE44" s="13">
        <f t="shared" si="24"/>
        <v>76625.36424869961</v>
      </c>
      <c r="AF44" s="45">
        <f t="shared" si="42"/>
        <v>373.34563223415762</v>
      </c>
      <c r="AG44" s="44">
        <f t="shared" si="25"/>
        <v>392.01291384586551</v>
      </c>
      <c r="AH44" s="44">
        <f t="shared" si="26"/>
        <v>7.8402582769173108</v>
      </c>
      <c r="AI44" s="44">
        <f>$B$9*AH44</f>
        <v>1.4632592872160264</v>
      </c>
      <c r="AJ44" s="44">
        <f t="shared" si="27"/>
        <v>7.8402582769173108</v>
      </c>
      <c r="AK44" s="44">
        <f t="shared" si="28"/>
        <v>392.01291384586551</v>
      </c>
      <c r="AL44" s="16">
        <f>(1-$B$10)*B44</f>
        <v>2017.5398153897877</v>
      </c>
      <c r="AM44" s="17">
        <f t="shared" si="8"/>
        <v>5.4039464806820412</v>
      </c>
      <c r="AN44" s="17">
        <f t="shared" si="43"/>
        <v>216.37045437264422</v>
      </c>
      <c r="AO44" s="16">
        <f t="shared" si="9"/>
        <v>1696.4002457754832</v>
      </c>
      <c r="AP44" s="16">
        <f t="shared" si="10"/>
        <v>316.60607683992316</v>
      </c>
      <c r="AQ44" s="17">
        <f>IF($B$13="JA",AP44/(AX44/AN44),IF($B$13="NEIN",0,"FEHLER"))</f>
        <v>0.88378556085491855</v>
      </c>
      <c r="AR44" s="16">
        <f t="shared" si="11"/>
        <v>84820.012288774145</v>
      </c>
      <c r="AS44" s="16">
        <f>(1-$B$10)*AR44</f>
        <v>83547.712104442529</v>
      </c>
      <c r="AT44" s="15">
        <f t="shared" si="29"/>
        <v>44461.452370435647</v>
      </c>
      <c r="AU44" s="16">
        <f t="shared" si="44"/>
        <v>18658.179502676627</v>
      </c>
      <c r="AV44" s="16">
        <f t="shared" si="30"/>
        <v>20428.080231330256</v>
      </c>
      <c r="AW44" s="16">
        <f>$B$8*AV44</f>
        <v>5718.8635366438011</v>
      </c>
      <c r="AX44" s="16">
        <f t="shared" si="31"/>
        <v>77512.242490958815</v>
      </c>
      <c r="AY44" s="55">
        <f t="shared" si="45"/>
        <v>337.48925028974344</v>
      </c>
      <c r="AZ44" s="54">
        <f t="shared" si="32"/>
        <v>354.3637128042306</v>
      </c>
      <c r="BA44" s="54">
        <f t="shared" si="12"/>
        <v>7.087274256084612</v>
      </c>
      <c r="BB44" s="54">
        <f>BA44*$B$9</f>
        <v>1.322726817150266</v>
      </c>
      <c r="BC44" s="54">
        <f t="shared" si="33"/>
        <v>5.7645474389343461</v>
      </c>
      <c r="BD44" s="54">
        <f t="shared" si="34"/>
        <v>353.04098598708032</v>
      </c>
      <c r="BE44" s="50">
        <f>(1-$B$10)*B44</f>
        <v>2017.5398153897877</v>
      </c>
      <c r="BF44" s="51">
        <f t="shared" si="13"/>
        <v>5.9780861572855324</v>
      </c>
      <c r="BG44" s="51">
        <f t="shared" si="46"/>
        <v>240.29376177965855</v>
      </c>
      <c r="BH44" s="50">
        <f t="shared" si="14"/>
        <v>84833.54658523525</v>
      </c>
      <c r="BI44" s="50">
        <f>(1-$B$10)*BH44</f>
        <v>83561.043386456717</v>
      </c>
      <c r="BJ44" s="52">
        <f t="shared" si="35"/>
        <v>44461.452370435647</v>
      </c>
      <c r="BK44" s="50">
        <f t="shared" si="47"/>
        <v>15211.893976679981</v>
      </c>
      <c r="BL44" s="52">
        <f t="shared" si="36"/>
        <v>23887.697039341088</v>
      </c>
      <c r="BM44" s="50">
        <f>$B$8*BL44</f>
        <v>6687.3870684707945</v>
      </c>
      <c r="BN44" s="50">
        <f t="shared" si="37"/>
        <v>76873.656317985922</v>
      </c>
    </row>
    <row r="45" spans="1:66" x14ac:dyDescent="0.25">
      <c r="A45" s="1">
        <v>29</v>
      </c>
      <c r="B45" s="3">
        <f t="shared" si="38"/>
        <v>2089.229047408714</v>
      </c>
      <c r="C45" s="48">
        <f t="shared" si="15"/>
        <v>392.01291384586551</v>
      </c>
      <c r="D45" s="47">
        <f t="shared" si="0"/>
        <v>411.61355953815882</v>
      </c>
      <c r="E45" s="8">
        <f>(1-$B$10)*B45</f>
        <v>2057.8906116975832</v>
      </c>
      <c r="F45" s="19">
        <f t="shared" si="1"/>
        <v>5.2495480098054106</v>
      </c>
      <c r="G45" s="7">
        <f t="shared" si="39"/>
        <v>235.21536766661589</v>
      </c>
      <c r="H45" s="8">
        <f t="shared" si="2"/>
        <v>96817.834743332511</v>
      </c>
      <c r="I45" s="8">
        <f>(1-$B$10)*H45</f>
        <v>95365.567222182523</v>
      </c>
      <c r="J45" s="8">
        <f t="shared" si="40"/>
        <v>46550.68141784436</v>
      </c>
      <c r="K45" s="8">
        <f t="shared" si="16"/>
        <v>48814.885804338162</v>
      </c>
      <c r="L45" s="8">
        <f>$B$8*K45</f>
        <v>13665.780989234036</v>
      </c>
      <c r="M45" s="8">
        <f t="shared" si="17"/>
        <v>81699.786232948492</v>
      </c>
      <c r="N45" s="58">
        <f t="shared" si="18"/>
        <v>222.65399572921473</v>
      </c>
      <c r="O45" s="57">
        <f t="shared" si="19"/>
        <v>233.78669551567546</v>
      </c>
      <c r="P45" s="57">
        <f t="shared" si="3"/>
        <v>4.6757339103135092</v>
      </c>
      <c r="Q45" s="57">
        <f>P45*$B$9</f>
        <v>0.87265123509518638</v>
      </c>
      <c r="R45" s="57">
        <f t="shared" si="20"/>
        <v>3.8030826752183229</v>
      </c>
      <c r="S45" s="57">
        <f t="shared" si="4"/>
        <v>229.11096160536195</v>
      </c>
      <c r="T45" s="5">
        <f>(1-$B$10)*B45</f>
        <v>2057.8906116975832</v>
      </c>
      <c r="U45" s="6">
        <f t="shared" si="5"/>
        <v>9.242549656285215</v>
      </c>
      <c r="V45" s="6">
        <f t="shared" si="21"/>
        <v>388.7511360280422</v>
      </c>
      <c r="W45" s="6">
        <f>(1-$B$10)*(V45*R45)/S45</f>
        <v>6.3562036034403855</v>
      </c>
      <c r="X45" s="6">
        <f t="shared" si="6"/>
        <v>395.1073396314826</v>
      </c>
      <c r="Y45" s="13">
        <f t="shared" si="7"/>
        <v>90523.422520305321</v>
      </c>
      <c r="Z45" s="13">
        <f>(1-$B$10)*Y45</f>
        <v>89165.571182500746</v>
      </c>
      <c r="AA45" s="13">
        <f t="shared" si="22"/>
        <v>46550.68141784436</v>
      </c>
      <c r="AB45" s="13">
        <f t="shared" si="41"/>
        <v>16650.737306196435</v>
      </c>
      <c r="AC45" s="13">
        <f t="shared" si="23"/>
        <v>25964.15245845995</v>
      </c>
      <c r="AD45" s="13">
        <f>$B$8*AC45</f>
        <v>7268.6930476617717</v>
      </c>
      <c r="AE45" s="13">
        <f t="shared" si="24"/>
        <v>81896.878134838975</v>
      </c>
      <c r="AF45" s="45">
        <f t="shared" si="42"/>
        <v>392.01291384586551</v>
      </c>
      <c r="AG45" s="44">
        <f t="shared" si="25"/>
        <v>411.61355953815882</v>
      </c>
      <c r="AH45" s="44">
        <f t="shared" si="26"/>
        <v>8.2322711907631767</v>
      </c>
      <c r="AI45" s="44">
        <f>$B$9*AH45</f>
        <v>1.5364222515768278</v>
      </c>
      <c r="AJ45" s="44">
        <f t="shared" si="27"/>
        <v>8.2322711907631767</v>
      </c>
      <c r="AK45" s="44">
        <f t="shared" si="28"/>
        <v>411.61355953815882</v>
      </c>
      <c r="AL45" s="16">
        <f>(1-$B$10)*B45</f>
        <v>2057.8906116975832</v>
      </c>
      <c r="AM45" s="17">
        <f t="shared" si="8"/>
        <v>5.2495480098054106</v>
      </c>
      <c r="AN45" s="17">
        <f t="shared" si="43"/>
        <v>220.7362168215947</v>
      </c>
      <c r="AO45" s="16">
        <f t="shared" si="9"/>
        <v>1817.1603984984681</v>
      </c>
      <c r="AP45" s="16">
        <f t="shared" si="10"/>
        <v>339.14403525358534</v>
      </c>
      <c r="AQ45" s="17">
        <f>IF($B$13="JA",AP45/(AX45/AN45),IF($B$13="NEIN",0,"FEHLER"))</f>
        <v>0.90340548109681584</v>
      </c>
      <c r="AR45" s="16">
        <f t="shared" si="11"/>
        <v>90858.019924923399</v>
      </c>
      <c r="AS45" s="16">
        <f>(1-$B$10)*AR45</f>
        <v>89495.149626049548</v>
      </c>
      <c r="AT45" s="15">
        <f t="shared" si="29"/>
        <v>46550.68141784436</v>
      </c>
      <c r="AU45" s="16">
        <f t="shared" si="44"/>
        <v>20475.339901175095</v>
      </c>
      <c r="AV45" s="16">
        <f t="shared" si="30"/>
        <v>22469.128307030092</v>
      </c>
      <c r="AW45" s="16">
        <f>$B$8*AV45</f>
        <v>6290.2571910878878</v>
      </c>
      <c r="AX45" s="16">
        <f t="shared" si="31"/>
        <v>82865.748399708071</v>
      </c>
      <c r="AY45" s="55">
        <f t="shared" si="45"/>
        <v>353.04098598708032</v>
      </c>
      <c r="AZ45" s="54">
        <f t="shared" si="32"/>
        <v>370.69303528643434</v>
      </c>
      <c r="BA45" s="54">
        <f t="shared" si="12"/>
        <v>7.4138607057286867</v>
      </c>
      <c r="BB45" s="54">
        <f>BA45*$B$9</f>
        <v>1.3836789744188016</v>
      </c>
      <c r="BC45" s="54">
        <f t="shared" si="33"/>
        <v>6.0301817313098853</v>
      </c>
      <c r="BD45" s="54">
        <f t="shared" si="34"/>
        <v>369.30935631201555</v>
      </c>
      <c r="BE45" s="50">
        <f>(1-$B$10)*B45</f>
        <v>2057.8906116975832</v>
      </c>
      <c r="BF45" s="51">
        <f t="shared" si="13"/>
        <v>5.8290416506283282</v>
      </c>
      <c r="BG45" s="51">
        <f t="shared" si="46"/>
        <v>246.12280343028689</v>
      </c>
      <c r="BH45" s="50">
        <f t="shared" si="14"/>
        <v>90895.454108547987</v>
      </c>
      <c r="BI45" s="50">
        <f>(1-$B$10)*BH45</f>
        <v>89532.022296919764</v>
      </c>
      <c r="BJ45" s="52">
        <f t="shared" si="35"/>
        <v>46550.68141784436</v>
      </c>
      <c r="BK45" s="50">
        <f t="shared" si="47"/>
        <v>16696.059209584073</v>
      </c>
      <c r="BL45" s="52">
        <f t="shared" si="36"/>
        <v>26285.281669491331</v>
      </c>
      <c r="BM45" s="50">
        <f>$B$8*BL45</f>
        <v>7358.5935236106552</v>
      </c>
      <c r="BN45" s="50">
        <f t="shared" si="37"/>
        <v>82173.428773309104</v>
      </c>
    </row>
    <row r="46" spans="1:66" x14ac:dyDescent="0.25">
      <c r="A46" s="1">
        <v>30</v>
      </c>
      <c r="B46" s="3">
        <f t="shared" si="38"/>
        <v>2131.0136283568881</v>
      </c>
      <c r="C46" s="48">
        <f t="shared" si="15"/>
        <v>411.61355953815882</v>
      </c>
      <c r="D46" s="47">
        <f t="shared" si="0"/>
        <v>432.19423751506679</v>
      </c>
      <c r="E46" s="8">
        <f>(1-$B$10)*B46</f>
        <v>2099.0484239315347</v>
      </c>
      <c r="F46" s="19">
        <f t="shared" si="1"/>
        <v>5.0995609238109694</v>
      </c>
      <c r="G46" s="7">
        <f t="shared" si="39"/>
        <v>240.31492859042686</v>
      </c>
      <c r="H46" s="8">
        <f t="shared" si="2"/>
        <v>103862.72732562726</v>
      </c>
      <c r="I46" s="8">
        <f>(1-$B$10)*H46</f>
        <v>102304.78641574286</v>
      </c>
      <c r="J46" s="8">
        <f t="shared" si="40"/>
        <v>48681.695046201246</v>
      </c>
      <c r="K46" s="8">
        <f t="shared" si="16"/>
        <v>53623.091369541609</v>
      </c>
      <c r="L46" s="8">
        <f>$B$8*K46</f>
        <v>15011.843427414462</v>
      </c>
      <c r="M46" s="8">
        <f t="shared" si="17"/>
        <v>87292.942988328388</v>
      </c>
      <c r="N46" s="58">
        <f t="shared" si="18"/>
        <v>229.11096160536195</v>
      </c>
      <c r="O46" s="57">
        <f t="shared" si="19"/>
        <v>240.56650968563005</v>
      </c>
      <c r="P46" s="57">
        <f t="shared" si="3"/>
        <v>4.8113301937126014</v>
      </c>
      <c r="Q46" s="57">
        <f>P46*$B$9</f>
        <v>0.89795812091294691</v>
      </c>
      <c r="R46" s="57">
        <f t="shared" si="20"/>
        <v>3.9133720727996546</v>
      </c>
      <c r="S46" s="57">
        <f t="shared" si="4"/>
        <v>235.75517949191746</v>
      </c>
      <c r="T46" s="5">
        <f>(1-$B$10)*B46</f>
        <v>2099.0484239315347</v>
      </c>
      <c r="U46" s="6">
        <f t="shared" si="5"/>
        <v>9.1617110295538566</v>
      </c>
      <c r="V46" s="6">
        <f t="shared" si="21"/>
        <v>404.26905066103643</v>
      </c>
      <c r="W46" s="6">
        <f>(1-$B$10)*(V46*R46)/S46</f>
        <v>6.6099263987378976</v>
      </c>
      <c r="X46" s="6">
        <f t="shared" si="6"/>
        <v>410.87897705977434</v>
      </c>
      <c r="Y46" s="13">
        <f t="shared" si="7"/>
        <v>96866.846986182543</v>
      </c>
      <c r="Z46" s="13">
        <f>(1-$B$10)*Y46</f>
        <v>95413.8442813898</v>
      </c>
      <c r="AA46" s="13">
        <f t="shared" si="22"/>
        <v>48681.695046201246</v>
      </c>
      <c r="AB46" s="13">
        <f t="shared" si="41"/>
        <v>18232.792518950562</v>
      </c>
      <c r="AC46" s="13">
        <f t="shared" si="23"/>
        <v>28499.356716237991</v>
      </c>
      <c r="AD46" s="13">
        <f>$B$8*AC46</f>
        <v>7978.4262689712723</v>
      </c>
      <c r="AE46" s="13">
        <f t="shared" si="24"/>
        <v>87435.418012418522</v>
      </c>
      <c r="AF46" s="45">
        <f t="shared" si="42"/>
        <v>411.61355953815882</v>
      </c>
      <c r="AG46" s="44">
        <f t="shared" si="25"/>
        <v>432.19423751506679</v>
      </c>
      <c r="AH46" s="44">
        <f t="shared" si="26"/>
        <v>8.6438847503013356</v>
      </c>
      <c r="AI46" s="44">
        <f>$B$9*AH46</f>
        <v>1.6132433641556692</v>
      </c>
      <c r="AJ46" s="44">
        <f t="shared" si="27"/>
        <v>8.6438847503013356</v>
      </c>
      <c r="AK46" s="44">
        <f t="shared" si="28"/>
        <v>432.19423751506679</v>
      </c>
      <c r="AL46" s="16">
        <f>(1-$B$10)*B46</f>
        <v>2099.0484239315347</v>
      </c>
      <c r="AM46" s="17">
        <f t="shared" si="8"/>
        <v>5.0995609238109694</v>
      </c>
      <c r="AN46" s="17">
        <f t="shared" si="43"/>
        <v>224.93237226430884</v>
      </c>
      <c r="AO46" s="16">
        <f t="shared" si="9"/>
        <v>1944.2895024645622</v>
      </c>
      <c r="AP46" s="16">
        <f t="shared" si="10"/>
        <v>362.8706569391889</v>
      </c>
      <c r="AQ46" s="17">
        <f>IF($B$13="JA",AP46/(AX46/AN46),IF($B$13="NEIN",0,"FEHLER"))</f>
        <v>0.92236682316165186</v>
      </c>
      <c r="AR46" s="16">
        <f t="shared" si="11"/>
        <v>97214.475123228112</v>
      </c>
      <c r="AS46" s="16">
        <f>(1-$B$10)*AR46</f>
        <v>95756.257996379689</v>
      </c>
      <c r="AT46" s="15">
        <f t="shared" si="29"/>
        <v>48681.695046201246</v>
      </c>
      <c r="AU46" s="16">
        <f t="shared" si="44"/>
        <v>22419.629403639658</v>
      </c>
      <c r="AV46" s="16">
        <f t="shared" si="30"/>
        <v>24654.933546538785</v>
      </c>
      <c r="AW46" s="16">
        <f>$B$8*AV46</f>
        <v>6902.1757728085358</v>
      </c>
      <c r="AX46" s="16">
        <f t="shared" si="31"/>
        <v>88491.211566631959</v>
      </c>
      <c r="AY46" s="55">
        <f t="shared" si="45"/>
        <v>369.30935631201555</v>
      </c>
      <c r="AZ46" s="54">
        <f t="shared" si="32"/>
        <v>387.77482412761634</v>
      </c>
      <c r="BA46" s="54">
        <f t="shared" si="12"/>
        <v>7.7554964825523269</v>
      </c>
      <c r="BB46" s="54">
        <f>BA46*$B$9</f>
        <v>1.4474398488219096</v>
      </c>
      <c r="BC46" s="54">
        <f t="shared" si="33"/>
        <v>6.3080566337304171</v>
      </c>
      <c r="BD46" s="54">
        <f t="shared" si="34"/>
        <v>386.32738427879445</v>
      </c>
      <c r="BE46" s="50">
        <f>(1-$B$10)*B46</f>
        <v>2099.0484239315347</v>
      </c>
      <c r="BF46" s="51">
        <f t="shared" si="13"/>
        <v>5.6837130932532558</v>
      </c>
      <c r="BG46" s="51">
        <f t="shared" si="46"/>
        <v>251.80651652354015</v>
      </c>
      <c r="BH46" s="50">
        <f t="shared" si="14"/>
        <v>97279.7528728943</v>
      </c>
      <c r="BI46" s="50">
        <f>(1-$B$10)*BH46</f>
        <v>95820.55657980089</v>
      </c>
      <c r="BJ46" s="52">
        <f t="shared" si="35"/>
        <v>48681.695046201246</v>
      </c>
      <c r="BK46" s="50">
        <f t="shared" si="47"/>
        <v>18284.468976556938</v>
      </c>
      <c r="BL46" s="52">
        <f t="shared" si="36"/>
        <v>28854.392557042705</v>
      </c>
      <c r="BM46" s="50">
        <f>$B$8*BL46</f>
        <v>8077.8189432307827</v>
      </c>
      <c r="BN46" s="50">
        <f t="shared" si="37"/>
        <v>87742.737636570106</v>
      </c>
    </row>
    <row r="47" spans="1:66" x14ac:dyDescent="0.25">
      <c r="A47" s="1">
        <v>31</v>
      </c>
      <c r="B47" s="3">
        <f t="shared" si="38"/>
        <v>2173.633900924026</v>
      </c>
      <c r="C47" s="48">
        <f t="shared" si="15"/>
        <v>432.19423751506679</v>
      </c>
      <c r="D47" s="47">
        <f t="shared" si="0"/>
        <v>453.80394939082015</v>
      </c>
      <c r="E47" s="8">
        <f>(1-$B$10)*B47</f>
        <v>2141.0293924101657</v>
      </c>
      <c r="F47" s="19">
        <f t="shared" si="1"/>
        <v>4.953859183130656</v>
      </c>
      <c r="G47" s="7">
        <f t="shared" si="39"/>
        <v>245.26878777355751</v>
      </c>
      <c r="H47" s="8">
        <f t="shared" si="2"/>
        <v>111303.94455393931</v>
      </c>
      <c r="I47" s="8">
        <f>(1-$B$10)*H47</f>
        <v>109634.38538563022</v>
      </c>
      <c r="J47" s="8">
        <f t="shared" si="40"/>
        <v>50855.328947125272</v>
      </c>
      <c r="K47" s="8">
        <f t="shared" si="16"/>
        <v>58779.056438504944</v>
      </c>
      <c r="L47" s="8">
        <f>$B$8*K47</f>
        <v>16455.261521292952</v>
      </c>
      <c r="M47" s="8">
        <f t="shared" si="17"/>
        <v>93179.123864337264</v>
      </c>
      <c r="N47" s="58">
        <f t="shared" si="18"/>
        <v>235.75517949191746</v>
      </c>
      <c r="O47" s="57">
        <f t="shared" si="19"/>
        <v>247.54293846651333</v>
      </c>
      <c r="P47" s="57">
        <f t="shared" si="3"/>
        <v>4.9508587693302664</v>
      </c>
      <c r="Q47" s="57">
        <f>P47*$B$9</f>
        <v>0.92399890641942228</v>
      </c>
      <c r="R47" s="57">
        <f t="shared" si="20"/>
        <v>4.0268598629108441</v>
      </c>
      <c r="S47" s="57">
        <f t="shared" si="4"/>
        <v>242.59207969718307</v>
      </c>
      <c r="T47" s="5">
        <f>(1-$B$10)*B47</f>
        <v>2141.0293924101657</v>
      </c>
      <c r="U47" s="6">
        <f t="shared" si="5"/>
        <v>9.081579446204989</v>
      </c>
      <c r="V47" s="6">
        <f t="shared" si="21"/>
        <v>419.96055650597935</v>
      </c>
      <c r="W47" s="6">
        <f>(1-$B$10)*(V47*R47)/S47</f>
        <v>6.8664874650644983</v>
      </c>
      <c r="X47" s="6">
        <f t="shared" si="6"/>
        <v>426.82704397104385</v>
      </c>
      <c r="Y47" s="13">
        <f t="shared" si="7"/>
        <v>103544.86026793653</v>
      </c>
      <c r="Z47" s="13">
        <f>(1-$B$10)*Y47</f>
        <v>101991.68736391747</v>
      </c>
      <c r="AA47" s="13">
        <f t="shared" si="22"/>
        <v>50855.328947125272</v>
      </c>
      <c r="AB47" s="13">
        <f t="shared" si="41"/>
        <v>19923.914827950193</v>
      </c>
      <c r="AC47" s="13">
        <f t="shared" si="23"/>
        <v>31212.443588842008</v>
      </c>
      <c r="AD47" s="13">
        <f>$B$8*AC47</f>
        <v>8737.9579240156727</v>
      </c>
      <c r="AE47" s="13">
        <f t="shared" si="24"/>
        <v>93253.729439901799</v>
      </c>
      <c r="AF47" s="45">
        <f t="shared" si="42"/>
        <v>432.19423751506679</v>
      </c>
      <c r="AG47" s="44">
        <f t="shared" si="25"/>
        <v>453.80394939082015</v>
      </c>
      <c r="AH47" s="44">
        <f t="shared" si="26"/>
        <v>9.0760789878164037</v>
      </c>
      <c r="AI47" s="44">
        <f>$B$9*AH47</f>
        <v>1.6939055323634529</v>
      </c>
      <c r="AJ47" s="44">
        <f t="shared" si="27"/>
        <v>9.0760789878164037</v>
      </c>
      <c r="AK47" s="44">
        <f t="shared" si="28"/>
        <v>453.80394939082015</v>
      </c>
      <c r="AL47" s="16">
        <f>(1-$B$10)*B47</f>
        <v>2141.0293924101657</v>
      </c>
      <c r="AM47" s="17">
        <f t="shared" si="8"/>
        <v>4.953859183130656</v>
      </c>
      <c r="AN47" s="17">
        <f t="shared" si="43"/>
        <v>228.96386462427785</v>
      </c>
      <c r="AO47" s="16">
        <f t="shared" si="9"/>
        <v>2078.0941206856478</v>
      </c>
      <c r="AP47" s="16">
        <f t="shared" si="10"/>
        <v>387.84315699838089</v>
      </c>
      <c r="AQ47" s="17">
        <f>IF($B$13="JA",AP47/(AX47/AN47),IF($B$13="NEIN",0,"FEHLER"))</f>
        <v>0.94068443818994418</v>
      </c>
      <c r="AR47" s="16">
        <f t="shared" si="11"/>
        <v>103904.70603428238</v>
      </c>
      <c r="AS47" s="16">
        <f>(1-$B$10)*AR47</f>
        <v>102346.13544376814</v>
      </c>
      <c r="AT47" s="15">
        <f t="shared" si="29"/>
        <v>50855.328947125272</v>
      </c>
      <c r="AU47" s="16">
        <f t="shared" si="44"/>
        <v>24497.723524325305</v>
      </c>
      <c r="AV47" s="16">
        <f t="shared" si="30"/>
        <v>26993.082972317567</v>
      </c>
      <c r="AW47" s="16">
        <f>$B$8*AV47</f>
        <v>7556.7432770913492</v>
      </c>
      <c r="AX47" s="16">
        <f t="shared" si="31"/>
        <v>94401.54900967842</v>
      </c>
      <c r="AY47" s="55">
        <f t="shared" si="45"/>
        <v>386.32738427879445</v>
      </c>
      <c r="AZ47" s="54">
        <f t="shared" si="32"/>
        <v>405.64375349273422</v>
      </c>
      <c r="BA47" s="54">
        <f t="shared" si="12"/>
        <v>8.1128750698546845</v>
      </c>
      <c r="BB47" s="54">
        <f>BA47*$B$9</f>
        <v>1.5141388679679895</v>
      </c>
      <c r="BC47" s="54">
        <f t="shared" si="33"/>
        <v>6.5987362018866946</v>
      </c>
      <c r="BD47" s="54">
        <f t="shared" si="34"/>
        <v>404.12961462476625</v>
      </c>
      <c r="BE47" s="50">
        <f>(1-$B$10)*B47</f>
        <v>2141.0293924101657</v>
      </c>
      <c r="BF47" s="51">
        <f t="shared" si="13"/>
        <v>5.5420078398198269</v>
      </c>
      <c r="BG47" s="51">
        <f t="shared" si="46"/>
        <v>257.34852436335996</v>
      </c>
      <c r="BH47" s="50">
        <f t="shared" si="14"/>
        <v>104002.15997521693</v>
      </c>
      <c r="BI47" s="50">
        <f>(1-$B$10)*BH47</f>
        <v>102442.12757558867</v>
      </c>
      <c r="BJ47" s="52">
        <f t="shared" si="35"/>
        <v>50855.328947125272</v>
      </c>
      <c r="BK47" s="50">
        <f t="shared" si="47"/>
        <v>19982.644000775563</v>
      </c>
      <c r="BL47" s="52">
        <f t="shared" si="36"/>
        <v>31604.15462768784</v>
      </c>
      <c r="BM47" s="50">
        <f>$B$8*BL47</f>
        <v>8847.6178603184799</v>
      </c>
      <c r="BN47" s="50">
        <f t="shared" si="37"/>
        <v>93594.509715270193</v>
      </c>
    </row>
    <row r="48" spans="1:66" x14ac:dyDescent="0.25">
      <c r="A48" s="1">
        <v>32</v>
      </c>
      <c r="B48" s="3">
        <f t="shared" si="38"/>
        <v>2217.1065789425065</v>
      </c>
      <c r="C48" s="48">
        <f t="shared" si="15"/>
        <v>453.80394939082015</v>
      </c>
      <c r="D48" s="47">
        <f t="shared" si="0"/>
        <v>476.49414686036118</v>
      </c>
      <c r="E48" s="8">
        <f>(1-$B$10)*B48</f>
        <v>2183.8499802583688</v>
      </c>
      <c r="F48" s="19">
        <f t="shared" si="1"/>
        <v>4.8123203493269227</v>
      </c>
      <c r="G48" s="7">
        <f t="shared" si="39"/>
        <v>250.08110812288442</v>
      </c>
      <c r="H48" s="8">
        <f t="shared" si="2"/>
        <v>119162.18426090755</v>
      </c>
      <c r="I48" s="8">
        <f>(1-$B$10)*H48</f>
        <v>117374.75149699394</v>
      </c>
      <c r="J48" s="8">
        <f t="shared" si="40"/>
        <v>53072.435526067777</v>
      </c>
      <c r="K48" s="8">
        <f t="shared" si="16"/>
        <v>64302.31597092616</v>
      </c>
      <c r="L48" s="8">
        <f>$B$8*K48</f>
        <v>18001.504104330186</v>
      </c>
      <c r="M48" s="8">
        <f t="shared" si="17"/>
        <v>99373.247392663747</v>
      </c>
      <c r="N48" s="58">
        <f t="shared" si="18"/>
        <v>242.59207969718307</v>
      </c>
      <c r="O48" s="57">
        <f t="shared" si="19"/>
        <v>254.72168368204223</v>
      </c>
      <c r="P48" s="57">
        <f t="shared" si="3"/>
        <v>5.0944336736408449</v>
      </c>
      <c r="Q48" s="57">
        <f>P48*$B$9</f>
        <v>0.95079487470558566</v>
      </c>
      <c r="R48" s="57">
        <f t="shared" si="20"/>
        <v>4.1436387989352594</v>
      </c>
      <c r="S48" s="57">
        <f t="shared" si="4"/>
        <v>249.62725000840138</v>
      </c>
      <c r="T48" s="5">
        <f>(1-$B$10)*B48</f>
        <v>2183.8499802583688</v>
      </c>
      <c r="U48" s="6">
        <f t="shared" si="5"/>
        <v>9.0021487221857033</v>
      </c>
      <c r="V48" s="6">
        <f t="shared" si="21"/>
        <v>435.82919269322957</v>
      </c>
      <c r="W48" s="6">
        <f>(1-$B$10)*(V48*R48)/S48</f>
        <v>7.1259446683170422</v>
      </c>
      <c r="X48" s="6">
        <f t="shared" si="6"/>
        <v>442.95513736154663</v>
      </c>
      <c r="Y48" s="13">
        <f t="shared" si="7"/>
        <v>110573.67281665657</v>
      </c>
      <c r="Z48" s="13">
        <f>(1-$B$10)*Y48</f>
        <v>108915.06772440672</v>
      </c>
      <c r="AA48" s="13">
        <f t="shared" si="22"/>
        <v>53072.435526067777</v>
      </c>
      <c r="AB48" s="13">
        <f t="shared" si="41"/>
        <v>21729.833580502491</v>
      </c>
      <c r="AC48" s="13">
        <f t="shared" si="23"/>
        <v>34112.798617836452</v>
      </c>
      <c r="AD48" s="13">
        <f>$B$8*AC48</f>
        <v>9549.9155054823332</v>
      </c>
      <c r="AE48" s="13">
        <f t="shared" si="24"/>
        <v>99365.152218924384</v>
      </c>
      <c r="AF48" s="45">
        <f t="shared" si="42"/>
        <v>453.80394939082015</v>
      </c>
      <c r="AG48" s="44">
        <f t="shared" si="25"/>
        <v>476.49414686036118</v>
      </c>
      <c r="AH48" s="44">
        <f t="shared" si="26"/>
        <v>9.5298829372072245</v>
      </c>
      <c r="AI48" s="44">
        <f>$B$9*AH48</f>
        <v>1.7786008089816256</v>
      </c>
      <c r="AJ48" s="44">
        <f t="shared" si="27"/>
        <v>9.5298829372072245</v>
      </c>
      <c r="AK48" s="44">
        <f t="shared" si="28"/>
        <v>476.49414686036118</v>
      </c>
      <c r="AL48" s="16">
        <f>(1-$B$10)*B48</f>
        <v>2183.8499802583688</v>
      </c>
      <c r="AM48" s="17">
        <f t="shared" si="8"/>
        <v>4.8123203493269227</v>
      </c>
      <c r="AN48" s="17">
        <f t="shared" si="43"/>
        <v>232.83550053541481</v>
      </c>
      <c r="AO48" s="16">
        <f t="shared" si="9"/>
        <v>2218.8950637285529</v>
      </c>
      <c r="AP48" s="16">
        <f t="shared" si="10"/>
        <v>414.12140961193052</v>
      </c>
      <c r="AQ48" s="17">
        <f>IF($B$13="JA",AP48/(AX48/AN48),IF($B$13="NEIN",0,"FEHLER"))</f>
        <v>0.95837294800875827</v>
      </c>
      <c r="AR48" s="16">
        <f t="shared" si="11"/>
        <v>110944.75318642765</v>
      </c>
      <c r="AS48" s="16">
        <f>(1-$B$10)*AR48</f>
        <v>109280.58188863123</v>
      </c>
      <c r="AT48" s="15">
        <f t="shared" si="29"/>
        <v>53072.435526067777</v>
      </c>
      <c r="AU48" s="16">
        <f t="shared" si="44"/>
        <v>26716.618588053858</v>
      </c>
      <c r="AV48" s="16">
        <f t="shared" si="30"/>
        <v>29491.527774509599</v>
      </c>
      <c r="AW48" s="16">
        <f>$B$8*AV48</f>
        <v>8256.1856483651572</v>
      </c>
      <c r="AX48" s="16">
        <f t="shared" si="31"/>
        <v>100610.27483065413</v>
      </c>
      <c r="AY48" s="55">
        <f t="shared" si="45"/>
        <v>404.12961462476625</v>
      </c>
      <c r="AZ48" s="54">
        <f t="shared" si="32"/>
        <v>424.33609535600459</v>
      </c>
      <c r="BA48" s="54">
        <f t="shared" si="12"/>
        <v>8.4867219071200921</v>
      </c>
      <c r="BB48" s="54">
        <f>BA48*$B$9</f>
        <v>1.5839114235782408</v>
      </c>
      <c r="BC48" s="54">
        <f t="shared" si="33"/>
        <v>6.9028104835418516</v>
      </c>
      <c r="BD48" s="54">
        <f t="shared" si="34"/>
        <v>422.75218393242631</v>
      </c>
      <c r="BE48" s="50">
        <f>(1-$B$10)*B48</f>
        <v>2183.8499802583688</v>
      </c>
      <c r="BF48" s="51">
        <f t="shared" si="13"/>
        <v>5.4038355548035506</v>
      </c>
      <c r="BG48" s="51">
        <f t="shared" si="46"/>
        <v>262.75235991816351</v>
      </c>
      <c r="BH48" s="50">
        <f t="shared" si="14"/>
        <v>111079.13398880254</v>
      </c>
      <c r="BI48" s="50">
        <f>(1-$B$10)*BH48</f>
        <v>109412.9469789705</v>
      </c>
      <c r="BJ48" s="52">
        <f t="shared" si="35"/>
        <v>53072.435526067777</v>
      </c>
      <c r="BK48" s="50">
        <f t="shared" si="47"/>
        <v>21796.373745394023</v>
      </c>
      <c r="BL48" s="52">
        <f t="shared" si="36"/>
        <v>34544.137707508708</v>
      </c>
      <c r="BM48" s="50">
        <f>$B$8*BL48</f>
        <v>9670.6693582145417</v>
      </c>
      <c r="BN48" s="50">
        <f t="shared" si="37"/>
        <v>99742.277620755965</v>
      </c>
    </row>
    <row r="49" spans="1:66" x14ac:dyDescent="0.25">
      <c r="A49" s="1">
        <v>33</v>
      </c>
      <c r="B49" s="3">
        <f t="shared" si="38"/>
        <v>2261.4487105213566</v>
      </c>
      <c r="C49" s="48">
        <f t="shared" si="15"/>
        <v>476.49414686036118</v>
      </c>
      <c r="D49" s="47">
        <f t="shared" si="0"/>
        <v>500.31885420337926</v>
      </c>
      <c r="E49" s="8">
        <f>(1-$B$10)*B49</f>
        <v>2227.5269798635363</v>
      </c>
      <c r="F49" s="19">
        <f t="shared" si="1"/>
        <v>4.6748254822032962</v>
      </c>
      <c r="G49" s="7">
        <f t="shared" si="39"/>
        <v>254.75593360508771</v>
      </c>
      <c r="H49" s="8">
        <f t="shared" si="2"/>
        <v>127459.19680280965</v>
      </c>
      <c r="I49" s="8">
        <f>(1-$B$10)*H49</f>
        <v>125547.3088507675</v>
      </c>
      <c r="J49" s="8">
        <f t="shared" si="40"/>
        <v>55333.884236589132</v>
      </c>
      <c r="K49" s="8">
        <f t="shared" si="16"/>
        <v>70213.424614178366</v>
      </c>
      <c r="L49" s="8">
        <f>$B$8*K49</f>
        <v>19656.325472673409</v>
      </c>
      <c r="M49" s="8">
        <f t="shared" si="17"/>
        <v>105890.9833780941</v>
      </c>
      <c r="N49" s="58">
        <f t="shared" si="18"/>
        <v>249.62725000840138</v>
      </c>
      <c r="O49" s="57">
        <f t="shared" si="19"/>
        <v>262.10861250882147</v>
      </c>
      <c r="P49" s="57">
        <f t="shared" si="3"/>
        <v>5.2421722501764298</v>
      </c>
      <c r="Q49" s="57">
        <f>P49*$B$9</f>
        <v>0.97836792607204781</v>
      </c>
      <c r="R49" s="57">
        <f t="shared" si="20"/>
        <v>4.2638043241043819</v>
      </c>
      <c r="S49" s="57">
        <f t="shared" si="4"/>
        <v>256.86644025864501</v>
      </c>
      <c r="T49" s="5">
        <f>(1-$B$10)*B49</f>
        <v>2227.5269798635363</v>
      </c>
      <c r="U49" s="6">
        <f t="shared" si="5"/>
        <v>8.9234127275310176</v>
      </c>
      <c r="V49" s="6">
        <f t="shared" si="21"/>
        <v>451.87855008907763</v>
      </c>
      <c r="W49" s="6">
        <f>(1-$B$10)*(V49*R49)/S49</f>
        <v>7.3883567202911706</v>
      </c>
      <c r="X49" s="6">
        <f t="shared" si="6"/>
        <v>459.26690680936883</v>
      </c>
      <c r="Y49" s="13">
        <f t="shared" si="7"/>
        <v>117970.25548072143</v>
      </c>
      <c r="Z49" s="13">
        <f>(1-$B$10)*Y49</f>
        <v>116200.70164851061</v>
      </c>
      <c r="AA49" s="13">
        <f t="shared" si="22"/>
        <v>55333.884236589132</v>
      </c>
      <c r="AB49" s="13">
        <f t="shared" si="41"/>
        <v>23656.555296342318</v>
      </c>
      <c r="AC49" s="13">
        <f t="shared" si="23"/>
        <v>37210.262115579164</v>
      </c>
      <c r="AD49" s="13">
        <f>$B$8*AC49</f>
        <v>10417.053819642579</v>
      </c>
      <c r="AE49" s="13">
        <f t="shared" si="24"/>
        <v>105783.64782886804</v>
      </c>
      <c r="AF49" s="45">
        <f t="shared" si="42"/>
        <v>476.49414686036118</v>
      </c>
      <c r="AG49" s="44">
        <f t="shared" si="25"/>
        <v>500.31885420337926</v>
      </c>
      <c r="AH49" s="44">
        <f t="shared" si="26"/>
        <v>10.006377084067585</v>
      </c>
      <c r="AI49" s="44">
        <f>$B$9*AH49</f>
        <v>1.867530849430707</v>
      </c>
      <c r="AJ49" s="44">
        <f t="shared" si="27"/>
        <v>10.006377084067585</v>
      </c>
      <c r="AK49" s="44">
        <f t="shared" si="28"/>
        <v>500.31885420337926</v>
      </c>
      <c r="AL49" s="16">
        <f>(1-$B$10)*B49</f>
        <v>2227.5269798635363</v>
      </c>
      <c r="AM49" s="17">
        <f t="shared" si="8"/>
        <v>4.6748254822032962</v>
      </c>
      <c r="AN49" s="17">
        <f t="shared" si="43"/>
        <v>236.55195306960934</v>
      </c>
      <c r="AO49" s="16">
        <f t="shared" si="9"/>
        <v>2367.02804238717</v>
      </c>
      <c r="AP49" s="16">
        <f t="shared" si="10"/>
        <v>441.76806985058028</v>
      </c>
      <c r="AQ49" s="17">
        <f>IF($B$13="JA",AP49/(AX49/AN49),IF($B$13="NEIN",0,"FEHLER"))</f>
        <v>0.97544674440846713</v>
      </c>
      <c r="AR49" s="16">
        <f t="shared" si="11"/>
        <v>118351.40211935849</v>
      </c>
      <c r="AS49" s="16">
        <f>(1-$B$10)*AR49</f>
        <v>116576.13108756811</v>
      </c>
      <c r="AT49" s="15">
        <f t="shared" si="29"/>
        <v>55333.884236589132</v>
      </c>
      <c r="AU49" s="16">
        <f t="shared" si="44"/>
        <v>29083.646630441028</v>
      </c>
      <c r="AV49" s="16">
        <f t="shared" si="30"/>
        <v>32158.600220537948</v>
      </c>
      <c r="AW49" s="16">
        <f>$B$8*AV49</f>
        <v>9002.8355140625808</v>
      </c>
      <c r="AX49" s="16">
        <f t="shared" si="31"/>
        <v>107131.52750365494</v>
      </c>
      <c r="AY49" s="55">
        <f t="shared" si="45"/>
        <v>422.75218393242631</v>
      </c>
      <c r="AZ49" s="54">
        <f t="shared" si="32"/>
        <v>443.88979312904763</v>
      </c>
      <c r="BA49" s="54">
        <f t="shared" si="12"/>
        <v>8.8777958625809532</v>
      </c>
      <c r="BB49" s="54">
        <f>BA49*$B$9</f>
        <v>1.6568991463170648</v>
      </c>
      <c r="BC49" s="54">
        <f t="shared" si="33"/>
        <v>7.2208967162638888</v>
      </c>
      <c r="BD49" s="54">
        <f t="shared" si="34"/>
        <v>442.23289398273056</v>
      </c>
      <c r="BE49" s="50">
        <f>(1-$B$10)*B49</f>
        <v>2227.5269798635363</v>
      </c>
      <c r="BF49" s="51">
        <f t="shared" si="13"/>
        <v>5.2691081549080527</v>
      </c>
      <c r="BG49" s="51">
        <f t="shared" si="46"/>
        <v>268.02146807307156</v>
      </c>
      <c r="BH49" s="50">
        <f t="shared" si="14"/>
        <v>118527.90947545446</v>
      </c>
      <c r="BI49" s="50">
        <f>(1-$B$10)*BH49</f>
        <v>116749.99083332265</v>
      </c>
      <c r="BJ49" s="52">
        <f t="shared" si="35"/>
        <v>55333.884236589132</v>
      </c>
      <c r="BK49" s="50">
        <f t="shared" si="47"/>
        <v>23731.729084091094</v>
      </c>
      <c r="BL49" s="52">
        <f t="shared" si="36"/>
        <v>37684.377512642423</v>
      </c>
      <c r="BM49" s="50">
        <f>$B$8*BL49</f>
        <v>10549.782946693296</v>
      </c>
      <c r="BN49" s="50">
        <f t="shared" si="37"/>
        <v>106200.20788662936</v>
      </c>
    </row>
    <row r="50" spans="1:66" x14ac:dyDescent="0.25">
      <c r="A50" s="1">
        <v>34</v>
      </c>
      <c r="B50" s="3">
        <f t="shared" si="38"/>
        <v>2306.6776847317838</v>
      </c>
      <c r="C50" s="48">
        <f t="shared" si="15"/>
        <v>500.31885420337926</v>
      </c>
      <c r="D50" s="47">
        <f t="shared" si="0"/>
        <v>525.33479691354819</v>
      </c>
      <c r="E50" s="8">
        <f>(1-$B$10)*B50</f>
        <v>2272.0775194608068</v>
      </c>
      <c r="F50" s="19">
        <f t="shared" si="1"/>
        <v>4.54125903985463</v>
      </c>
      <c r="G50" s="7">
        <f t="shared" si="39"/>
        <v>259.29719264494236</v>
      </c>
      <c r="H50" s="8">
        <f t="shared" si="2"/>
        <v>136217.83803838398</v>
      </c>
      <c r="I50" s="8">
        <f>(1-$B$10)*H50</f>
        <v>134174.57046780823</v>
      </c>
      <c r="J50" s="8">
        <f t="shared" si="40"/>
        <v>57640.561921320914</v>
      </c>
      <c r="K50" s="8">
        <f t="shared" si="16"/>
        <v>76534.008546487312</v>
      </c>
      <c r="L50" s="8">
        <f>$B$8*K50</f>
        <v>21425.779898711</v>
      </c>
      <c r="M50" s="8">
        <f t="shared" si="17"/>
        <v>112748.79056909723</v>
      </c>
      <c r="N50" s="58">
        <f t="shared" si="18"/>
        <v>256.86644025864501</v>
      </c>
      <c r="O50" s="57">
        <f t="shared" si="19"/>
        <v>269.70976227157729</v>
      </c>
      <c r="P50" s="57">
        <f t="shared" si="3"/>
        <v>5.394195245431546</v>
      </c>
      <c r="Q50" s="57">
        <f>P50*$B$9</f>
        <v>1.006740595928137</v>
      </c>
      <c r="R50" s="57">
        <f t="shared" si="20"/>
        <v>4.3874546495034092</v>
      </c>
      <c r="S50" s="57">
        <f t="shared" si="4"/>
        <v>264.31556702614574</v>
      </c>
      <c r="T50" s="5">
        <f>(1-$B$10)*B50</f>
        <v>2272.0775194608068</v>
      </c>
      <c r="U50" s="6">
        <f t="shared" si="5"/>
        <v>8.8453653858908048</v>
      </c>
      <c r="V50" s="6">
        <f t="shared" si="21"/>
        <v>468.11227219525966</v>
      </c>
      <c r="W50" s="6">
        <f>(1-$B$10)*(V50*R50)/S50</f>
        <v>7.6537831933886551</v>
      </c>
      <c r="X50" s="6">
        <f t="shared" si="6"/>
        <v>475.76605538864834</v>
      </c>
      <c r="Y50" s="13">
        <f t="shared" si="7"/>
        <v>125752.37470184325</v>
      </c>
      <c r="Z50" s="13">
        <f>(1-$B$10)*Y50</f>
        <v>123866.0890813156</v>
      </c>
      <c r="AA50" s="13">
        <f t="shared" si="22"/>
        <v>57640.561921320914</v>
      </c>
      <c r="AB50" s="13">
        <f t="shared" si="41"/>
        <v>25710.376661475017</v>
      </c>
      <c r="AC50" s="13">
        <f t="shared" si="23"/>
        <v>40515.150498519666</v>
      </c>
      <c r="AD50" s="13">
        <f>$B$8*AC50</f>
        <v>11342.260958632036</v>
      </c>
      <c r="AE50" s="13">
        <f t="shared" si="24"/>
        <v>112523.82812268357</v>
      </c>
      <c r="AF50" s="45">
        <f t="shared" si="42"/>
        <v>500.31885420337926</v>
      </c>
      <c r="AG50" s="44">
        <f t="shared" si="25"/>
        <v>525.33479691354819</v>
      </c>
      <c r="AH50" s="44">
        <f t="shared" si="26"/>
        <v>10.506695938270964</v>
      </c>
      <c r="AI50" s="44">
        <f>$B$9*AH50</f>
        <v>1.9609073919022422</v>
      </c>
      <c r="AJ50" s="44">
        <f t="shared" si="27"/>
        <v>10.506695938270964</v>
      </c>
      <c r="AK50" s="44">
        <f t="shared" si="28"/>
        <v>525.33479691354819</v>
      </c>
      <c r="AL50" s="16">
        <f>(1-$B$10)*B50</f>
        <v>2272.0775194608068</v>
      </c>
      <c r="AM50" s="17">
        <f t="shared" si="8"/>
        <v>4.54125903985463</v>
      </c>
      <c r="AN50" s="17">
        <f t="shared" si="43"/>
        <v>240.1177653650555</v>
      </c>
      <c r="AO50" s="16">
        <f t="shared" si="9"/>
        <v>2522.844350067729</v>
      </c>
      <c r="AP50" s="16">
        <f t="shared" si="10"/>
        <v>470.84870103138553</v>
      </c>
      <c r="AQ50" s="17">
        <f>IF($B$13="JA",AP50/(AX50/AN50),IF($B$13="NEIN",0,"FEHLER"))</f>
        <v>0.9919199886580844</v>
      </c>
      <c r="AR50" s="16">
        <f t="shared" si="11"/>
        <v>126142.21750338645</v>
      </c>
      <c r="AS50" s="16">
        <f>(1-$B$10)*AR50</f>
        <v>124250.08424083565</v>
      </c>
      <c r="AT50" s="15">
        <f t="shared" si="29"/>
        <v>57640.561921320914</v>
      </c>
      <c r="AU50" s="16">
        <f t="shared" si="44"/>
        <v>31606.490980508755</v>
      </c>
      <c r="AV50" s="16">
        <f t="shared" si="30"/>
        <v>35003.031339005989</v>
      </c>
      <c r="AW50" s="16">
        <f>$B$8*AV50</f>
        <v>9799.1371352473998</v>
      </c>
      <c r="AX50" s="16">
        <f t="shared" si="31"/>
        <v>113980.09840455688</v>
      </c>
      <c r="AY50" s="55">
        <f t="shared" si="45"/>
        <v>442.23289398273056</v>
      </c>
      <c r="AZ50" s="54">
        <f t="shared" si="32"/>
        <v>464.34453868186711</v>
      </c>
      <c r="BA50" s="54">
        <f t="shared" si="12"/>
        <v>9.2868907736373423</v>
      </c>
      <c r="BB50" s="54">
        <f>BA50*$B$9</f>
        <v>1.7332501932868392</v>
      </c>
      <c r="BC50" s="54">
        <f t="shared" si="33"/>
        <v>7.5536405803505033</v>
      </c>
      <c r="BD50" s="54">
        <f t="shared" si="34"/>
        <v>462.61128848858027</v>
      </c>
      <c r="BE50" s="50">
        <f>(1-$B$10)*B50</f>
        <v>2272.0775194608068</v>
      </c>
      <c r="BF50" s="51">
        <f t="shared" si="13"/>
        <v>5.1377397529129363</v>
      </c>
      <c r="BG50" s="51">
        <f t="shared" si="46"/>
        <v>273.15920782598448</v>
      </c>
      <c r="BH50" s="50">
        <f t="shared" si="14"/>
        <v>126366.53309489856</v>
      </c>
      <c r="BI50" s="50">
        <f>(1-$B$10)*BH50</f>
        <v>124471.03509847508</v>
      </c>
      <c r="BJ50" s="52">
        <f t="shared" si="35"/>
        <v>57640.561921320914</v>
      </c>
      <c r="BK50" s="50">
        <f t="shared" si="47"/>
        <v>25795.075561221845</v>
      </c>
      <c r="BL50" s="52">
        <f t="shared" si="36"/>
        <v>41035.397615932321</v>
      </c>
      <c r="BM50" s="50">
        <f>$B$8*BL50</f>
        <v>11487.904711550736</v>
      </c>
      <c r="BN50" s="50">
        <f t="shared" si="37"/>
        <v>112983.13038692434</v>
      </c>
    </row>
    <row r="51" spans="1:66" x14ac:dyDescent="0.25">
      <c r="A51" s="1">
        <v>35</v>
      </c>
      <c r="B51" s="3">
        <f t="shared" si="38"/>
        <v>2352.8112384264195</v>
      </c>
      <c r="C51" s="48">
        <f t="shared" si="15"/>
        <v>525.33479691354819</v>
      </c>
      <c r="D51" s="47">
        <f t="shared" si="0"/>
        <v>551.60153675922561</v>
      </c>
      <c r="E51" s="8">
        <f>(1-$B$10)*B51</f>
        <v>2317.5190698500232</v>
      </c>
      <c r="F51" s="19">
        <f t="shared" si="1"/>
        <v>4.4115087815730698</v>
      </c>
      <c r="G51" s="7">
        <f t="shared" si="39"/>
        <v>263.7087014265154</v>
      </c>
      <c r="H51" s="8">
        <f t="shared" si="2"/>
        <v>145462.12496364568</v>
      </c>
      <c r="I51" s="8">
        <f>(1-$B$10)*H51</f>
        <v>143280.19308919099</v>
      </c>
      <c r="J51" s="8">
        <f t="shared" si="40"/>
        <v>59993.373159747331</v>
      </c>
      <c r="K51" s="8">
        <f t="shared" si="16"/>
        <v>83286.819929443649</v>
      </c>
      <c r="L51" s="8">
        <f>$B$8*K51</f>
        <v>23316.236875113202</v>
      </c>
      <c r="M51" s="8">
        <f t="shared" si="17"/>
        <v>119963.95621407779</v>
      </c>
      <c r="N51" s="58">
        <f t="shared" si="18"/>
        <v>264.31556702614574</v>
      </c>
      <c r="O51" s="57">
        <f t="shared" si="19"/>
        <v>277.53134537745302</v>
      </c>
      <c r="P51" s="57">
        <f t="shared" si="3"/>
        <v>5.5506269075490602</v>
      </c>
      <c r="Q51" s="57">
        <f>P51*$B$9</f>
        <v>1.0359360732100529</v>
      </c>
      <c r="R51" s="57">
        <f t="shared" si="20"/>
        <v>4.5146908343390075</v>
      </c>
      <c r="S51" s="57">
        <f t="shared" si="4"/>
        <v>271.98071846990393</v>
      </c>
      <c r="T51" s="5">
        <f>(1-$B$10)*B51</f>
        <v>2317.5190698500232</v>
      </c>
      <c r="U51" s="6">
        <f t="shared" si="5"/>
        <v>8.7680006740608558</v>
      </c>
      <c r="V51" s="6">
        <f t="shared" si="21"/>
        <v>484.53405606270917</v>
      </c>
      <c r="W51" s="6">
        <f>(1-$B$10)*(V51*R51)/S51</f>
        <v>7.922284535557524</v>
      </c>
      <c r="X51" s="6">
        <f t="shared" si="6"/>
        <v>492.45634059826671</v>
      </c>
      <c r="Y51" s="13">
        <f t="shared" si="7"/>
        <v>133938.62933097631</v>
      </c>
      <c r="Z51" s="13">
        <f>(1-$B$10)*Y51</f>
        <v>131929.54989101167</v>
      </c>
      <c r="AA51" s="13">
        <f t="shared" si="22"/>
        <v>59993.373159747331</v>
      </c>
      <c r="AB51" s="13">
        <f t="shared" si="41"/>
        <v>27897.898123306433</v>
      </c>
      <c r="AC51" s="13">
        <f t="shared" si="23"/>
        <v>44038.278607957902</v>
      </c>
      <c r="AD51" s="13">
        <f>$B$8*AC51</f>
        <v>12328.564549171591</v>
      </c>
      <c r="AE51" s="13">
        <f t="shared" si="24"/>
        <v>119600.98534184007</v>
      </c>
      <c r="AF51" s="45">
        <f t="shared" si="42"/>
        <v>525.33479691354819</v>
      </c>
      <c r="AG51" s="44">
        <f t="shared" si="25"/>
        <v>551.60153675922561</v>
      </c>
      <c r="AH51" s="44">
        <f t="shared" si="26"/>
        <v>11.032030735184513</v>
      </c>
      <c r="AI51" s="44">
        <f>$B$9*AH51</f>
        <v>2.0589527614973546</v>
      </c>
      <c r="AJ51" s="44">
        <f t="shared" si="27"/>
        <v>11.032030735184513</v>
      </c>
      <c r="AK51" s="44">
        <f t="shared" si="28"/>
        <v>551.60153675922561</v>
      </c>
      <c r="AL51" s="16">
        <f>(1-$B$10)*B51</f>
        <v>2317.5190698500232</v>
      </c>
      <c r="AM51" s="17">
        <f t="shared" si="8"/>
        <v>4.4115087815730698</v>
      </c>
      <c r="AN51" s="17">
        <f t="shared" si="43"/>
        <v>243.5373541579705</v>
      </c>
      <c r="AO51" s="16">
        <f t="shared" si="9"/>
        <v>2686.7115762362464</v>
      </c>
      <c r="AP51" s="16">
        <f t="shared" si="10"/>
        <v>501.4319078713126</v>
      </c>
      <c r="AQ51" s="17">
        <f>IF($B$13="JA",AP51/(AX51/AN51),IF($B$13="NEIN",0,"FEHLER"))</f>
        <v>1.0078066112489481</v>
      </c>
      <c r="AR51" s="16">
        <f t="shared" si="11"/>
        <v>134335.5788118123</v>
      </c>
      <c r="AS51" s="16">
        <f>(1-$B$10)*AR51</f>
        <v>132320.54512963511</v>
      </c>
      <c r="AT51" s="15">
        <f t="shared" si="29"/>
        <v>59993.373159747331</v>
      </c>
      <c r="AU51" s="16">
        <f t="shared" si="44"/>
        <v>34293.202556745004</v>
      </c>
      <c r="AV51" s="16">
        <f t="shared" si="30"/>
        <v>38033.969413142768</v>
      </c>
      <c r="AW51" s="16">
        <f>$B$8*AV51</f>
        <v>10647.651583874933</v>
      </c>
      <c r="AX51" s="16">
        <f t="shared" si="31"/>
        <v>121171.46163788886</v>
      </c>
      <c r="AY51" s="55">
        <f t="shared" si="45"/>
        <v>462.61128848858027</v>
      </c>
      <c r="AZ51" s="54">
        <f t="shared" si="32"/>
        <v>485.74185291300932</v>
      </c>
      <c r="BA51" s="54">
        <f t="shared" si="12"/>
        <v>9.7148370582601871</v>
      </c>
      <c r="BB51" s="54">
        <f>BA51*$B$9</f>
        <v>1.8131195487706464</v>
      </c>
      <c r="BC51" s="54">
        <f t="shared" si="33"/>
        <v>7.9017175094895409</v>
      </c>
      <c r="BD51" s="54">
        <f t="shared" si="34"/>
        <v>483.92873336423867</v>
      </c>
      <c r="BE51" s="50">
        <f>(1-$B$10)*B51</f>
        <v>2317.5190698500232</v>
      </c>
      <c r="BF51" s="51">
        <f t="shared" si="13"/>
        <v>5.0096466029216495</v>
      </c>
      <c r="BG51" s="51">
        <f t="shared" si="46"/>
        <v>278.16885442890612</v>
      </c>
      <c r="BH51" s="50">
        <f t="shared" si="14"/>
        <v>134613.90138516182</v>
      </c>
      <c r="BI51" s="50">
        <f>(1-$B$10)*BH51</f>
        <v>132594.69286438439</v>
      </c>
      <c r="BJ51" s="52">
        <f t="shared" si="35"/>
        <v>59993.373159747331</v>
      </c>
      <c r="BK51" s="50">
        <f t="shared" si="47"/>
        <v>27993.08726885738</v>
      </c>
      <c r="BL51" s="52">
        <f t="shared" si="36"/>
        <v>44608.232435779668</v>
      </c>
      <c r="BM51" s="50">
        <f>$B$8*BL51</f>
        <v>12488.123750358858</v>
      </c>
      <c r="BN51" s="50">
        <f t="shared" si="37"/>
        <v>120106.56911402552</v>
      </c>
    </row>
    <row r="52" spans="1:66" x14ac:dyDescent="0.25">
      <c r="A52" s="1">
        <v>36</v>
      </c>
      <c r="B52" s="3">
        <f t="shared" si="38"/>
        <v>2399.867463194948</v>
      </c>
      <c r="C52" s="48">
        <f t="shared" si="15"/>
        <v>551.60153675922561</v>
      </c>
      <c r="D52" s="47">
        <f t="shared" si="0"/>
        <v>579.18161359718692</v>
      </c>
      <c r="E52" s="8">
        <f>(1-$B$10)*B52</f>
        <v>2363.8694512470238</v>
      </c>
      <c r="F52" s="19">
        <f t="shared" si="1"/>
        <v>4.2854656735281251</v>
      </c>
      <c r="G52" s="7">
        <f t="shared" si="39"/>
        <v>267.99416710004351</v>
      </c>
      <c r="H52" s="8">
        <f t="shared" si="2"/>
        <v>155217.29413563735</v>
      </c>
      <c r="I52" s="8">
        <f>(1-$B$10)*H52</f>
        <v>152889.03472360279</v>
      </c>
      <c r="J52" s="8">
        <f t="shared" si="40"/>
        <v>62393.240622942278</v>
      </c>
      <c r="K52" s="8">
        <f t="shared" si="16"/>
        <v>90495.794100660511</v>
      </c>
      <c r="L52" s="8">
        <f>$B$8*K52</f>
        <v>25334.397125979536</v>
      </c>
      <c r="M52" s="8">
        <f t="shared" si="17"/>
        <v>127554.63759762325</v>
      </c>
      <c r="N52" s="58">
        <f t="shared" si="18"/>
        <v>271.98071846990393</v>
      </c>
      <c r="O52" s="57">
        <f t="shared" si="19"/>
        <v>285.57975439339913</v>
      </c>
      <c r="P52" s="57">
        <f t="shared" si="3"/>
        <v>5.7115950878679831</v>
      </c>
      <c r="Q52" s="57">
        <f>P52*$B$9</f>
        <v>1.0659782193331444</v>
      </c>
      <c r="R52" s="57">
        <f t="shared" si="20"/>
        <v>4.6456168685348391</v>
      </c>
      <c r="S52" s="57">
        <f t="shared" si="4"/>
        <v>279.86815930553115</v>
      </c>
      <c r="T52" s="5">
        <f>(1-$B$10)*B52</f>
        <v>2363.8694512470238</v>
      </c>
      <c r="U52" s="6">
        <f t="shared" si="5"/>
        <v>8.6913126215180512</v>
      </c>
      <c r="V52" s="6">
        <f t="shared" si="21"/>
        <v>501.14765321978473</v>
      </c>
      <c r="W52" s="6">
        <f>(1-$B$10)*(V52*R52)/S52</f>
        <v>8.1939220854688735</v>
      </c>
      <c r="X52" s="6">
        <f t="shared" si="6"/>
        <v>509.34157530525363</v>
      </c>
      <c r="Y52" s="13">
        <f t="shared" si="7"/>
        <v>142548.48913846092</v>
      </c>
      <c r="Z52" s="13">
        <f>(1-$B$10)*Y52</f>
        <v>140410.26180138401</v>
      </c>
      <c r="AA52" s="13">
        <f t="shared" si="22"/>
        <v>62393.240622942278</v>
      </c>
      <c r="AB52" s="13">
        <f t="shared" si="41"/>
        <v>30226.038114730913</v>
      </c>
      <c r="AC52" s="13">
        <f t="shared" si="23"/>
        <v>47790.983063710824</v>
      </c>
      <c r="AD52" s="13">
        <f>$B$8*AC52</f>
        <v>13379.138290452054</v>
      </c>
      <c r="AE52" s="13">
        <f t="shared" si="24"/>
        <v>127031.12351093195</v>
      </c>
      <c r="AF52" s="45">
        <f t="shared" si="42"/>
        <v>551.60153675922561</v>
      </c>
      <c r="AG52" s="44">
        <f t="shared" si="25"/>
        <v>579.18161359718692</v>
      </c>
      <c r="AH52" s="44">
        <f t="shared" si="26"/>
        <v>11.583632271943738</v>
      </c>
      <c r="AI52" s="44">
        <f>$B$9*AH52</f>
        <v>2.1619003995722221</v>
      </c>
      <c r="AJ52" s="44">
        <f t="shared" si="27"/>
        <v>11.583632271943738</v>
      </c>
      <c r="AK52" s="44">
        <f t="shared" si="28"/>
        <v>579.18161359718692</v>
      </c>
      <c r="AL52" s="16">
        <f>(1-$B$10)*B52</f>
        <v>2363.8694512470238</v>
      </c>
      <c r="AM52" s="17">
        <f t="shared" si="8"/>
        <v>4.2854656735281251</v>
      </c>
      <c r="AN52" s="17">
        <f t="shared" si="43"/>
        <v>246.81501322024968</v>
      </c>
      <c r="AO52" s="16">
        <f t="shared" si="9"/>
        <v>2859.0143523383044</v>
      </c>
      <c r="AP52" s="16">
        <f t="shared" si="10"/>
        <v>533.58947570128112</v>
      </c>
      <c r="AQ52" s="17">
        <f>IF($B$13="JA",AP52/(AX52/AN52),IF($B$13="NEIN",0,"FEHLER"))</f>
        <v>1.0231203118566552</v>
      </c>
      <c r="AR52" s="16">
        <f t="shared" si="11"/>
        <v>142950.71761691524</v>
      </c>
      <c r="AS52" s="16">
        <f>(1-$B$10)*AR52</f>
        <v>140806.4568526615</v>
      </c>
      <c r="AT52" s="15">
        <f t="shared" si="29"/>
        <v>62393.240622942278</v>
      </c>
      <c r="AU52" s="16">
        <f t="shared" si="44"/>
        <v>37152.216909083305</v>
      </c>
      <c r="AV52" s="16">
        <f t="shared" si="30"/>
        <v>41260.999320635921</v>
      </c>
      <c r="AW52" s="16">
        <f>$B$8*AV52</f>
        <v>11551.062156999544</v>
      </c>
      <c r="AX52" s="16">
        <f t="shared" si="31"/>
        <v>128721.80521996068</v>
      </c>
      <c r="AY52" s="55">
        <f t="shared" si="45"/>
        <v>483.92873336423867</v>
      </c>
      <c r="AZ52" s="54">
        <f t="shared" si="32"/>
        <v>508.12517003245063</v>
      </c>
      <c r="BA52" s="54">
        <f t="shared" si="12"/>
        <v>10.162503400649014</v>
      </c>
      <c r="BB52" s="54">
        <f>BA52*$B$9</f>
        <v>1.8966693388334348</v>
      </c>
      <c r="BC52" s="54">
        <f t="shared" si="33"/>
        <v>8.2658340618155783</v>
      </c>
      <c r="BD52" s="54">
        <f t="shared" si="34"/>
        <v>506.22850069361715</v>
      </c>
      <c r="BE52" s="50">
        <f>(1-$B$10)*B52</f>
        <v>2363.8694512470238</v>
      </c>
      <c r="BF52" s="51">
        <f t="shared" si="13"/>
        <v>4.8847470469743941</v>
      </c>
      <c r="BG52" s="51">
        <f t="shared" si="46"/>
        <v>283.0536014758805</v>
      </c>
      <c r="BH52" s="50">
        <f t="shared" si="14"/>
        <v>143289.80029106361</v>
      </c>
      <c r="BI52" s="50">
        <f>(1-$B$10)*BH52</f>
        <v>141140.45328669765</v>
      </c>
      <c r="BJ52" s="52">
        <f t="shared" si="35"/>
        <v>62393.240622942278</v>
      </c>
      <c r="BK52" s="50">
        <f t="shared" si="47"/>
        <v>30332.761369256285</v>
      </c>
      <c r="BL52" s="52">
        <f t="shared" si="36"/>
        <v>48414.451294499086</v>
      </c>
      <c r="BM52" s="50">
        <f>$B$8*BL52</f>
        <v>13553.678907628719</v>
      </c>
      <c r="BN52" s="50">
        <f t="shared" si="37"/>
        <v>127586.77437906893</v>
      </c>
    </row>
    <row r="53" spans="1:66" x14ac:dyDescent="0.25">
      <c r="A53" s="1">
        <v>37</v>
      </c>
      <c r="B53" s="3">
        <f t="shared" si="38"/>
        <v>2447.8648124588472</v>
      </c>
      <c r="C53" s="48">
        <f t="shared" si="15"/>
        <v>579.18161359718692</v>
      </c>
      <c r="D53" s="47">
        <f t="shared" si="0"/>
        <v>608.14069427704635</v>
      </c>
      <c r="E53" s="8">
        <f>(1-$B$10)*B53</f>
        <v>2411.1468402719643</v>
      </c>
      <c r="F53" s="19">
        <f t="shared" si="1"/>
        <v>4.1630237971416069</v>
      </c>
      <c r="G53" s="7">
        <f t="shared" si="39"/>
        <v>272.1571908971851</v>
      </c>
      <c r="H53" s="8">
        <f t="shared" si="2"/>
        <v>165509.8630247048</v>
      </c>
      <c r="I53" s="8">
        <f>(1-$B$10)*H53</f>
        <v>163027.21507933422</v>
      </c>
      <c r="J53" s="8">
        <f t="shared" si="40"/>
        <v>64841.105435401128</v>
      </c>
      <c r="K53" s="8">
        <f t="shared" si="16"/>
        <v>98186.109643933087</v>
      </c>
      <c r="L53" s="8">
        <f>$B$8*K53</f>
        <v>27487.309423546063</v>
      </c>
      <c r="M53" s="8">
        <f t="shared" si="17"/>
        <v>135539.90565578814</v>
      </c>
      <c r="N53" s="58">
        <f t="shared" si="18"/>
        <v>279.86815930553115</v>
      </c>
      <c r="O53" s="57">
        <f t="shared" si="19"/>
        <v>293.86156727080771</v>
      </c>
      <c r="P53" s="57">
        <f t="shared" si="3"/>
        <v>5.8772313454161544</v>
      </c>
      <c r="Q53" s="57">
        <f>P53*$B$9</f>
        <v>1.0968915876938057</v>
      </c>
      <c r="R53" s="57">
        <f t="shared" si="20"/>
        <v>4.7803397577223485</v>
      </c>
      <c r="S53" s="57">
        <f t="shared" si="4"/>
        <v>287.98433592539158</v>
      </c>
      <c r="T53" s="5">
        <f>(1-$B$10)*B53</f>
        <v>2411.1468402719643</v>
      </c>
      <c r="U53" s="6">
        <f t="shared" si="5"/>
        <v>8.6152953099595848</v>
      </c>
      <c r="V53" s="6">
        <f t="shared" si="21"/>
        <v>517.95687061521323</v>
      </c>
      <c r="W53" s="6">
        <f>(1-$B$10)*(V53*R53)/S53</f>
        <v>8.468758087934285</v>
      </c>
      <c r="X53" s="6">
        <f t="shared" si="6"/>
        <v>526.42562870314748</v>
      </c>
      <c r="Y53" s="13">
        <f t="shared" si="7"/>
        <v>151602.33509618268</v>
      </c>
      <c r="Z53" s="13">
        <f>(1-$B$10)*Y53</f>
        <v>149328.30006973993</v>
      </c>
      <c r="AA53" s="13">
        <f t="shared" si="22"/>
        <v>64841.105435401128</v>
      </c>
      <c r="AB53" s="13">
        <f t="shared" si="41"/>
        <v>32702.047936118266</v>
      </c>
      <c r="AC53" s="13">
        <f t="shared" si="23"/>
        <v>51785.146698220531</v>
      </c>
      <c r="AD53" s="13">
        <f>$B$8*AC53</f>
        <v>14497.308794489612</v>
      </c>
      <c r="AE53" s="13">
        <f t="shared" si="24"/>
        <v>134830.9912752503</v>
      </c>
      <c r="AF53" s="45">
        <f t="shared" si="42"/>
        <v>579.18161359718692</v>
      </c>
      <c r="AG53" s="44">
        <f t="shared" si="25"/>
        <v>608.14069427704635</v>
      </c>
      <c r="AH53" s="44">
        <f t="shared" si="26"/>
        <v>12.162813885540928</v>
      </c>
      <c r="AI53" s="44">
        <f>$B$9*AH53</f>
        <v>2.2699954195508334</v>
      </c>
      <c r="AJ53" s="44">
        <f t="shared" si="27"/>
        <v>12.162813885540928</v>
      </c>
      <c r="AK53" s="44">
        <f t="shared" si="28"/>
        <v>608.14069427704635</v>
      </c>
      <c r="AL53" s="16">
        <f>(1-$B$10)*B53</f>
        <v>2411.1468402719643</v>
      </c>
      <c r="AM53" s="17">
        <f t="shared" si="8"/>
        <v>4.1630237971416069</v>
      </c>
      <c r="AN53" s="17">
        <f t="shared" si="43"/>
        <v>249.95491670553466</v>
      </c>
      <c r="AO53" s="16">
        <f t="shared" si="9"/>
        <v>3040.1551316653031</v>
      </c>
      <c r="AP53" s="16">
        <f t="shared" si="10"/>
        <v>567.39651601577373</v>
      </c>
      <c r="AQ53" s="17">
        <f>IF($B$13="JA",AP53/(AX53/AN53),IF($B$13="NEIN",0,"FEHLER"))</f>
        <v>1.0378745595113013</v>
      </c>
      <c r="AR53" s="16">
        <f t="shared" si="11"/>
        <v>152007.75658326515</v>
      </c>
      <c r="AS53" s="16">
        <f>(1-$B$10)*AR53</f>
        <v>149727.64023451618</v>
      </c>
      <c r="AT53" s="15">
        <f t="shared" si="29"/>
        <v>64841.105435401128</v>
      </c>
      <c r="AU53" s="16">
        <f t="shared" si="44"/>
        <v>40192.372040748611</v>
      </c>
      <c r="AV53" s="16">
        <f t="shared" si="30"/>
        <v>44694.162758366438</v>
      </c>
      <c r="AW53" s="16">
        <f>$B$8*AV53</f>
        <v>12512.180038711389</v>
      </c>
      <c r="AX53" s="16">
        <f t="shared" si="31"/>
        <v>136648.06367978902</v>
      </c>
      <c r="AY53" s="55">
        <f t="shared" si="45"/>
        <v>506.22850069361715</v>
      </c>
      <c r="AZ53" s="54">
        <f t="shared" si="32"/>
        <v>531.53992572829804</v>
      </c>
      <c r="BA53" s="54">
        <f t="shared" si="12"/>
        <v>10.630798514565962</v>
      </c>
      <c r="BB53" s="54">
        <f>BA53*$B$9</f>
        <v>1.9840691604202165</v>
      </c>
      <c r="BC53" s="54">
        <f t="shared" si="33"/>
        <v>8.6467293541457444</v>
      </c>
      <c r="BD53" s="54">
        <f t="shared" si="34"/>
        <v>529.55585656787775</v>
      </c>
      <c r="BE53" s="50">
        <f>(1-$B$10)*B53</f>
        <v>2411.1468402719643</v>
      </c>
      <c r="BF53" s="51">
        <f t="shared" si="13"/>
        <v>4.7629614629920924</v>
      </c>
      <c r="BG53" s="51">
        <f t="shared" si="46"/>
        <v>287.81656293887261</v>
      </c>
      <c r="BH53" s="50">
        <f t="shared" si="14"/>
        <v>152414.94652151718</v>
      </c>
      <c r="BI53" s="50">
        <f>(1-$B$10)*BH53</f>
        <v>150128.72232369441</v>
      </c>
      <c r="BJ53" s="52">
        <f t="shared" si="35"/>
        <v>64841.105435401128</v>
      </c>
      <c r="BK53" s="50">
        <f t="shared" si="47"/>
        <v>32821.433292629168</v>
      </c>
      <c r="BL53" s="52">
        <f t="shared" si="36"/>
        <v>52466.183595664115</v>
      </c>
      <c r="BM53" s="50">
        <f>$B$8*BL53</f>
        <v>14687.965823236043</v>
      </c>
      <c r="BN53" s="50">
        <f t="shared" si="37"/>
        <v>135440.75650045837</v>
      </c>
    </row>
    <row r="54" spans="1:66" x14ac:dyDescent="0.25">
      <c r="A54" s="1">
        <v>38</v>
      </c>
      <c r="B54" s="3">
        <f t="shared" si="38"/>
        <v>2496.8221087080242</v>
      </c>
      <c r="C54" s="48">
        <f t="shared" si="15"/>
        <v>608.14069427704635</v>
      </c>
      <c r="D54" s="47">
        <f t="shared" si="0"/>
        <v>638.54772899089869</v>
      </c>
      <c r="E54" s="8">
        <f>(1-$B$10)*B54</f>
        <v>2459.3697770774038</v>
      </c>
      <c r="F54" s="19">
        <f t="shared" si="1"/>
        <v>4.0440802600804187</v>
      </c>
      <c r="G54" s="7">
        <f t="shared" si="39"/>
        <v>276.20127115726552</v>
      </c>
      <c r="H54" s="8">
        <f t="shared" si="2"/>
        <v>176367.69444187131</v>
      </c>
      <c r="I54" s="8">
        <f>(1-$B$10)*H54</f>
        <v>173722.17902524324</v>
      </c>
      <c r="J54" s="8">
        <f t="shared" si="40"/>
        <v>67337.927544109159</v>
      </c>
      <c r="K54" s="8">
        <f t="shared" si="16"/>
        <v>106384.25148113408</v>
      </c>
      <c r="L54" s="8">
        <f>$B$8*K54</f>
        <v>29782.38825083094</v>
      </c>
      <c r="M54" s="8">
        <f t="shared" si="17"/>
        <v>143939.79077441231</v>
      </c>
      <c r="N54" s="58">
        <f t="shared" si="18"/>
        <v>287.98433592539158</v>
      </c>
      <c r="O54" s="57">
        <f t="shared" si="19"/>
        <v>302.38355272166115</v>
      </c>
      <c r="P54" s="57">
        <f t="shared" si="3"/>
        <v>6.0476710544332235</v>
      </c>
      <c r="Q54" s="57">
        <f>P54*$B$9</f>
        <v>1.128701443736926</v>
      </c>
      <c r="R54" s="57">
        <f t="shared" si="20"/>
        <v>4.9189696106962977</v>
      </c>
      <c r="S54" s="57">
        <f t="shared" si="4"/>
        <v>296.33588166722791</v>
      </c>
      <c r="T54" s="5">
        <f>(1-$B$10)*B54</f>
        <v>2459.3697770774038</v>
      </c>
      <c r="U54" s="6">
        <f t="shared" si="5"/>
        <v>8.5399428728462343</v>
      </c>
      <c r="V54" s="6">
        <f t="shared" si="21"/>
        <v>534.96557157599375</v>
      </c>
      <c r="W54" s="6">
        <f>(1-$B$10)*(V54*R54)/S54</f>
        <v>8.7468557095678729</v>
      </c>
      <c r="X54" s="6">
        <f t="shared" si="6"/>
        <v>543.7124272855616</v>
      </c>
      <c r="Y54" s="13">
        <f t="shared" si="7"/>
        <v>161121.50151309546</v>
      </c>
      <c r="Z54" s="13">
        <f>(1-$B$10)*Y54</f>
        <v>158704.67899039903</v>
      </c>
      <c r="AA54" s="13">
        <f t="shared" si="22"/>
        <v>67337.927544109159</v>
      </c>
      <c r="AB54" s="13">
        <f t="shared" si="41"/>
        <v>35333.527325469353</v>
      </c>
      <c r="AC54" s="13">
        <f t="shared" si="23"/>
        <v>56033.224120820516</v>
      </c>
      <c r="AD54" s="13">
        <f>$B$8*AC54</f>
        <v>15686.562742870294</v>
      </c>
      <c r="AE54" s="13">
        <f t="shared" si="24"/>
        <v>143018.11624752873</v>
      </c>
      <c r="AF54" s="45">
        <f t="shared" si="42"/>
        <v>608.14069427704635</v>
      </c>
      <c r="AG54" s="44">
        <f t="shared" si="25"/>
        <v>638.54772899089869</v>
      </c>
      <c r="AH54" s="44">
        <f t="shared" si="26"/>
        <v>12.770954579817975</v>
      </c>
      <c r="AI54" s="44">
        <f>$B$9*AH54</f>
        <v>2.3834951905283752</v>
      </c>
      <c r="AJ54" s="44">
        <f t="shared" si="27"/>
        <v>12.770954579817975</v>
      </c>
      <c r="AK54" s="44">
        <f t="shared" si="28"/>
        <v>638.54772899089869</v>
      </c>
      <c r="AL54" s="16">
        <f>(1-$B$10)*B54</f>
        <v>2459.3697770774038</v>
      </c>
      <c r="AM54" s="17">
        <f t="shared" si="8"/>
        <v>4.0440802600804187</v>
      </c>
      <c r="AN54" s="17">
        <f t="shared" si="43"/>
        <v>252.96112240610378</v>
      </c>
      <c r="AO54" s="16">
        <f t="shared" si="9"/>
        <v>3230.5550047081265</v>
      </c>
      <c r="AP54" s="16">
        <f t="shared" si="10"/>
        <v>602.93161864560795</v>
      </c>
      <c r="AQ54" s="17">
        <f>IF($B$13="JA",AP54/(AX54/AN54),IF($B$13="NEIN",0,"FEHLER"))</f>
        <v>1.0520825929662225</v>
      </c>
      <c r="AR54" s="16">
        <f t="shared" si="11"/>
        <v>161527.7502354063</v>
      </c>
      <c r="AS54" s="16">
        <f>(1-$B$10)*AR54</f>
        <v>159104.83398187521</v>
      </c>
      <c r="AT54" s="15">
        <f t="shared" si="29"/>
        <v>67337.927544109159</v>
      </c>
      <c r="AU54" s="16">
        <f t="shared" si="44"/>
        <v>43422.927045456738</v>
      </c>
      <c r="AV54" s="16">
        <f t="shared" si="30"/>
        <v>48343.979392309317</v>
      </c>
      <c r="AW54" s="16">
        <f>$B$8*AV54</f>
        <v>13533.95022107437</v>
      </c>
      <c r="AX54" s="16">
        <f t="shared" si="31"/>
        <v>144967.95214215523</v>
      </c>
      <c r="AY54" s="55">
        <f t="shared" si="45"/>
        <v>529.55585656787775</v>
      </c>
      <c r="AZ54" s="54">
        <f t="shared" si="32"/>
        <v>556.0336493962717</v>
      </c>
      <c r="BA54" s="54">
        <f t="shared" si="12"/>
        <v>11.120672987925435</v>
      </c>
      <c r="BB54" s="54">
        <f>BA54*$B$9</f>
        <v>2.0754964256193356</v>
      </c>
      <c r="BC54" s="54">
        <f t="shared" si="33"/>
        <v>9.0451765623061</v>
      </c>
      <c r="BD54" s="54">
        <f t="shared" si="34"/>
        <v>553.95815297065235</v>
      </c>
      <c r="BE54" s="50">
        <f>(1-$B$10)*B54</f>
        <v>2459.3697770774038</v>
      </c>
      <c r="BF54" s="51">
        <f t="shared" si="13"/>
        <v>4.6442122140181921</v>
      </c>
      <c r="BG54" s="51">
        <f t="shared" si="46"/>
        <v>292.46077515289079</v>
      </c>
      <c r="BH54" s="50">
        <f t="shared" si="14"/>
        <v>162011.03082006064</v>
      </c>
      <c r="BI54" s="50">
        <f>(1-$B$10)*BH54</f>
        <v>159580.86535775973</v>
      </c>
      <c r="BJ54" s="52">
        <f t="shared" si="35"/>
        <v>67337.927544109159</v>
      </c>
      <c r="BK54" s="50">
        <f t="shared" si="47"/>
        <v>35466.792641435968</v>
      </c>
      <c r="BL54" s="52">
        <f t="shared" si="36"/>
        <v>56776.145172214601</v>
      </c>
      <c r="BM54" s="50">
        <f>$B$8*BL54</f>
        <v>15894.544308602868</v>
      </c>
      <c r="BN54" s="50">
        <f t="shared" si="37"/>
        <v>143686.32104915686</v>
      </c>
    </row>
    <row r="55" spans="1:66" x14ac:dyDescent="0.25">
      <c r="A55" s="1">
        <v>39</v>
      </c>
      <c r="B55" s="3">
        <f t="shared" si="38"/>
        <v>2546.7585508821849</v>
      </c>
      <c r="C55" s="48">
        <f t="shared" si="15"/>
        <v>638.54772899089869</v>
      </c>
      <c r="D55" s="47">
        <f t="shared" si="0"/>
        <v>670.47511544044369</v>
      </c>
      <c r="E55" s="8">
        <f>(1-$B$10)*B55</f>
        <v>2508.5571726189519</v>
      </c>
      <c r="F55" s="19">
        <f t="shared" si="1"/>
        <v>3.9285351097924064</v>
      </c>
      <c r="G55" s="7">
        <f t="shared" si="39"/>
        <v>280.12980626705792</v>
      </c>
      <c r="H55" s="8">
        <f t="shared" si="2"/>
        <v>187820.06419521477</v>
      </c>
      <c r="I55" s="8">
        <f>(1-$B$10)*H55</f>
        <v>185002.76323228655</v>
      </c>
      <c r="J55" s="8">
        <f t="shared" si="40"/>
        <v>69884.686094991339</v>
      </c>
      <c r="K55" s="8">
        <f t="shared" si="16"/>
        <v>115118.07713729521</v>
      </c>
      <c r="L55" s="8">
        <f>$B$8*K55</f>
        <v>32227.432352616881</v>
      </c>
      <c r="M55" s="8">
        <f t="shared" si="17"/>
        <v>152775.33087966967</v>
      </c>
      <c r="N55" s="58">
        <f t="shared" si="18"/>
        <v>296.33588166722791</v>
      </c>
      <c r="O55" s="57">
        <f t="shared" si="19"/>
        <v>311.15267575058931</v>
      </c>
      <c r="P55" s="57">
        <f t="shared" si="3"/>
        <v>6.2230535150117863</v>
      </c>
      <c r="Q55" s="57">
        <f>P55*$B$9</f>
        <v>1.161433785605297</v>
      </c>
      <c r="R55" s="57">
        <f t="shared" si="20"/>
        <v>5.0616197294064893</v>
      </c>
      <c r="S55" s="57">
        <f t="shared" si="4"/>
        <v>304.92962223557754</v>
      </c>
      <c r="T55" s="5">
        <f>(1-$B$10)*B55</f>
        <v>2508.5571726189519</v>
      </c>
      <c r="U55" s="6">
        <f t="shared" si="5"/>
        <v>8.4652494949496209</v>
      </c>
      <c r="V55" s="6">
        <f t="shared" si="21"/>
        <v>552.17767678051121</v>
      </c>
      <c r="W55" s="6">
        <f>(1-$B$10)*(V55*R55)/S55</f>
        <v>9.0282790546969682</v>
      </c>
      <c r="X55" s="6">
        <f t="shared" si="6"/>
        <v>561.20595583520821</v>
      </c>
      <c r="Y55" s="13">
        <f t="shared" si="7"/>
        <v>171128.32010918626</v>
      </c>
      <c r="Z55" s="13">
        <f>(1-$B$10)*Y55</f>
        <v>168561.39530754846</v>
      </c>
      <c r="AA55" s="13">
        <f t="shared" si="22"/>
        <v>69884.686094991339</v>
      </c>
      <c r="AB55" s="13">
        <f t="shared" si="41"/>
        <v>38128.440748399429</v>
      </c>
      <c r="AC55" s="13">
        <f t="shared" si="23"/>
        <v>60548.268464157693</v>
      </c>
      <c r="AD55" s="13">
        <f>$B$8*AC55</f>
        <v>16950.554374440238</v>
      </c>
      <c r="AE55" s="13">
        <f t="shared" si="24"/>
        <v>151610.84093310824</v>
      </c>
      <c r="AF55" s="45">
        <f t="shared" si="42"/>
        <v>638.54772899089869</v>
      </c>
      <c r="AG55" s="44">
        <f t="shared" si="25"/>
        <v>670.47511544044369</v>
      </c>
      <c r="AH55" s="44">
        <f t="shared" si="26"/>
        <v>13.409502308808873</v>
      </c>
      <c r="AI55" s="44">
        <f>$B$9*AH55</f>
        <v>2.502669950054794</v>
      </c>
      <c r="AJ55" s="44">
        <f t="shared" si="27"/>
        <v>13.409502308808873</v>
      </c>
      <c r="AK55" s="44">
        <f t="shared" si="28"/>
        <v>670.47511544044369</v>
      </c>
      <c r="AL55" s="16">
        <f>(1-$B$10)*B55</f>
        <v>2508.5571726189519</v>
      </c>
      <c r="AM55" s="17">
        <f t="shared" si="8"/>
        <v>3.9285351097924064</v>
      </c>
      <c r="AN55" s="17">
        <f t="shared" si="43"/>
        <v>255.83757492292997</v>
      </c>
      <c r="AO55" s="16">
        <f t="shared" si="9"/>
        <v>3430.6545516090928</v>
      </c>
      <c r="AP55" s="16">
        <f t="shared" si="10"/>
        <v>640.27701085450872</v>
      </c>
      <c r="AQ55" s="17">
        <f>IF($B$13="JA",AP55/(AX55/AN55),IF($B$13="NEIN",0,"FEHLER"))</f>
        <v>1.0657574212556138</v>
      </c>
      <c r="AR55" s="16">
        <f t="shared" si="11"/>
        <v>171532.72758045464</v>
      </c>
      <c r="AS55" s="16">
        <f>(1-$B$10)*AR55</f>
        <v>168959.73666674781</v>
      </c>
      <c r="AT55" s="15">
        <f t="shared" si="29"/>
        <v>69884.686094991339</v>
      </c>
      <c r="AU55" s="16">
        <f t="shared" si="44"/>
        <v>46853.58159706583</v>
      </c>
      <c r="AV55" s="16">
        <f t="shared" si="30"/>
        <v>52221.468974690637</v>
      </c>
      <c r="AW55" s="16">
        <f>$B$8*AV55</f>
        <v>14619.457695848603</v>
      </c>
      <c r="AX55" s="16">
        <f t="shared" si="31"/>
        <v>153700.0019600447</v>
      </c>
      <c r="AY55" s="55">
        <f t="shared" si="45"/>
        <v>553.95815297065235</v>
      </c>
      <c r="AZ55" s="54">
        <f t="shared" si="32"/>
        <v>581.65606061918504</v>
      </c>
      <c r="BA55" s="54">
        <f t="shared" si="12"/>
        <v>11.633121212383701</v>
      </c>
      <c r="BB55" s="54">
        <f>BA55*$B$9</f>
        <v>2.1711367217896234</v>
      </c>
      <c r="BC55" s="54">
        <f t="shared" si="33"/>
        <v>9.4619844905940766</v>
      </c>
      <c r="BD55" s="54">
        <f t="shared" si="34"/>
        <v>579.48492389739545</v>
      </c>
      <c r="BE55" s="50">
        <f>(1-$B$10)*B55</f>
        <v>2508.5571726189519</v>
      </c>
      <c r="BF55" s="51">
        <f t="shared" si="13"/>
        <v>4.5284235987259684</v>
      </c>
      <c r="BG55" s="51">
        <f t="shared" si="46"/>
        <v>296.98919875161675</v>
      </c>
      <c r="BH55" s="50">
        <f t="shared" si="14"/>
        <v>172100.76323692908</v>
      </c>
      <c r="BI55" s="50">
        <f>(1-$B$10)*BH55</f>
        <v>169519.25178837514</v>
      </c>
      <c r="BJ55" s="52">
        <f t="shared" si="35"/>
        <v>69884.686094991339</v>
      </c>
      <c r="BK55" s="50">
        <f t="shared" si="47"/>
        <v>38276.899833897725</v>
      </c>
      <c r="BL55" s="52">
        <f t="shared" si="36"/>
        <v>61357.665859486078</v>
      </c>
      <c r="BM55" s="50">
        <f>$B$8*BL55</f>
        <v>17177.146065797449</v>
      </c>
      <c r="BN55" s="50">
        <f t="shared" si="37"/>
        <v>152342.10572257769</v>
      </c>
    </row>
    <row r="56" spans="1:66" x14ac:dyDescent="0.25">
      <c r="A56" s="1">
        <v>40</v>
      </c>
      <c r="B56" s="3">
        <f t="shared" si="38"/>
        <v>2597.6937218998287</v>
      </c>
      <c r="C56" s="48">
        <f t="shared" si="15"/>
        <v>670.47511544044369</v>
      </c>
      <c r="D56" s="47">
        <f t="shared" si="0"/>
        <v>703.99887121246593</v>
      </c>
      <c r="E56" s="8">
        <f>(1-$B$10)*B56</f>
        <v>2558.7283160713314</v>
      </c>
      <c r="F56" s="19">
        <f t="shared" si="1"/>
        <v>3.8162912495126236</v>
      </c>
      <c r="G56" s="7">
        <f t="shared" si="39"/>
        <v>283.94609751657055</v>
      </c>
      <c r="H56" s="8">
        <f t="shared" si="2"/>
        <v>199897.73213685045</v>
      </c>
      <c r="I56" s="8">
        <f>(1-$B$10)*H56</f>
        <v>196899.26615479769</v>
      </c>
      <c r="J56" s="8">
        <f t="shared" si="40"/>
        <v>72482.379816891174</v>
      </c>
      <c r="K56" s="8">
        <f t="shared" si="16"/>
        <v>124416.88633790652</v>
      </c>
      <c r="L56" s="8">
        <f>$B$8*K56</f>
        <v>34830.64421929168</v>
      </c>
      <c r="M56" s="8">
        <f t="shared" si="17"/>
        <v>162068.621935506</v>
      </c>
      <c r="N56" s="58">
        <f t="shared" si="18"/>
        <v>304.92962223557754</v>
      </c>
      <c r="O56" s="57">
        <f t="shared" si="19"/>
        <v>320.17610334735645</v>
      </c>
      <c r="P56" s="57">
        <f t="shared" si="3"/>
        <v>6.4035220669471293</v>
      </c>
      <c r="Q56" s="57">
        <f>P56*$B$9</f>
        <v>1.1951153653878508</v>
      </c>
      <c r="R56" s="57">
        <f t="shared" si="20"/>
        <v>5.2084067015592783</v>
      </c>
      <c r="S56" s="57">
        <f t="shared" si="4"/>
        <v>313.77258128040933</v>
      </c>
      <c r="T56" s="5">
        <f>(1-$B$10)*B56</f>
        <v>2558.7283160713314</v>
      </c>
      <c r="U56" s="6">
        <f t="shared" si="5"/>
        <v>8.3912094119034162</v>
      </c>
      <c r="V56" s="6">
        <f t="shared" si="21"/>
        <v>569.59716524711166</v>
      </c>
      <c r="W56" s="6">
        <f>(1-$B$10)*(V56*R56)/S56</f>
        <v>9.3130931815256748</v>
      </c>
      <c r="X56" s="6">
        <f t="shared" si="6"/>
        <v>578.91025842863735</v>
      </c>
      <c r="Y56" s="13">
        <f t="shared" si="7"/>
        <v>181646.16611686238</v>
      </c>
      <c r="Z56" s="13">
        <f>(1-$B$10)*Y56</f>
        <v>178921.47362510944</v>
      </c>
      <c r="AA56" s="13">
        <f t="shared" si="22"/>
        <v>72482.379816891174</v>
      </c>
      <c r="AB56" s="13">
        <f t="shared" si="41"/>
        <v>41095.134441061651</v>
      </c>
      <c r="AC56" s="13">
        <f t="shared" si="23"/>
        <v>65343.959367156618</v>
      </c>
      <c r="AD56" s="13">
        <f>$B$8*AC56</f>
        <v>18293.113319167322</v>
      </c>
      <c r="AE56" s="13">
        <f t="shared" si="24"/>
        <v>160628.36030594213</v>
      </c>
      <c r="AF56" s="45">
        <f t="shared" si="42"/>
        <v>670.47511544044369</v>
      </c>
      <c r="AG56" s="44">
        <f t="shared" si="25"/>
        <v>703.99887121246593</v>
      </c>
      <c r="AH56" s="44">
        <f t="shared" si="26"/>
        <v>14.07997742424932</v>
      </c>
      <c r="AI56" s="44">
        <f>$B$9*AH56</f>
        <v>2.6278034475575343</v>
      </c>
      <c r="AJ56" s="44">
        <f t="shared" si="27"/>
        <v>14.07997742424932</v>
      </c>
      <c r="AK56" s="44">
        <f t="shared" si="28"/>
        <v>703.99887121246593</v>
      </c>
      <c r="AL56" s="16">
        <f>(1-$B$10)*B56</f>
        <v>2558.7283160713314</v>
      </c>
      <c r="AM56" s="17">
        <f t="shared" si="8"/>
        <v>3.8162912495126236</v>
      </c>
      <c r="AN56" s="17">
        <f t="shared" si="43"/>
        <v>258.58810875118695</v>
      </c>
      <c r="AO56" s="16">
        <f t="shared" si="9"/>
        <v>3640.91473339604</v>
      </c>
      <c r="AP56" s="16">
        <f t="shared" si="10"/>
        <v>679.51872367375165</v>
      </c>
      <c r="AQ56" s="17">
        <f>IF($B$13="JA",AP56/(AX56/AN56),IF($B$13="NEIN",0,"FEHLER"))</f>
        <v>1.0789118244315876</v>
      </c>
      <c r="AR56" s="16">
        <f t="shared" si="11"/>
        <v>182045.73666980199</v>
      </c>
      <c r="AS56" s="16">
        <f>(1-$B$10)*AR56</f>
        <v>179315.05061975497</v>
      </c>
      <c r="AT56" s="15">
        <f t="shared" si="29"/>
        <v>72482.379816891174</v>
      </c>
      <c r="AU56" s="16">
        <f t="shared" si="44"/>
        <v>50494.496330461872</v>
      </c>
      <c r="AV56" s="16">
        <f t="shared" si="30"/>
        <v>56338.174472401923</v>
      </c>
      <c r="AW56" s="16">
        <f>$B$8*AV56</f>
        <v>15771.933929315455</v>
      </c>
      <c r="AX56" s="16">
        <f t="shared" si="31"/>
        <v>162863.59796676578</v>
      </c>
      <c r="AY56" s="55">
        <f t="shared" si="45"/>
        <v>579.48492389739545</v>
      </c>
      <c r="AZ56" s="54">
        <f t="shared" si="32"/>
        <v>608.45917009226525</v>
      </c>
      <c r="BA56" s="54">
        <f t="shared" si="12"/>
        <v>12.169183401845306</v>
      </c>
      <c r="BB56" s="54">
        <f>BA56*$B$9</f>
        <v>2.2711841882824575</v>
      </c>
      <c r="BC56" s="54">
        <f t="shared" si="33"/>
        <v>9.8979992135628478</v>
      </c>
      <c r="BD56" s="54">
        <f t="shared" si="34"/>
        <v>606.18798590398274</v>
      </c>
      <c r="BE56" s="50">
        <f>(1-$B$10)*B56</f>
        <v>2558.7283160713314</v>
      </c>
      <c r="BF56" s="51">
        <f t="shared" si="13"/>
        <v>4.4155218031597734</v>
      </c>
      <c r="BG56" s="51">
        <f t="shared" si="46"/>
        <v>301.40472055477653</v>
      </c>
      <c r="BH56" s="50">
        <f t="shared" si="14"/>
        <v>182707.92049505273</v>
      </c>
      <c r="BI56" s="50">
        <f>(1-$B$10)*BH56</f>
        <v>179967.30168762695</v>
      </c>
      <c r="BJ56" s="52">
        <f t="shared" si="35"/>
        <v>72482.379816891174</v>
      </c>
      <c r="BK56" s="50">
        <f t="shared" si="47"/>
        <v>41260.203520913034</v>
      </c>
      <c r="BL56" s="52">
        <f t="shared" si="36"/>
        <v>66224.718349822739</v>
      </c>
      <c r="BM56" s="50">
        <f>$B$8*BL56</f>
        <v>18539.682765414927</v>
      </c>
      <c r="BN56" s="50">
        <f t="shared" si="37"/>
        <v>161427.61892221202</v>
      </c>
    </row>
  </sheetData>
  <sheetProtection sheet="1" objects="1" scenarios="1"/>
  <mergeCells count="6">
    <mergeCell ref="AF15:AX15"/>
    <mergeCell ref="G1:H1"/>
    <mergeCell ref="E1:F1"/>
    <mergeCell ref="N15:AE15"/>
    <mergeCell ref="AY15:BN15"/>
    <mergeCell ref="C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Ergebnisse</vt:lpstr>
      <vt:lpstr>AA (Berechnungen)</vt:lpstr>
      <vt:lpstr>TER (Berechnungen)</vt:lpstr>
      <vt:lpstr>ETF-Besteuerung (Berechnungen)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2015-05-08T12:51:44Z</dcterms:modified>
</cp:coreProperties>
</file>