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ltntfe\Desktop\"/>
    </mc:Choice>
  </mc:AlternateContent>
  <bookViews>
    <workbookView xWindow="0" yWindow="0" windowWidth="21570" windowHeight="8265" tabRatio="1000" activeTab="1"/>
  </bookViews>
  <sheets>
    <sheet name="Impl premium calculator" sheetId="1" r:id="rId1"/>
    <sheet name="Historical Risk Premium" sheetId="9" r:id="rId2"/>
    <sheet name="Buyback &amp; Dividend computation" sheetId="2" r:id="rId3"/>
    <sheet name="Expected growth rate" sheetId="3" r:id="rId4"/>
    <sheet name="Implied ERP (Monthly from 9-08)" sheetId="4" r:id="rId5"/>
    <sheet name="Implied ERP- Annual since 1960" sheetId="5" r:id="rId6"/>
    <sheet name="T.Bond vs Nominal growth" sheetId="7" r:id="rId7"/>
    <sheet name="S&amp;P 500 Monthly Data (Cap IQ)" sheetId="8" r:id="rId8"/>
  </sheets>
  <externalReferences>
    <externalReference r:id="rId9"/>
  </externalReferences>
  <definedNames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solver_adj" localSheetId="0" hidden="1">'Impl premium calculator'!$C$36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'Impl premium calculator'!$C$44</definedName>
    <definedName name="solver_pre" localSheetId="0" hidden="1">0.000001</definedName>
    <definedName name="solver_rbv" localSheetId="0" hidden="1">1</definedName>
    <definedName name="solver_rlx" localSheetId="0" hidden="1">1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100</definedName>
    <definedName name="solver_tol" localSheetId="0" hidden="1">0.05</definedName>
    <definedName name="solver_typ" localSheetId="0" hidden="1">3</definedName>
    <definedName name="solver_val" localSheetId="0" hidden="1">1606.28</definedName>
    <definedName name="solver_ver" localSheetId="0" hidden="1">2</definedName>
  </definedNames>
  <calcPr calcId="152511" iterate="1" iterateDelta="9.9999999999994451E-4" concurrentCalc="0"/>
</workbook>
</file>

<file path=xl/calcChain.xml><?xml version="1.0" encoding="utf-8"?>
<calcChain xmlns="http://schemas.openxmlformats.org/spreadsheetml/2006/main">
  <c r="G18" i="1" l="1"/>
  <c r="B19" i="9"/>
  <c r="E19" i="9"/>
  <c r="B20" i="9"/>
  <c r="E20" i="9"/>
  <c r="B21" i="9"/>
  <c r="E21" i="9"/>
  <c r="B22" i="9"/>
  <c r="E22" i="9"/>
  <c r="B23" i="9"/>
  <c r="E23" i="9"/>
  <c r="B24" i="9"/>
  <c r="E24" i="9"/>
  <c r="B25" i="9"/>
  <c r="E25" i="9"/>
  <c r="B26" i="9"/>
  <c r="E26" i="9"/>
  <c r="B27" i="9"/>
  <c r="E27" i="9"/>
  <c r="B28" i="9"/>
  <c r="E28" i="9"/>
  <c r="B29" i="9"/>
  <c r="E29" i="9"/>
  <c r="B30" i="9"/>
  <c r="E30" i="9"/>
  <c r="B31" i="9"/>
  <c r="E31" i="9"/>
  <c r="B32" i="9"/>
  <c r="E32" i="9"/>
  <c r="B33" i="9"/>
  <c r="E33" i="9"/>
  <c r="B34" i="9"/>
  <c r="E34" i="9"/>
  <c r="B35" i="9"/>
  <c r="E35" i="9"/>
  <c r="B36" i="9"/>
  <c r="E36" i="9"/>
  <c r="B37" i="9"/>
  <c r="E37" i="9"/>
  <c r="B38" i="9"/>
  <c r="E38" i="9"/>
  <c r="B39" i="9"/>
  <c r="E39" i="9"/>
  <c r="B40" i="9"/>
  <c r="E40" i="9"/>
  <c r="B41" i="9"/>
  <c r="E41" i="9"/>
  <c r="B42" i="9"/>
  <c r="E42" i="9"/>
  <c r="B43" i="9"/>
  <c r="E43" i="9"/>
  <c r="B44" i="9"/>
  <c r="E44" i="9"/>
  <c r="B45" i="9"/>
  <c r="E45" i="9"/>
  <c r="B46" i="9"/>
  <c r="E46" i="9"/>
  <c r="B47" i="9"/>
  <c r="E47" i="9"/>
  <c r="B48" i="9"/>
  <c r="E48" i="9"/>
  <c r="B49" i="9"/>
  <c r="E49" i="9"/>
  <c r="B50" i="9"/>
  <c r="E50" i="9"/>
  <c r="B51" i="9"/>
  <c r="E51" i="9"/>
  <c r="B52" i="9"/>
  <c r="E52" i="9"/>
  <c r="B53" i="9"/>
  <c r="E53" i="9"/>
  <c r="B54" i="9"/>
  <c r="E54" i="9"/>
  <c r="B55" i="9"/>
  <c r="E55" i="9"/>
  <c r="B56" i="9"/>
  <c r="E56" i="9"/>
  <c r="B57" i="9"/>
  <c r="E57" i="9"/>
  <c r="B58" i="9"/>
  <c r="E58" i="9"/>
  <c r="B59" i="9"/>
  <c r="E59" i="9"/>
  <c r="B60" i="9"/>
  <c r="E60" i="9"/>
  <c r="B61" i="9"/>
  <c r="E61" i="9"/>
  <c r="B62" i="9"/>
  <c r="E62" i="9"/>
  <c r="B63" i="9"/>
  <c r="E63" i="9"/>
  <c r="B64" i="9"/>
  <c r="E64" i="9"/>
  <c r="B65" i="9"/>
  <c r="E65" i="9"/>
  <c r="B66" i="9"/>
  <c r="E66" i="9"/>
  <c r="B67" i="9"/>
  <c r="E67" i="9"/>
  <c r="B68" i="9"/>
  <c r="E68" i="9"/>
  <c r="B69" i="9"/>
  <c r="E69" i="9"/>
  <c r="B70" i="9"/>
  <c r="E70" i="9"/>
  <c r="B71" i="9"/>
  <c r="E71" i="9"/>
  <c r="B72" i="9"/>
  <c r="E72" i="9"/>
  <c r="B73" i="9"/>
  <c r="E73" i="9"/>
  <c r="B74" i="9"/>
  <c r="E74" i="9"/>
  <c r="B75" i="9"/>
  <c r="E75" i="9"/>
  <c r="B76" i="9"/>
  <c r="E76" i="9"/>
  <c r="B77" i="9"/>
  <c r="E77" i="9"/>
  <c r="B78" i="9"/>
  <c r="E78" i="9"/>
  <c r="B79" i="9"/>
  <c r="E79" i="9"/>
  <c r="B80" i="9"/>
  <c r="E80" i="9"/>
  <c r="B81" i="9"/>
  <c r="E81" i="9"/>
  <c r="B82" i="9"/>
  <c r="E82" i="9"/>
  <c r="B83" i="9"/>
  <c r="E83" i="9"/>
  <c r="B84" i="9"/>
  <c r="E84" i="9"/>
  <c r="B85" i="9"/>
  <c r="E85" i="9"/>
  <c r="B86" i="9"/>
  <c r="E86" i="9"/>
  <c r="B87" i="9"/>
  <c r="E87" i="9"/>
  <c r="B88" i="9"/>
  <c r="E88" i="9"/>
  <c r="B89" i="9"/>
  <c r="E89" i="9"/>
  <c r="B90" i="9"/>
  <c r="E90" i="9"/>
  <c r="B91" i="9"/>
  <c r="E91" i="9"/>
  <c r="B92" i="9"/>
  <c r="E92" i="9"/>
  <c r="B93" i="9"/>
  <c r="E93" i="9"/>
  <c r="B94" i="9"/>
  <c r="E94" i="9"/>
  <c r="B95" i="9"/>
  <c r="E95" i="9"/>
  <c r="B96" i="9"/>
  <c r="E96" i="9"/>
  <c r="B97" i="9"/>
  <c r="E97" i="9"/>
  <c r="B98" i="9"/>
  <c r="E98" i="9"/>
  <c r="B99" i="9"/>
  <c r="E99" i="9"/>
  <c r="B100" i="9"/>
  <c r="E100" i="9"/>
  <c r="B101" i="9"/>
  <c r="E101" i="9"/>
  <c r="B102" i="9"/>
  <c r="E102" i="9"/>
  <c r="B103" i="9"/>
  <c r="E103" i="9"/>
  <c r="B104" i="9"/>
  <c r="E104" i="9"/>
  <c r="B105" i="9"/>
  <c r="E105" i="9"/>
  <c r="B106" i="9"/>
  <c r="E106" i="9"/>
  <c r="B116" i="9"/>
  <c r="D19" i="9"/>
  <c r="G19" i="9"/>
  <c r="D20" i="9"/>
  <c r="G20" i="9"/>
  <c r="D21" i="9"/>
  <c r="G21" i="9"/>
  <c r="D22" i="9"/>
  <c r="G22" i="9"/>
  <c r="D23" i="9"/>
  <c r="G23" i="9"/>
  <c r="D24" i="9"/>
  <c r="G24" i="9"/>
  <c r="D25" i="9"/>
  <c r="G25" i="9"/>
  <c r="D26" i="9"/>
  <c r="G26" i="9"/>
  <c r="D27" i="9"/>
  <c r="G27" i="9"/>
  <c r="D28" i="9"/>
  <c r="G28" i="9"/>
  <c r="D29" i="9"/>
  <c r="G29" i="9"/>
  <c r="D30" i="9"/>
  <c r="G30" i="9"/>
  <c r="D31" i="9"/>
  <c r="G31" i="9"/>
  <c r="D32" i="9"/>
  <c r="G32" i="9"/>
  <c r="D33" i="9"/>
  <c r="G33" i="9"/>
  <c r="D34" i="9"/>
  <c r="G34" i="9"/>
  <c r="D35" i="9"/>
  <c r="G35" i="9"/>
  <c r="D36" i="9"/>
  <c r="G36" i="9"/>
  <c r="D37" i="9"/>
  <c r="G37" i="9"/>
  <c r="D38" i="9"/>
  <c r="G38" i="9"/>
  <c r="D39" i="9"/>
  <c r="G39" i="9"/>
  <c r="D40" i="9"/>
  <c r="G40" i="9"/>
  <c r="D41" i="9"/>
  <c r="G41" i="9"/>
  <c r="D42" i="9"/>
  <c r="G42" i="9"/>
  <c r="D43" i="9"/>
  <c r="G43" i="9"/>
  <c r="D44" i="9"/>
  <c r="G44" i="9"/>
  <c r="D45" i="9"/>
  <c r="G45" i="9"/>
  <c r="D46" i="9"/>
  <c r="G46" i="9"/>
  <c r="D47" i="9"/>
  <c r="G47" i="9"/>
  <c r="D48" i="9"/>
  <c r="G48" i="9"/>
  <c r="D49" i="9"/>
  <c r="G49" i="9"/>
  <c r="D50" i="9"/>
  <c r="G50" i="9"/>
  <c r="D51" i="9"/>
  <c r="G51" i="9"/>
  <c r="D52" i="9"/>
  <c r="G52" i="9"/>
  <c r="D53" i="9"/>
  <c r="G53" i="9"/>
  <c r="D54" i="9"/>
  <c r="G54" i="9"/>
  <c r="D55" i="9"/>
  <c r="G55" i="9"/>
  <c r="D56" i="9"/>
  <c r="G56" i="9"/>
  <c r="D57" i="9"/>
  <c r="G57" i="9"/>
  <c r="D58" i="9"/>
  <c r="G58" i="9"/>
  <c r="D59" i="9"/>
  <c r="G59" i="9"/>
  <c r="D60" i="9"/>
  <c r="G60" i="9"/>
  <c r="D61" i="9"/>
  <c r="G61" i="9"/>
  <c r="D62" i="9"/>
  <c r="G62" i="9"/>
  <c r="D63" i="9"/>
  <c r="G63" i="9"/>
  <c r="D64" i="9"/>
  <c r="G64" i="9"/>
  <c r="D65" i="9"/>
  <c r="G65" i="9"/>
  <c r="D66" i="9"/>
  <c r="G66" i="9"/>
  <c r="D67" i="9"/>
  <c r="G67" i="9"/>
  <c r="D68" i="9"/>
  <c r="G68" i="9"/>
  <c r="D69" i="9"/>
  <c r="G69" i="9"/>
  <c r="D70" i="9"/>
  <c r="G70" i="9"/>
  <c r="D71" i="9"/>
  <c r="G71" i="9"/>
  <c r="D72" i="9"/>
  <c r="G72" i="9"/>
  <c r="D73" i="9"/>
  <c r="G73" i="9"/>
  <c r="D74" i="9"/>
  <c r="G74" i="9"/>
  <c r="D75" i="9"/>
  <c r="G75" i="9"/>
  <c r="D76" i="9"/>
  <c r="G76" i="9"/>
  <c r="D77" i="9"/>
  <c r="G77" i="9"/>
  <c r="D78" i="9"/>
  <c r="G78" i="9"/>
  <c r="D79" i="9"/>
  <c r="G79" i="9"/>
  <c r="D80" i="9"/>
  <c r="G80" i="9"/>
  <c r="D81" i="9"/>
  <c r="G81" i="9"/>
  <c r="D82" i="9"/>
  <c r="G82" i="9"/>
  <c r="D83" i="9"/>
  <c r="G83" i="9"/>
  <c r="D84" i="9"/>
  <c r="G84" i="9"/>
  <c r="D85" i="9"/>
  <c r="G85" i="9"/>
  <c r="D86" i="9"/>
  <c r="G86" i="9"/>
  <c r="D87" i="9"/>
  <c r="G87" i="9"/>
  <c r="D88" i="9"/>
  <c r="G88" i="9"/>
  <c r="D89" i="9"/>
  <c r="G89" i="9"/>
  <c r="D90" i="9"/>
  <c r="G90" i="9"/>
  <c r="D91" i="9"/>
  <c r="G91" i="9"/>
  <c r="D92" i="9"/>
  <c r="G92" i="9"/>
  <c r="D93" i="9"/>
  <c r="G93" i="9"/>
  <c r="D94" i="9"/>
  <c r="G94" i="9"/>
  <c r="D95" i="9"/>
  <c r="G95" i="9"/>
  <c r="D96" i="9"/>
  <c r="G96" i="9"/>
  <c r="D97" i="9"/>
  <c r="G97" i="9"/>
  <c r="D98" i="9"/>
  <c r="G98" i="9"/>
  <c r="D99" i="9"/>
  <c r="G99" i="9"/>
  <c r="D100" i="9"/>
  <c r="G100" i="9"/>
  <c r="D101" i="9"/>
  <c r="G101" i="9"/>
  <c r="D102" i="9"/>
  <c r="G102" i="9"/>
  <c r="D103" i="9"/>
  <c r="G103" i="9"/>
  <c r="D104" i="9"/>
  <c r="G104" i="9"/>
  <c r="D105" i="9"/>
  <c r="G105" i="9"/>
  <c r="D106" i="9"/>
  <c r="G106" i="9"/>
  <c r="D116" i="9"/>
  <c r="G116" i="9"/>
  <c r="F19" i="9"/>
  <c r="F20" i="9"/>
  <c r="F21" i="9"/>
  <c r="F22" i="9"/>
  <c r="F23" i="9"/>
  <c r="F24" i="9"/>
  <c r="C25" i="9"/>
  <c r="F25" i="9"/>
  <c r="C26" i="9"/>
  <c r="F26" i="9"/>
  <c r="C27" i="9"/>
  <c r="F27" i="9"/>
  <c r="C28" i="9"/>
  <c r="F28" i="9"/>
  <c r="C29" i="9"/>
  <c r="F29" i="9"/>
  <c r="C30" i="9"/>
  <c r="F30" i="9"/>
  <c r="C31" i="9"/>
  <c r="F31" i="9"/>
  <c r="C32" i="9"/>
  <c r="F32" i="9"/>
  <c r="C33" i="9"/>
  <c r="F33" i="9"/>
  <c r="C34" i="9"/>
  <c r="F34" i="9"/>
  <c r="C35" i="9"/>
  <c r="F35" i="9"/>
  <c r="C36" i="9"/>
  <c r="F36" i="9"/>
  <c r="C37" i="9"/>
  <c r="F37" i="9"/>
  <c r="C38" i="9"/>
  <c r="F38" i="9"/>
  <c r="C39" i="9"/>
  <c r="F39" i="9"/>
  <c r="C40" i="9"/>
  <c r="F40" i="9"/>
  <c r="C41" i="9"/>
  <c r="F41" i="9"/>
  <c r="C42" i="9"/>
  <c r="F42" i="9"/>
  <c r="C43" i="9"/>
  <c r="F43" i="9"/>
  <c r="C44" i="9"/>
  <c r="F44" i="9"/>
  <c r="C45" i="9"/>
  <c r="F45" i="9"/>
  <c r="C46" i="9"/>
  <c r="F46" i="9"/>
  <c r="C47" i="9"/>
  <c r="F47" i="9"/>
  <c r="C48" i="9"/>
  <c r="F48" i="9"/>
  <c r="C49" i="9"/>
  <c r="F49" i="9"/>
  <c r="C50" i="9"/>
  <c r="F50" i="9"/>
  <c r="C51" i="9"/>
  <c r="F51" i="9"/>
  <c r="C52" i="9"/>
  <c r="F52" i="9"/>
  <c r="C53" i="9"/>
  <c r="F53" i="9"/>
  <c r="C54" i="9"/>
  <c r="F54" i="9"/>
  <c r="C55" i="9"/>
  <c r="F55" i="9"/>
  <c r="C56" i="9"/>
  <c r="F56" i="9"/>
  <c r="C57" i="9"/>
  <c r="F57" i="9"/>
  <c r="C58" i="9"/>
  <c r="F58" i="9"/>
  <c r="C59" i="9"/>
  <c r="F59" i="9"/>
  <c r="C60" i="9"/>
  <c r="F60" i="9"/>
  <c r="C61" i="9"/>
  <c r="F61" i="9"/>
  <c r="C62" i="9"/>
  <c r="F62" i="9"/>
  <c r="C63" i="9"/>
  <c r="F63" i="9"/>
  <c r="C64" i="9"/>
  <c r="F64" i="9"/>
  <c r="C65" i="9"/>
  <c r="F65" i="9"/>
  <c r="C66" i="9"/>
  <c r="F66" i="9"/>
  <c r="C67" i="9"/>
  <c r="F67" i="9"/>
  <c r="C68" i="9"/>
  <c r="F68" i="9"/>
  <c r="C69" i="9"/>
  <c r="F69" i="9"/>
  <c r="C70" i="9"/>
  <c r="F70" i="9"/>
  <c r="C71" i="9"/>
  <c r="F71" i="9"/>
  <c r="C72" i="9"/>
  <c r="F72" i="9"/>
  <c r="C73" i="9"/>
  <c r="F73" i="9"/>
  <c r="C74" i="9"/>
  <c r="F74" i="9"/>
  <c r="C75" i="9"/>
  <c r="F75" i="9"/>
  <c r="C76" i="9"/>
  <c r="F76" i="9"/>
  <c r="C77" i="9"/>
  <c r="F77" i="9"/>
  <c r="C78" i="9"/>
  <c r="F78" i="9"/>
  <c r="C79" i="9"/>
  <c r="F79" i="9"/>
  <c r="C80" i="9"/>
  <c r="F80" i="9"/>
  <c r="C81" i="9"/>
  <c r="F81" i="9"/>
  <c r="C82" i="9"/>
  <c r="F82" i="9"/>
  <c r="C83" i="9"/>
  <c r="F83" i="9"/>
  <c r="C84" i="9"/>
  <c r="F84" i="9"/>
  <c r="C85" i="9"/>
  <c r="F85" i="9"/>
  <c r="C86" i="9"/>
  <c r="F86" i="9"/>
  <c r="C87" i="9"/>
  <c r="F87" i="9"/>
  <c r="C88" i="9"/>
  <c r="F88" i="9"/>
  <c r="C89" i="9"/>
  <c r="F89" i="9"/>
  <c r="C90" i="9"/>
  <c r="F90" i="9"/>
  <c r="C91" i="9"/>
  <c r="F91" i="9"/>
  <c r="C92" i="9"/>
  <c r="F92" i="9"/>
  <c r="C93" i="9"/>
  <c r="F93" i="9"/>
  <c r="C94" i="9"/>
  <c r="F94" i="9"/>
  <c r="C95" i="9"/>
  <c r="F95" i="9"/>
  <c r="C96" i="9"/>
  <c r="F96" i="9"/>
  <c r="C97" i="9"/>
  <c r="F97" i="9"/>
  <c r="C98" i="9"/>
  <c r="F98" i="9"/>
  <c r="C99" i="9"/>
  <c r="F99" i="9"/>
  <c r="C100" i="9"/>
  <c r="F100" i="9"/>
  <c r="F101" i="9"/>
  <c r="F102" i="9"/>
  <c r="F103" i="9"/>
  <c r="F104" i="9"/>
  <c r="F105" i="9"/>
  <c r="F106" i="9"/>
  <c r="C116" i="9"/>
  <c r="F116" i="9"/>
  <c r="B115" i="9"/>
  <c r="D115" i="9"/>
  <c r="G115" i="9"/>
  <c r="C115" i="9"/>
  <c r="F115" i="9"/>
  <c r="B114" i="9"/>
  <c r="D114" i="9"/>
  <c r="G114" i="9"/>
  <c r="C114" i="9"/>
  <c r="F114" i="9"/>
  <c r="I97" i="9"/>
  <c r="I98" i="9"/>
  <c r="I99" i="9"/>
  <c r="I100" i="9"/>
  <c r="I101" i="9"/>
  <c r="I102" i="9"/>
  <c r="I103" i="9"/>
  <c r="I104" i="9"/>
  <c r="I105" i="9"/>
  <c r="I106" i="9"/>
  <c r="I111" i="9"/>
  <c r="H97" i="9"/>
  <c r="H98" i="9"/>
  <c r="H99" i="9"/>
  <c r="H100" i="9"/>
  <c r="H101" i="9"/>
  <c r="H102" i="9"/>
  <c r="H103" i="9"/>
  <c r="H104" i="9"/>
  <c r="H105" i="9"/>
  <c r="H106" i="9"/>
  <c r="H111" i="9"/>
  <c r="B111" i="9"/>
  <c r="D111" i="9"/>
  <c r="G111" i="9"/>
  <c r="C111" i="9"/>
  <c r="F111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110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110" i="9"/>
  <c r="B110" i="9"/>
  <c r="D110" i="9"/>
  <c r="G110" i="9"/>
  <c r="C110" i="9"/>
  <c r="F110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109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109" i="9"/>
  <c r="B109" i="9"/>
  <c r="D109" i="9"/>
  <c r="G109" i="9"/>
  <c r="C109" i="9"/>
  <c r="F109" i="9"/>
  <c r="L106" i="9"/>
  <c r="P106" i="9"/>
  <c r="M106" i="9"/>
  <c r="N106" i="9"/>
  <c r="J106" i="9"/>
  <c r="L105" i="9"/>
  <c r="P105" i="9"/>
  <c r="M105" i="9"/>
  <c r="N105" i="9"/>
  <c r="J105" i="9"/>
  <c r="L104" i="9"/>
  <c r="P104" i="9"/>
  <c r="M104" i="9"/>
  <c r="N104" i="9"/>
  <c r="J104" i="9"/>
  <c r="L103" i="9"/>
  <c r="P103" i="9"/>
  <c r="M103" i="9"/>
  <c r="N103" i="9"/>
  <c r="J103" i="9"/>
  <c r="L102" i="9"/>
  <c r="P102" i="9"/>
  <c r="M102" i="9"/>
  <c r="N102" i="9"/>
  <c r="J102" i="9"/>
  <c r="L101" i="9"/>
  <c r="P101" i="9"/>
  <c r="M101" i="9"/>
  <c r="N101" i="9"/>
  <c r="J101" i="9"/>
  <c r="L100" i="9"/>
  <c r="P100" i="9"/>
  <c r="M100" i="9"/>
  <c r="N100" i="9"/>
  <c r="J100" i="9"/>
  <c r="L99" i="9"/>
  <c r="P99" i="9"/>
  <c r="M99" i="9"/>
  <c r="N99" i="9"/>
  <c r="J99" i="9"/>
  <c r="L98" i="9"/>
  <c r="P98" i="9"/>
  <c r="M98" i="9"/>
  <c r="N98" i="9"/>
  <c r="J98" i="9"/>
  <c r="L97" i="9"/>
  <c r="P97" i="9"/>
  <c r="M97" i="9"/>
  <c r="N97" i="9"/>
  <c r="J97" i="9"/>
  <c r="L96" i="9"/>
  <c r="P96" i="9"/>
  <c r="M96" i="9"/>
  <c r="N96" i="9"/>
  <c r="J96" i="9"/>
  <c r="L95" i="9"/>
  <c r="P95" i="9"/>
  <c r="M95" i="9"/>
  <c r="N95" i="9"/>
  <c r="J95" i="9"/>
  <c r="L94" i="9"/>
  <c r="P94" i="9"/>
  <c r="M94" i="9"/>
  <c r="N94" i="9"/>
  <c r="J94" i="9"/>
  <c r="L93" i="9"/>
  <c r="P93" i="9"/>
  <c r="M93" i="9"/>
  <c r="N93" i="9"/>
  <c r="J93" i="9"/>
  <c r="L92" i="9"/>
  <c r="P92" i="9"/>
  <c r="M92" i="9"/>
  <c r="N92" i="9"/>
  <c r="J92" i="9"/>
  <c r="L91" i="9"/>
  <c r="P91" i="9"/>
  <c r="M91" i="9"/>
  <c r="N91" i="9"/>
  <c r="J91" i="9"/>
  <c r="L90" i="9"/>
  <c r="P90" i="9"/>
  <c r="M90" i="9"/>
  <c r="N90" i="9"/>
  <c r="J90" i="9"/>
  <c r="L89" i="9"/>
  <c r="P89" i="9"/>
  <c r="M89" i="9"/>
  <c r="N89" i="9"/>
  <c r="J89" i="9"/>
  <c r="L88" i="9"/>
  <c r="P88" i="9"/>
  <c r="M88" i="9"/>
  <c r="N88" i="9"/>
  <c r="J88" i="9"/>
  <c r="L87" i="9"/>
  <c r="P87" i="9"/>
  <c r="M87" i="9"/>
  <c r="N87" i="9"/>
  <c r="J87" i="9"/>
  <c r="L86" i="9"/>
  <c r="P86" i="9"/>
  <c r="M86" i="9"/>
  <c r="N86" i="9"/>
  <c r="J86" i="9"/>
  <c r="L85" i="9"/>
  <c r="P85" i="9"/>
  <c r="M85" i="9"/>
  <c r="N85" i="9"/>
  <c r="J85" i="9"/>
  <c r="L84" i="9"/>
  <c r="P84" i="9"/>
  <c r="M84" i="9"/>
  <c r="N84" i="9"/>
  <c r="J84" i="9"/>
  <c r="L83" i="9"/>
  <c r="P83" i="9"/>
  <c r="M83" i="9"/>
  <c r="N83" i="9"/>
  <c r="J83" i="9"/>
  <c r="L82" i="9"/>
  <c r="P82" i="9"/>
  <c r="M82" i="9"/>
  <c r="N82" i="9"/>
  <c r="J82" i="9"/>
  <c r="L81" i="9"/>
  <c r="P81" i="9"/>
  <c r="M81" i="9"/>
  <c r="N81" i="9"/>
  <c r="J81" i="9"/>
  <c r="L80" i="9"/>
  <c r="P80" i="9"/>
  <c r="M80" i="9"/>
  <c r="N80" i="9"/>
  <c r="J80" i="9"/>
  <c r="L79" i="9"/>
  <c r="P79" i="9"/>
  <c r="M79" i="9"/>
  <c r="N79" i="9"/>
  <c r="J79" i="9"/>
  <c r="L78" i="9"/>
  <c r="P78" i="9"/>
  <c r="M78" i="9"/>
  <c r="N78" i="9"/>
  <c r="J78" i="9"/>
  <c r="L77" i="9"/>
  <c r="P77" i="9"/>
  <c r="M77" i="9"/>
  <c r="N77" i="9"/>
  <c r="J77" i="9"/>
  <c r="L76" i="9"/>
  <c r="P76" i="9"/>
  <c r="M76" i="9"/>
  <c r="N76" i="9"/>
  <c r="J76" i="9"/>
  <c r="L75" i="9"/>
  <c r="P75" i="9"/>
  <c r="M75" i="9"/>
  <c r="N75" i="9"/>
  <c r="J75" i="9"/>
  <c r="L74" i="9"/>
  <c r="P74" i="9"/>
  <c r="M74" i="9"/>
  <c r="N74" i="9"/>
  <c r="J74" i="9"/>
  <c r="L73" i="9"/>
  <c r="P73" i="9"/>
  <c r="M73" i="9"/>
  <c r="N73" i="9"/>
  <c r="J73" i="9"/>
  <c r="L72" i="9"/>
  <c r="P72" i="9"/>
  <c r="M72" i="9"/>
  <c r="N72" i="9"/>
  <c r="J72" i="9"/>
  <c r="L71" i="9"/>
  <c r="P71" i="9"/>
  <c r="M71" i="9"/>
  <c r="N71" i="9"/>
  <c r="J71" i="9"/>
  <c r="L70" i="9"/>
  <c r="P70" i="9"/>
  <c r="M70" i="9"/>
  <c r="N70" i="9"/>
  <c r="J70" i="9"/>
  <c r="L69" i="9"/>
  <c r="P69" i="9"/>
  <c r="M69" i="9"/>
  <c r="N69" i="9"/>
  <c r="J69" i="9"/>
  <c r="L68" i="9"/>
  <c r="P68" i="9"/>
  <c r="M68" i="9"/>
  <c r="N68" i="9"/>
  <c r="J68" i="9"/>
  <c r="L67" i="9"/>
  <c r="P67" i="9"/>
  <c r="M67" i="9"/>
  <c r="N67" i="9"/>
  <c r="J67" i="9"/>
  <c r="L66" i="9"/>
  <c r="P66" i="9"/>
  <c r="M66" i="9"/>
  <c r="N66" i="9"/>
  <c r="J66" i="9"/>
  <c r="L65" i="9"/>
  <c r="P65" i="9"/>
  <c r="M65" i="9"/>
  <c r="N65" i="9"/>
  <c r="J65" i="9"/>
  <c r="L64" i="9"/>
  <c r="P64" i="9"/>
  <c r="M64" i="9"/>
  <c r="N64" i="9"/>
  <c r="J64" i="9"/>
  <c r="L63" i="9"/>
  <c r="P63" i="9"/>
  <c r="M63" i="9"/>
  <c r="N63" i="9"/>
  <c r="J63" i="9"/>
  <c r="L62" i="9"/>
  <c r="P62" i="9"/>
  <c r="M62" i="9"/>
  <c r="N62" i="9"/>
  <c r="J62" i="9"/>
  <c r="L61" i="9"/>
  <c r="P61" i="9"/>
  <c r="M61" i="9"/>
  <c r="N61" i="9"/>
  <c r="J61" i="9"/>
  <c r="L60" i="9"/>
  <c r="P60" i="9"/>
  <c r="M60" i="9"/>
  <c r="N60" i="9"/>
  <c r="J60" i="9"/>
  <c r="L59" i="9"/>
  <c r="P59" i="9"/>
  <c r="M59" i="9"/>
  <c r="N59" i="9"/>
  <c r="J59" i="9"/>
  <c r="L58" i="9"/>
  <c r="P58" i="9"/>
  <c r="M58" i="9"/>
  <c r="N58" i="9"/>
  <c r="J58" i="9"/>
  <c r="L57" i="9"/>
  <c r="P57" i="9"/>
  <c r="M57" i="9"/>
  <c r="N57" i="9"/>
  <c r="J57" i="9"/>
  <c r="L56" i="9"/>
  <c r="P56" i="9"/>
  <c r="M56" i="9"/>
  <c r="N56" i="9"/>
  <c r="J56" i="9"/>
  <c r="L55" i="9"/>
  <c r="P55" i="9"/>
  <c r="M55" i="9"/>
  <c r="N55" i="9"/>
  <c r="J55" i="9"/>
  <c r="L54" i="9"/>
  <c r="P54" i="9"/>
  <c r="M54" i="9"/>
  <c r="N54" i="9"/>
  <c r="J54" i="9"/>
  <c r="L53" i="9"/>
  <c r="P53" i="9"/>
  <c r="M53" i="9"/>
  <c r="N53" i="9"/>
  <c r="J53" i="9"/>
  <c r="L52" i="9"/>
  <c r="P52" i="9"/>
  <c r="M52" i="9"/>
  <c r="N52" i="9"/>
  <c r="J52" i="9"/>
  <c r="L51" i="9"/>
  <c r="P51" i="9"/>
  <c r="M51" i="9"/>
  <c r="N51" i="9"/>
  <c r="J51" i="9"/>
  <c r="E12" i="9"/>
  <c r="E14" i="9"/>
  <c r="E15" i="9"/>
  <c r="E13" i="9"/>
  <c r="B29" i="1"/>
  <c r="B28" i="1"/>
  <c r="C28" i="1"/>
  <c r="B7" i="1"/>
  <c r="C27" i="1"/>
  <c r="C29" i="1"/>
  <c r="D28" i="1"/>
  <c r="D27" i="1"/>
  <c r="D29" i="1"/>
  <c r="E28" i="1"/>
  <c r="E27" i="1"/>
  <c r="E29" i="1"/>
  <c r="F28" i="1"/>
  <c r="F27" i="1"/>
  <c r="F29" i="1"/>
  <c r="G28" i="1"/>
  <c r="G27" i="1"/>
  <c r="G29" i="1"/>
  <c r="H28" i="1"/>
  <c r="H27" i="1"/>
  <c r="H29" i="1"/>
  <c r="B27" i="1"/>
  <c r="B10" i="1"/>
  <c r="C31" i="1"/>
  <c r="D31" i="1"/>
  <c r="E31" i="1"/>
  <c r="F31" i="1"/>
  <c r="G30" i="1"/>
  <c r="G31" i="1"/>
  <c r="C32" i="1"/>
  <c r="C33" i="1"/>
  <c r="B58" i="2"/>
  <c r="E39" i="2"/>
  <c r="B50" i="2"/>
  <c r="C36" i="2"/>
  <c r="I41" i="2"/>
  <c r="C58" i="2"/>
  <c r="F39" i="2"/>
  <c r="D36" i="2"/>
  <c r="D58" i="2"/>
  <c r="G39" i="2"/>
  <c r="E36" i="2"/>
  <c r="G36" i="2"/>
  <c r="I40" i="2"/>
  <c r="G22" i="1"/>
  <c r="G21" i="1"/>
  <c r="G20" i="1"/>
  <c r="G40" i="1"/>
  <c r="G4" i="3"/>
  <c r="G8" i="3"/>
  <c r="G5" i="3"/>
  <c r="G6" i="3"/>
  <c r="G7" i="3"/>
  <c r="G9" i="3"/>
  <c r="G13" i="1"/>
  <c r="G39" i="1"/>
  <c r="G41" i="1"/>
  <c r="F40" i="1"/>
  <c r="F39" i="1"/>
  <c r="F41" i="1"/>
  <c r="E40" i="1"/>
  <c r="E39" i="1"/>
  <c r="E41" i="1"/>
  <c r="D40" i="1"/>
  <c r="D39" i="1"/>
  <c r="D41" i="1"/>
  <c r="C40" i="1"/>
  <c r="C39" i="1"/>
  <c r="C41" i="1"/>
  <c r="B11" i="1"/>
  <c r="H41" i="1"/>
  <c r="G42" i="1"/>
  <c r="H40" i="1"/>
  <c r="H39" i="1"/>
  <c r="B41" i="1"/>
  <c r="B40" i="1"/>
  <c r="B39" i="1"/>
  <c r="B38" i="1"/>
  <c r="H38" i="1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J8" i="8"/>
  <c r="F62" i="2"/>
  <c r="E62" i="2"/>
  <c r="D62" i="2"/>
  <c r="D8" i="8"/>
  <c r="C62" i="2"/>
  <c r="B62" i="2"/>
  <c r="I8" i="8"/>
  <c r="Q8" i="8"/>
  <c r="O8" i="8"/>
  <c r="U8" i="8"/>
  <c r="H8" i="8"/>
  <c r="P8" i="8"/>
  <c r="T8" i="8"/>
  <c r="L8" i="8"/>
  <c r="K8" i="8"/>
  <c r="S8" i="8"/>
  <c r="R8" i="8"/>
  <c r="N8" i="8"/>
  <c r="M8" i="8"/>
  <c r="T18" i="8"/>
  <c r="O36" i="2"/>
  <c r="G40" i="2"/>
  <c r="E40" i="2"/>
  <c r="E35" i="2"/>
  <c r="F40" i="2"/>
  <c r="D35" i="2"/>
  <c r="H35" i="2"/>
  <c r="L35" i="2"/>
  <c r="J7" i="8"/>
  <c r="F37" i="2"/>
  <c r="E37" i="2"/>
  <c r="D7" i="8"/>
  <c r="D37" i="2"/>
  <c r="C37" i="2"/>
  <c r="I7" i="8"/>
  <c r="Q7" i="8"/>
  <c r="O7" i="8"/>
  <c r="U7" i="8"/>
  <c r="H7" i="8"/>
  <c r="P7" i="8"/>
  <c r="T7" i="8"/>
  <c r="L7" i="8"/>
  <c r="K7" i="8"/>
  <c r="S7" i="8"/>
  <c r="R7" i="8"/>
  <c r="N7" i="8"/>
  <c r="M7" i="8"/>
  <c r="J6" i="8"/>
  <c r="I6" i="8"/>
  <c r="Q6" i="8"/>
  <c r="O6" i="8"/>
  <c r="U6" i="8"/>
  <c r="D6" i="8"/>
  <c r="H6" i="8"/>
  <c r="P6" i="8"/>
  <c r="T6" i="8"/>
  <c r="L6" i="8"/>
  <c r="K6" i="8"/>
  <c r="S6" i="8"/>
  <c r="R6" i="8"/>
  <c r="N6" i="8"/>
  <c r="M6" i="8"/>
  <c r="Q32" i="2"/>
  <c r="Q33" i="2"/>
  <c r="Q31" i="2"/>
  <c r="Q30" i="2"/>
  <c r="Q29" i="2"/>
  <c r="Q28" i="2"/>
  <c r="Q27" i="2"/>
  <c r="Q26" i="2"/>
  <c r="Q25" i="2"/>
  <c r="Q24" i="2"/>
  <c r="Q23" i="2"/>
  <c r="Q22" i="2"/>
  <c r="J5" i="8"/>
  <c r="I5" i="8"/>
  <c r="Q5" i="8"/>
  <c r="O5" i="8"/>
  <c r="U5" i="8"/>
  <c r="H5" i="8"/>
  <c r="P5" i="8"/>
  <c r="T5" i="8"/>
  <c r="L5" i="8"/>
  <c r="K5" i="8"/>
  <c r="S5" i="8"/>
  <c r="R5" i="8"/>
  <c r="N5" i="8"/>
  <c r="M5" i="8"/>
  <c r="G37" i="2"/>
  <c r="H37" i="2"/>
  <c r="Q34" i="2"/>
  <c r="D4" i="8"/>
  <c r="F36" i="2"/>
  <c r="J4" i="8"/>
  <c r="I4" i="8"/>
  <c r="Q4" i="8"/>
  <c r="H4" i="8"/>
  <c r="P4" i="8"/>
  <c r="O4" i="8"/>
  <c r="N4" i="8"/>
  <c r="M4" i="8"/>
  <c r="L4" i="8"/>
  <c r="K4" i="8"/>
  <c r="U4" i="8"/>
  <c r="T4" i="8"/>
  <c r="S4" i="8"/>
  <c r="R4" i="8"/>
  <c r="G3" i="1"/>
  <c r="H36" i="2"/>
  <c r="G9" i="1"/>
  <c r="B5" i="1"/>
  <c r="F15" i="2"/>
  <c r="F6" i="2"/>
  <c r="F7" i="2"/>
  <c r="F8" i="2"/>
  <c r="F9" i="2"/>
  <c r="F10" i="2"/>
  <c r="F11" i="2"/>
  <c r="F12" i="2"/>
  <c r="F13" i="2"/>
  <c r="F14" i="2"/>
  <c r="F16" i="2"/>
  <c r="G15" i="1"/>
  <c r="G14" i="1"/>
  <c r="F17" i="2"/>
  <c r="G14" i="2"/>
  <c r="G15" i="2"/>
  <c r="G6" i="2"/>
  <c r="G7" i="2"/>
  <c r="G8" i="2"/>
  <c r="G9" i="2"/>
  <c r="G10" i="2"/>
  <c r="G11" i="2"/>
  <c r="G12" i="2"/>
  <c r="G13" i="2"/>
  <c r="G16" i="2"/>
  <c r="G11" i="1"/>
  <c r="D25" i="2"/>
  <c r="E25" i="2"/>
  <c r="E5" i="2"/>
  <c r="D26" i="2"/>
  <c r="E26" i="2"/>
  <c r="E6" i="2"/>
  <c r="D27" i="2"/>
  <c r="E27" i="2"/>
  <c r="E7" i="2"/>
  <c r="D28" i="2"/>
  <c r="E28" i="2"/>
  <c r="E8" i="2"/>
  <c r="F46" i="2"/>
  <c r="D46" i="2"/>
  <c r="E46" i="2"/>
  <c r="D29" i="2"/>
  <c r="G46" i="2"/>
  <c r="E29" i="2"/>
  <c r="E9" i="2"/>
  <c r="F45" i="2"/>
  <c r="D45" i="2"/>
  <c r="E45" i="2"/>
  <c r="D30" i="2"/>
  <c r="G45" i="2"/>
  <c r="E30" i="2"/>
  <c r="E10" i="2"/>
  <c r="D44" i="2"/>
  <c r="E44" i="2"/>
  <c r="D31" i="2"/>
  <c r="E31" i="2"/>
  <c r="E11" i="2"/>
  <c r="F43" i="2"/>
  <c r="E43" i="2"/>
  <c r="D32" i="2"/>
  <c r="G43" i="2"/>
  <c r="E32" i="2"/>
  <c r="E12" i="2"/>
  <c r="G42" i="2"/>
  <c r="E42" i="2"/>
  <c r="E33" i="2"/>
  <c r="E13" i="2"/>
  <c r="E14" i="2"/>
  <c r="E16" i="2"/>
  <c r="G8" i="1"/>
  <c r="I31" i="2"/>
  <c r="J31" i="2"/>
  <c r="K31" i="2"/>
  <c r="D11" i="2"/>
  <c r="I32" i="2"/>
  <c r="J32" i="2"/>
  <c r="K32" i="2"/>
  <c r="D12" i="2"/>
  <c r="I33" i="2"/>
  <c r="J33" i="2"/>
  <c r="K33" i="2"/>
  <c r="D13" i="2"/>
  <c r="I34" i="2"/>
  <c r="J34" i="2"/>
  <c r="K34" i="2"/>
  <c r="D14" i="2"/>
  <c r="I35" i="2"/>
  <c r="J35" i="2"/>
  <c r="K35" i="2"/>
  <c r="D15" i="2"/>
  <c r="D17" i="2"/>
  <c r="D6" i="2"/>
  <c r="D7" i="2"/>
  <c r="G28" i="2"/>
  <c r="K28" i="2"/>
  <c r="D8" i="2"/>
  <c r="I29" i="2"/>
  <c r="J29" i="2"/>
  <c r="K29" i="2"/>
  <c r="D9" i="2"/>
  <c r="I30" i="2"/>
  <c r="J30" i="2"/>
  <c r="K30" i="2"/>
  <c r="D10" i="2"/>
  <c r="D16" i="2"/>
  <c r="E15" i="2"/>
  <c r="C15" i="2"/>
  <c r="B15" i="2"/>
  <c r="G41" i="2"/>
  <c r="F41" i="2"/>
  <c r="E41" i="2"/>
  <c r="E31" i="4"/>
  <c r="E32" i="4"/>
  <c r="E29" i="4"/>
  <c r="G5" i="2"/>
  <c r="F5" i="2"/>
  <c r="G17" i="2"/>
  <c r="E17" i="2"/>
  <c r="D5" i="2"/>
  <c r="C14" i="2"/>
  <c r="B14" i="2"/>
  <c r="G4" i="1"/>
  <c r="D23" i="2"/>
  <c r="E23" i="2"/>
  <c r="E3" i="2"/>
  <c r="D24" i="2"/>
  <c r="E24" i="2"/>
  <c r="E4" i="2"/>
  <c r="E29" i="7"/>
  <c r="E30" i="7"/>
  <c r="E31" i="7"/>
  <c r="E32" i="7"/>
  <c r="E33" i="7"/>
  <c r="G29" i="7"/>
  <c r="E34" i="7"/>
  <c r="G30" i="7"/>
  <c r="E35" i="7"/>
  <c r="G31" i="7"/>
  <c r="E36" i="7"/>
  <c r="G32" i="7"/>
  <c r="E37" i="7"/>
  <c r="G33" i="7"/>
  <c r="E38" i="7"/>
  <c r="G34" i="7"/>
  <c r="E39" i="7"/>
  <c r="G35" i="7"/>
  <c r="E40" i="7"/>
  <c r="G36" i="7"/>
  <c r="E41" i="7"/>
  <c r="G37" i="7"/>
  <c r="E42" i="7"/>
  <c r="G38" i="7"/>
  <c r="E43" i="7"/>
  <c r="G39" i="7"/>
  <c r="E44" i="7"/>
  <c r="G40" i="7"/>
  <c r="E45" i="7"/>
  <c r="G41" i="7"/>
  <c r="E46" i="7"/>
  <c r="G42" i="7"/>
  <c r="E47" i="7"/>
  <c r="G43" i="7"/>
  <c r="E48" i="7"/>
  <c r="G44" i="7"/>
  <c r="E49" i="7"/>
  <c r="G45" i="7"/>
  <c r="E50" i="7"/>
  <c r="G46" i="7"/>
  <c r="E51" i="7"/>
  <c r="G47" i="7"/>
  <c r="E52" i="7"/>
  <c r="G48" i="7"/>
  <c r="E53" i="7"/>
  <c r="G49" i="7"/>
  <c r="E54" i="7"/>
  <c r="G50" i="7"/>
  <c r="E55" i="7"/>
  <c r="G51" i="7"/>
  <c r="E56" i="7"/>
  <c r="G52" i="7"/>
  <c r="E57" i="7"/>
  <c r="G53" i="7"/>
  <c r="E58" i="7"/>
  <c r="G54" i="7"/>
  <c r="E59" i="7"/>
  <c r="G55" i="7"/>
  <c r="E60" i="7"/>
  <c r="E63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3" i="7"/>
  <c r="E2" i="7"/>
  <c r="E3" i="7"/>
  <c r="E4" i="7"/>
  <c r="E5" i="7"/>
  <c r="E6" i="7"/>
  <c r="G2" i="7"/>
  <c r="E7" i="7"/>
  <c r="G3" i="7"/>
  <c r="E8" i="7"/>
  <c r="G4" i="7"/>
  <c r="E9" i="7"/>
  <c r="G5" i="7"/>
  <c r="E10" i="7"/>
  <c r="G6" i="7"/>
  <c r="E11" i="7"/>
  <c r="G7" i="7"/>
  <c r="E12" i="7"/>
  <c r="G8" i="7"/>
  <c r="E13" i="7"/>
  <c r="G9" i="7"/>
  <c r="E14" i="7"/>
  <c r="G10" i="7"/>
  <c r="E15" i="7"/>
  <c r="G11" i="7"/>
  <c r="E16" i="7"/>
  <c r="G12" i="7"/>
  <c r="E17" i="7"/>
  <c r="G13" i="7"/>
  <c r="E18" i="7"/>
  <c r="G14" i="7"/>
  <c r="E19" i="7"/>
  <c r="G15" i="7"/>
  <c r="E20" i="7"/>
  <c r="G16" i="7"/>
  <c r="E21" i="7"/>
  <c r="G17" i="7"/>
  <c r="E22" i="7"/>
  <c r="G18" i="7"/>
  <c r="E23" i="7"/>
  <c r="G19" i="7"/>
  <c r="E24" i="7"/>
  <c r="G20" i="7"/>
  <c r="E25" i="7"/>
  <c r="G21" i="7"/>
  <c r="E26" i="7"/>
  <c r="G22" i="7"/>
  <c r="E27" i="7"/>
  <c r="G23" i="7"/>
  <c r="E28" i="7"/>
  <c r="G24" i="7"/>
  <c r="G25" i="7"/>
  <c r="G26" i="7"/>
  <c r="G27" i="7"/>
  <c r="G28" i="7"/>
  <c r="E62" i="7"/>
  <c r="F2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62" i="7"/>
  <c r="E61" i="7"/>
  <c r="F61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B4" i="3"/>
  <c r="G32" i="4"/>
  <c r="B8" i="3"/>
  <c r="B5" i="3"/>
  <c r="B6" i="3"/>
  <c r="B7" i="3"/>
  <c r="B9" i="3"/>
  <c r="G12" i="1"/>
  <c r="G7" i="1"/>
  <c r="G6" i="1"/>
  <c r="G2" i="2"/>
  <c r="G3" i="2"/>
  <c r="G4" i="2"/>
  <c r="F2" i="2"/>
  <c r="F3" i="2"/>
  <c r="F4" i="2"/>
  <c r="D22" i="2"/>
  <c r="E22" i="2"/>
  <c r="E2" i="2"/>
  <c r="F42" i="2"/>
  <c r="D4" i="2"/>
  <c r="C13" i="2"/>
  <c r="B13" i="2"/>
  <c r="G33" i="2"/>
  <c r="G5" i="1"/>
  <c r="D3" i="2"/>
  <c r="G30" i="2"/>
  <c r="D48" i="2"/>
  <c r="E48" i="2"/>
  <c r="D47" i="2"/>
  <c r="E47" i="2"/>
  <c r="G47" i="2"/>
  <c r="F47" i="2"/>
  <c r="D2" i="2"/>
  <c r="C6" i="2"/>
  <c r="B6" i="2"/>
  <c r="C5" i="2"/>
  <c r="B5" i="2"/>
  <c r="C4" i="2"/>
  <c r="B4" i="2"/>
  <c r="C3" i="2"/>
  <c r="B3" i="2"/>
  <c r="C2" i="2"/>
  <c r="G23" i="2"/>
  <c r="G24" i="2"/>
  <c r="G25" i="2"/>
  <c r="G26" i="2"/>
  <c r="B9" i="2"/>
  <c r="C9" i="2"/>
  <c r="B10" i="2"/>
  <c r="C10" i="2"/>
  <c r="B11" i="2"/>
  <c r="C11" i="2"/>
  <c r="B12" i="2"/>
  <c r="C12" i="2"/>
  <c r="G29" i="2"/>
  <c r="G31" i="2"/>
  <c r="G32" i="2"/>
  <c r="B8" i="2"/>
  <c r="C8" i="2"/>
  <c r="B7" i="2"/>
  <c r="C7" i="2"/>
  <c r="G27" i="2"/>
  <c r="B2" i="2"/>
  <c r="G22" i="2"/>
  <c r="C43" i="1"/>
  <c r="D43" i="1"/>
  <c r="E43" i="1"/>
  <c r="F43" i="1"/>
  <c r="G43" i="1"/>
  <c r="C44" i="1"/>
  <c r="C34" i="1"/>
</calcChain>
</file>

<file path=xl/comments1.xml><?xml version="1.0" encoding="utf-8"?>
<comments xmlns="http://schemas.openxmlformats.org/spreadsheetml/2006/main">
  <authors>
    <author>Aswath Damodaran</author>
  </authors>
  <commentList>
    <comment ref="B3" authorId="0" shapeId="0">
      <text>
        <r>
          <rPr>
            <b/>
            <sz val="9"/>
            <color indexed="81"/>
            <rFont val="Geneva"/>
          </rPr>
          <t>Aswath Damodaran:</t>
        </r>
        <r>
          <rPr>
            <sz val="9"/>
            <color indexed="81"/>
            <rFont val="Geneva"/>
          </rPr>
          <t xml:space="preserve">
Enter the current level of the index.</t>
        </r>
      </text>
    </comment>
    <comment ref="B4" authorId="0" shapeId="0">
      <text>
        <r>
          <rPr>
            <b/>
            <sz val="9"/>
            <color indexed="81"/>
            <rFont val="Geneva"/>
          </rPr>
          <t xml:space="preserve">Aswath Damodaran:
</t>
        </r>
        <r>
          <rPr>
            <sz val="9"/>
            <color indexed="81"/>
            <rFont val="Geneva"/>
          </rPr>
          <t>The 5-year and 10-year averages are used in conjunction with the index at the start of the year to get a normalized cash yield number. Using these numbers (instead of the trailing 12 month) will give you a more smoothed out ERP.</t>
        </r>
      </text>
    </comment>
    <comment ref="B5" authorId="0" shapeId="0">
      <text>
        <r>
          <rPr>
            <b/>
            <sz val="9"/>
            <color indexed="81"/>
            <rFont val="Geneva"/>
          </rPr>
          <t>Aswath Damodaran:</t>
        </r>
        <r>
          <rPr>
            <sz val="9"/>
            <color indexed="81"/>
            <rFont val="Geneva"/>
          </rPr>
          <t xml:space="preserve">
Enter the expected dividend yield. You can also add expected stock buybacks to dividends.</t>
        </r>
      </text>
    </comment>
    <comment ref="B7" authorId="0" shapeId="0">
      <text>
        <r>
          <rPr>
            <b/>
            <sz val="9"/>
            <color indexed="81"/>
            <rFont val="Geneva"/>
          </rPr>
          <t>Aswath Damodaran:</t>
        </r>
        <r>
          <rPr>
            <sz val="9"/>
            <color indexed="81"/>
            <rFont val="Geneva"/>
          </rPr>
          <t xml:space="preserve">
This should be a forecast of earnings growth from analysts following stocks in the index.</t>
        </r>
      </text>
    </comment>
    <comment ref="B8" authorId="0" shapeId="0">
      <text>
        <r>
          <rPr>
            <b/>
            <sz val="9"/>
            <color indexed="81"/>
            <rFont val="Geneva"/>
          </rPr>
          <t>Aswath Damodaran:</t>
        </r>
        <r>
          <rPr>
            <sz val="9"/>
            <color indexed="81"/>
            <rFont val="Geneva"/>
          </rPr>
          <t xml:space="preserve">
Thks is the current rate on a long term government bond.</t>
        </r>
      </text>
    </comment>
    <comment ref="B10" authorId="0" shapeId="0">
      <text>
        <r>
          <rPr>
            <b/>
            <sz val="9"/>
            <color indexed="81"/>
            <rFont val="Geneva"/>
          </rPr>
          <t>Aswath Damodaran:</t>
        </r>
        <r>
          <rPr>
            <sz val="9"/>
            <color indexed="81"/>
            <rFont val="Geneva"/>
          </rPr>
          <t xml:space="preserve">
This is the expected risk premium for investing in stock.</t>
        </r>
      </text>
    </comment>
    <comment ref="B11" authorId="0" shapeId="0">
      <text>
        <r>
          <rPr>
            <b/>
            <sz val="9"/>
            <color indexed="81"/>
            <rFont val="Geneva"/>
          </rPr>
          <t>Aswath Damodaran:</t>
        </r>
        <r>
          <rPr>
            <sz val="9"/>
            <color indexed="81"/>
            <rFont val="Geneva"/>
          </rPr>
          <t xml:space="preserve">
As a default, I will set this equal to the treasury bond rate. You can reset it to a lower number.</t>
        </r>
      </text>
    </comment>
    <comment ref="B12" authorId="0" shapeId="0">
      <text>
        <r>
          <rPr>
            <b/>
            <sz val="10"/>
            <color indexed="81"/>
            <rFont val="Calibri"/>
            <family val="2"/>
          </rPr>
          <t>Aswath Damodaran:</t>
        </r>
        <r>
          <rPr>
            <sz val="10"/>
            <color indexed="81"/>
            <rFont val="Calibri"/>
            <family val="2"/>
          </rPr>
          <t xml:space="preserve">
The sustainable payout is computed using the stable growth rate and the trailing 12 month ROE:
Sustainable Payout = 1 - g/ ROE
If you answer yes, I will adjust the payout ratio over the next 5 years in linear increments to this value. if no, I will leave it at today's value.</t>
        </r>
      </text>
    </comment>
  </commentList>
</comments>
</file>

<file path=xl/comments2.xml><?xml version="1.0" encoding="utf-8"?>
<comments xmlns="http://schemas.openxmlformats.org/spreadsheetml/2006/main">
  <authors>
    <author>Aswath Damodaran</author>
  </authors>
  <commentList>
    <comment ref="C9" authorId="0" shapeId="0">
      <text>
        <r>
          <rPr>
            <b/>
            <sz val="9"/>
            <color indexed="81"/>
            <rFont val="Geneva"/>
          </rPr>
          <t>Aswath Damodaran:</t>
        </r>
        <r>
          <rPr>
            <sz val="9"/>
            <color indexed="81"/>
            <rFont val="Geneva"/>
          </rPr>
          <t xml:space="preserve">
ST: Short term (Treasury bill)
LT: Long term (Treasury bond)</t>
        </r>
      </text>
    </comment>
    <comment ref="C10" authorId="0" shapeId="0">
      <text>
        <r>
          <rPr>
            <b/>
            <sz val="9"/>
            <color indexed="81"/>
            <rFont val="Geneva"/>
          </rPr>
          <t>Aswath Damodaran:</t>
        </r>
        <r>
          <rPr>
            <sz val="9"/>
            <color indexed="81"/>
            <rFont val="Geneva"/>
          </rPr>
          <t xml:space="preserve">
The risk premium will be computed from this year to the current year.</t>
        </r>
      </text>
    </comment>
  </commentList>
</comments>
</file>

<file path=xl/comments3.xml><?xml version="1.0" encoding="utf-8"?>
<comments xmlns="http://schemas.openxmlformats.org/spreadsheetml/2006/main">
  <authors>
    <author>Aswath Damodaran</author>
  </authors>
  <commentList>
    <comment ref="A1" authorId="0" shapeId="0">
      <text>
        <r>
          <rPr>
            <b/>
            <sz val="9"/>
            <color indexed="81"/>
            <rFont val="Geneva"/>
          </rPr>
          <t>Aswath Damodaran:
These are estimated by aggregating the analyst forecasts of earnings for the individual companies in the S&amp;P 500. Historically, these numbers have been upward biased at the index level.</t>
        </r>
      </text>
    </comment>
    <comment ref="F1" authorId="0" shapeId="0">
      <text>
        <r>
          <rPr>
            <b/>
            <sz val="9"/>
            <color indexed="81"/>
            <rFont val="Geneva"/>
          </rPr>
          <t>Aswath Damodaran:
These are estimates of overall earnings for the S&amp;P 500 companies made at an aggregate level. They tend to be less biased but there are fewer analysts who estimate these numbers.</t>
        </r>
      </text>
    </comment>
  </commentList>
</comments>
</file>

<file path=xl/sharedStrings.xml><?xml version="1.0" encoding="utf-8"?>
<sst xmlns="http://schemas.openxmlformats.org/spreadsheetml/2006/main" count="295" uniqueCount="234">
  <si>
    <t>Implied Risk Premium Calculator</t>
  </si>
  <si>
    <t>Expected Dividends =</t>
  </si>
  <si>
    <t>Expected Terminal Value =</t>
  </si>
  <si>
    <t>Present Value =</t>
  </si>
  <si>
    <t>Intrinsic Value of Index =</t>
  </si>
  <si>
    <t>Implied Risk Premium in current level of Index =</t>
  </si>
  <si>
    <t>(Go under Tools and choose Solver: See below)</t>
  </si>
  <si>
    <t>Dividend Yield</t>
  </si>
  <si>
    <t>Buybacks/Index</t>
  </si>
  <si>
    <t>Year</t>
  </si>
  <si>
    <t>Year</t>
    <phoneticPr fontId="13" type="noConversion"/>
  </si>
  <si>
    <t>Dividend yield</t>
    <phoneticPr fontId="13" type="noConversion"/>
  </si>
  <si>
    <t>Buyback yield</t>
    <phoneticPr fontId="13" type="noConversion"/>
  </si>
  <si>
    <t>Dividends</t>
    <phoneticPr fontId="13" type="noConversion"/>
  </si>
  <si>
    <t>Buybacks</t>
    <phoneticPr fontId="13" type="noConversion"/>
  </si>
  <si>
    <t>Cash to equity</t>
    <phoneticPr fontId="13" type="noConversion"/>
  </si>
  <si>
    <t>Market value of index</t>
    <phoneticPr fontId="13" type="noConversion"/>
  </si>
  <si>
    <t>Ratio</t>
    <phoneticPr fontId="13" type="noConversion"/>
  </si>
  <si>
    <t>Dividends</t>
    <phoneticPr fontId="13" type="noConversion"/>
  </si>
  <si>
    <t>Dividends and Buybacks Trailing 12 months =</t>
  </si>
  <si>
    <t>Dividends</t>
  </si>
  <si>
    <t>Buybacks</t>
  </si>
  <si>
    <t>Quarter</t>
  </si>
  <si>
    <t>4 quarters ago</t>
  </si>
  <si>
    <t>3 quarters ago</t>
  </si>
  <si>
    <t>2 quarters ago</t>
  </si>
  <si>
    <t>Last quarter</t>
  </si>
  <si>
    <t>Sum</t>
  </si>
  <si>
    <t>Cash yield on index (Calculated number but you can override it)</t>
  </si>
  <si>
    <t>Average: Last 10 years =</t>
  </si>
  <si>
    <t>Dividends and Buybacks (Average yield- last decade)</t>
  </si>
  <si>
    <t>Average: Last 5 years</t>
  </si>
  <si>
    <t>Dividends and Buybacks (Average yield- last 5 years)</t>
  </si>
  <si>
    <t>Compounded average</t>
  </si>
  <si>
    <t>Index units adjuster =</t>
  </si>
  <si>
    <t>Index level</t>
  </si>
  <si>
    <t>Unit adjuster</t>
  </si>
  <si>
    <t>Market Cap</t>
  </si>
  <si>
    <t>A10</t>
  </si>
  <si>
    <t>Index at the start of the current quarter =</t>
  </si>
  <si>
    <t>Base for normalized Cashflow; Updated at the start of every quarter</t>
  </si>
  <si>
    <t>C</t>
  </si>
  <si>
    <t>A5</t>
  </si>
  <si>
    <t>Enter current level of index</t>
  </si>
  <si>
    <t>Source</t>
  </si>
  <si>
    <t>Bottom up Estimates</t>
  </si>
  <si>
    <t>Earnings on Index</t>
  </si>
  <si>
    <t>Top down Estimates</t>
  </si>
  <si>
    <t>Updated at the start of every quarter</t>
  </si>
  <si>
    <t>Last updated</t>
  </si>
  <si>
    <t>Earnings</t>
  </si>
  <si>
    <t>Payout</t>
  </si>
  <si>
    <t>Book Value of Equity at start of year</t>
  </si>
  <si>
    <t>Sales per share</t>
  </si>
  <si>
    <t>Return on Equity</t>
  </si>
  <si>
    <t>Net Profit Margin</t>
  </si>
  <si>
    <t>Inputs</t>
  </si>
  <si>
    <t>Cash flow Choices</t>
  </si>
  <si>
    <t>What cash yield (dividends &amp; buybacks) do you want to use as your base number?</t>
  </si>
  <si>
    <t>Dividends and Buybacks (Average payout- last decade)</t>
  </si>
  <si>
    <t>Dividends and Buybacks (Average payout - last 5 years)</t>
  </si>
  <si>
    <t>P10</t>
  </si>
  <si>
    <t>P5</t>
  </si>
  <si>
    <t>Growth Choices</t>
  </si>
  <si>
    <t>Historical earnings growth rate (last decade) =</t>
  </si>
  <si>
    <t>Bottom up forecasted growth rate (next 5 years) =</t>
  </si>
  <si>
    <t>Top down forecasted growth rate (next 5 years) =</t>
  </si>
  <si>
    <t>Fundamental growth rate (based on current ROE) =</t>
  </si>
  <si>
    <t>Fundamental growth rate (based on average ROE) =</t>
  </si>
  <si>
    <t>H</t>
  </si>
  <si>
    <t>BU</t>
  </si>
  <si>
    <t>TD</t>
  </si>
  <si>
    <t>FC</t>
  </si>
  <si>
    <t>FA</t>
  </si>
  <si>
    <t>What expected growth rate do you want to use for the next 5 years?</t>
  </si>
  <si>
    <t>Expected growth rate in earnings for the next 5 years =</t>
  </si>
  <si>
    <t>Enter current long term risk free rate  =</t>
  </si>
  <si>
    <t>Historical Equity risk premium (US) =</t>
  </si>
  <si>
    <t>Historical Equity risk premium (Global) =</t>
  </si>
  <si>
    <t>Average implied ERP (last decade) =</t>
  </si>
  <si>
    <t>Average implied ERP (1960-Current) =</t>
  </si>
  <si>
    <t>Earnings Yield</t>
  </si>
  <si>
    <t>T.Bond Rate</t>
  </si>
  <si>
    <t>Implied ERP</t>
  </si>
  <si>
    <t>Start of month</t>
    <phoneticPr fontId="5" type="noConversion"/>
  </si>
  <si>
    <t>S&amp;P 500</t>
    <phoneticPr fontId="5" type="noConversion"/>
  </si>
  <si>
    <t>T.Bond Rate</t>
    <phoneticPr fontId="5" type="noConversion"/>
  </si>
  <si>
    <t>CF (Trailing 12 month)</t>
  </si>
  <si>
    <t>Expected growth rate</t>
    <phoneticPr fontId="5" type="noConversion"/>
  </si>
  <si>
    <t>ERP (T12m)</t>
  </si>
  <si>
    <t>ERP (Smoothed)</t>
  </si>
  <si>
    <t>HUS</t>
  </si>
  <si>
    <t>HG</t>
  </si>
  <si>
    <t>ERP10</t>
  </si>
  <si>
    <t>ERP used to compute fair value of index (you can override this number) =</t>
  </si>
  <si>
    <t>If you want to compute an intrinsic value for index, what ERP would you like to use?</t>
  </si>
  <si>
    <t>Intrinsic Value Estimate (based on your choice of ERP)</t>
  </si>
  <si>
    <t>Implied Equity Risk Premium Calculator</t>
  </si>
  <si>
    <t>ERP Choices (for index intrinsic value)</t>
  </si>
  <si>
    <t>Here is how it works</t>
  </si>
  <si>
    <t xml:space="preserve">For the intrinsic value of the index, I start with your base cash flow choice (from B5) and grow these cash flows at </t>
  </si>
  <si>
    <t>the expected growth rate (from B7) for 5 years. After year 5, I use the expected growth rate in the long term (B11)</t>
  </si>
  <si>
    <t xml:space="preserve">as the perpetual growth rate. The discount rate that I use is the sum of the risk free rate (B8) and your ERP choice (B10). </t>
  </si>
  <si>
    <t>For the implied ERP, you will have to use the goal seek function in Excel. (See picture to the right)</t>
  </si>
  <si>
    <t>NORM</t>
  </si>
  <si>
    <t>Inflation rate</t>
  </si>
  <si>
    <t>Inflation adjusted Earnings</t>
  </si>
  <si>
    <t>2.  In "To value" box, enter the current level of the index</t>
  </si>
  <si>
    <t>Intrinsic Trailing PE =</t>
  </si>
  <si>
    <t>Factset</t>
  </si>
  <si>
    <t>Thomson Reuters</t>
  </si>
  <si>
    <t>Intrinsic CAPE (based on inflation-adjusted ten year average earnings) =</t>
  </si>
  <si>
    <t>Dividend and Buybacks (Average payout &amp; normal earnings)</t>
  </si>
  <si>
    <t>Sources for bottom up estimates</t>
  </si>
  <si>
    <t>Sources for top down estimates</t>
  </si>
  <si>
    <t>S&amp;P</t>
  </si>
  <si>
    <t>Year end</t>
  </si>
  <si>
    <t>Ten-year T.Bond rate</t>
  </si>
  <si>
    <t>Real GDP growth</t>
  </si>
  <si>
    <t>Fundamental riskfree rate</t>
  </si>
  <si>
    <t>T. Bond - Fundamental (current)</t>
  </si>
  <si>
    <t>Next 5 years</t>
  </si>
  <si>
    <t>1954-2012</t>
  </si>
  <si>
    <t>1954-1980</t>
  </si>
  <si>
    <t>1981-2012</t>
  </si>
  <si>
    <t>S&amp;P 500</t>
  </si>
  <si>
    <t>Annual Returns on Investments in</t>
  </si>
  <si>
    <t>Compounded Value of $ 100</t>
  </si>
  <si>
    <t>3-month T.Bill</t>
  </si>
  <si>
    <t>10-year T. Bond</t>
  </si>
  <si>
    <t>Stocks</t>
  </si>
  <si>
    <t>T.Bills</t>
  </si>
  <si>
    <t>T.Bonds</t>
  </si>
  <si>
    <t>Historical risk premium</t>
  </si>
  <si>
    <t>Expected growth rate in the long term (after year 5) =</t>
  </si>
  <si>
    <t>Historical High ERP (1960-Current) =</t>
  </si>
  <si>
    <t>ERPHigh</t>
  </si>
  <si>
    <t>ERPLong</t>
  </si>
  <si>
    <t>Ten-year average CF</t>
  </si>
  <si>
    <t>Notes</t>
  </si>
  <si>
    <t>Normalized Cash flow = Average CF yield over last 10 years * Index level at start of quarter</t>
  </si>
  <si>
    <t>Adjusted cash flows and expected growth rate</t>
  </si>
  <si>
    <t>Adjusted cash flows</t>
  </si>
  <si>
    <t>Adjusted growth rate &amp; cash flows</t>
  </si>
  <si>
    <t>Updated cash flows, growth rate</t>
  </si>
  <si>
    <t>Updated cash flows</t>
  </si>
  <si>
    <t>Dividends and Buybacks, net of stock issues, trailing 12 months</t>
  </si>
  <si>
    <t>NC</t>
  </si>
  <si>
    <t>Issuances</t>
  </si>
  <si>
    <t>Stock Issuances</t>
  </si>
  <si>
    <t>Gross Cash Yield</t>
  </si>
  <si>
    <t>Net Cash Yield</t>
  </si>
  <si>
    <t>ERP (Net Cash Yield)</t>
  </si>
  <si>
    <t>Computing the trailing 12 month number (S&amp;P Data updated every quarter on March 15, June 15, Sept 15 and Dec 15)</t>
  </si>
  <si>
    <t>Month</t>
  </si>
  <si>
    <t>Trailing four quarters</t>
  </si>
  <si>
    <t>Updated at the start of every month</t>
  </si>
  <si>
    <t>Trailing four quarter data for now. Will be updated to actuals in April 2015</t>
  </si>
  <si>
    <t>Ed Yardeni</t>
  </si>
  <si>
    <t>S&amp;P 500 Index</t>
  </si>
  <si>
    <t>Stock Issues</t>
  </si>
  <si>
    <t>Cash Return</t>
  </si>
  <si>
    <t>Net Cash Return</t>
  </si>
  <si>
    <t>Net Income</t>
  </si>
  <si>
    <t>Aggregate (in US dollars)</t>
  </si>
  <si>
    <t>Index Units</t>
  </si>
  <si>
    <t>In Index Units</t>
  </si>
  <si>
    <t>Payout Ratio</t>
  </si>
  <si>
    <t>Cash Return/Net Income</t>
  </si>
  <si>
    <t>Net Cash Return/Net Income</t>
  </si>
  <si>
    <t>This is what I get from S&amp;P Capital IQ, if I use the raw data from individual companies. It does not match up to what S&amp;P itelf reports once every quarter. Use it to look for trend lines.</t>
  </si>
  <si>
    <t>Updated growth rate</t>
  </si>
  <si>
    <t>S&amp;P Cap IQ update</t>
  </si>
  <si>
    <t>Updated cash flow</t>
  </si>
  <si>
    <t>Normalized CF</t>
  </si>
  <si>
    <t>ERP (Normalized)</t>
  </si>
  <si>
    <t>Trailing 12 month ending</t>
  </si>
  <si>
    <t>S&amp;P Capital IQ data (updated every month and does not match up to the S&amp;P update every three quarters)</t>
  </si>
  <si>
    <t>Index Units Adjuster</t>
  </si>
  <si>
    <t>Updated Jan 1, 2016</t>
  </si>
  <si>
    <t>Net Cash to Equity</t>
  </si>
  <si>
    <t>Updated every month</t>
  </si>
  <si>
    <t>Updated every quarter</t>
  </si>
  <si>
    <t>Updated cash flow, growth rate</t>
  </si>
  <si>
    <t>No forecasts available for 2017 &amp; beyond</t>
  </si>
  <si>
    <t>Expected Earnings</t>
  </si>
  <si>
    <t>Expected cash payout (dividends + buybacks) as % of earnings</t>
  </si>
  <si>
    <t>Last 12 months</t>
  </si>
  <si>
    <t>Terminal Year</t>
  </si>
  <si>
    <t>Do you want to adjust the payout ratio to sustainable levels in year 5?</t>
  </si>
  <si>
    <t>No</t>
  </si>
  <si>
    <t>ERP (T12 m with sustainable payout)</t>
  </si>
  <si>
    <t>1. In the set cell box, enter B44</t>
  </si>
  <si>
    <t>3. In "By changing cell" enter C36</t>
  </si>
  <si>
    <t>4. Click on OK and the answer should show up in C36.</t>
  </si>
  <si>
    <t>Date updated:</t>
  </si>
  <si>
    <t>Created by:</t>
  </si>
  <si>
    <t>Aswath Damodaran, adamodar@stern.nyu.edu</t>
  </si>
  <si>
    <t>What is this data?</t>
  </si>
  <si>
    <t>Historical returns: Stocks, T.Bonds &amp; T.Bills with premiums</t>
  </si>
  <si>
    <t>US companies</t>
  </si>
  <si>
    <t>Home Page:</t>
  </si>
  <si>
    <t>http://www.damodaran.com</t>
  </si>
  <si>
    <t>Data website:</t>
  </si>
  <si>
    <t>http://www.stern.nyu.edu/~adamodar/New_Home_Page/data.html</t>
  </si>
  <si>
    <t>Companies in each industry:</t>
  </si>
  <si>
    <t>http://www.stern.nyu.edu/~adamodar/pc/datasets/indname.xls</t>
  </si>
  <si>
    <t>Variable definitions:</t>
  </si>
  <si>
    <t>http://www.stern.nyu.edu/~adamodar/New_Home_Page/datafile/variable.htm</t>
  </si>
  <si>
    <t>Customized Geometric risk premium estimator</t>
  </si>
  <si>
    <t>What is your riskfree rate?</t>
  </si>
  <si>
    <t>LT</t>
    <phoneticPr fontId="12" type="noConversion"/>
  </si>
  <si>
    <t>Estimates of risk premiums from 1928, over the last 50 years and over the last 10 years</t>
  </si>
  <si>
    <t>Enter your starting year</t>
  </si>
  <si>
    <t>are provided at the bottom of this table.</t>
  </si>
  <si>
    <t>Value of stocks in starting year:</t>
  </si>
  <si>
    <t>Value of T.Bills in starting year:</t>
    <phoneticPr fontId="12" type="noConversion"/>
  </si>
  <si>
    <t>Value of T.bonds in starting year:</t>
  </si>
  <si>
    <t>Estimate of risk premium based on your inputs:</t>
  </si>
  <si>
    <t>Stocks - Bills</t>
    <phoneticPr fontId="12" type="noConversion"/>
  </si>
  <si>
    <t>Stocks - Bonds</t>
    <phoneticPr fontId="12" type="noConversion"/>
  </si>
  <si>
    <t>S&amp;P 500 roll</t>
  </si>
  <si>
    <t>T.Bonds roll</t>
  </si>
  <si>
    <t>Historical risk premium roll</t>
  </si>
  <si>
    <t>Check</t>
  </si>
  <si>
    <t>Risk Premium</t>
  </si>
  <si>
    <t>Standard Error</t>
    <phoneticPr fontId="12" type="noConversion"/>
  </si>
  <si>
    <t>Arithmetic Average</t>
  </si>
  <si>
    <t>Stocks - T.Bills</t>
  </si>
  <si>
    <t>Stocks - T.Bonds</t>
  </si>
  <si>
    <t>1928-2015</t>
  </si>
  <si>
    <t>1966-2015</t>
  </si>
  <si>
    <t>2006-2015</t>
  </si>
  <si>
    <t>Geometric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</si>
</sst>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€_-;\-* #,##0.00\ _€_-;_-* &quot;-&quot;??\ _€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  <numFmt numFmtId="167" formatCode="_(* #,##0_);_(* \(#,##0\);_(* &quot;-&quot;??_);_(@_)"/>
    <numFmt numFmtId="168" formatCode="m/d/yy;@"/>
    <numFmt numFmtId="169" formatCode="&quot;$&quot;#,##0.00;[Red]&quot;$&quot;#,##0.00"/>
    <numFmt numFmtId="170" formatCode="&quot;$&quot;#,##0;[Red]&quot;$&quot;#,##0"/>
    <numFmt numFmtId="171" formatCode="0.000000000"/>
    <numFmt numFmtId="172" formatCode="_([$$-409]* #,##0_);_([$$-409]* \(#,##0\);_([$$-409]* &quot;-&quot;??_);_(@_)"/>
    <numFmt numFmtId="173" formatCode="_(&quot;$&quot;* #,##0_);_(&quot;$&quot;* \(#,##0\);_(&quot;$&quot;* &quot;-&quot;??_);_(@_)"/>
    <numFmt numFmtId="174" formatCode="_(\ #,##0_);_(\(\ #,##0\)_);_(\ &quot; - &quot;_)"/>
    <numFmt numFmtId="175" formatCode="#,##0.0_);\(#,##0.0\)"/>
    <numFmt numFmtId="176" formatCode="_-* #,##0.0000000\ _€_-;\-* #,##0.0000000\ _€_-;_-* &quot;-&quot;??\ _€_-;_-@_-"/>
  </numFmts>
  <fonts count="43">
    <font>
      <b/>
      <sz val="10"/>
      <name val="Geneva"/>
    </font>
    <font>
      <b/>
      <sz val="10"/>
      <name val="Geneva"/>
    </font>
    <font>
      <i/>
      <sz val="10"/>
      <name val="Geneva"/>
    </font>
    <font>
      <b/>
      <i/>
      <sz val="10"/>
      <name val="Geneva"/>
    </font>
    <font>
      <sz val="10"/>
      <name val="Geneva"/>
    </font>
    <font>
      <sz val="24"/>
      <name val="Geneva"/>
    </font>
    <font>
      <sz val="10"/>
      <name val="Times"/>
    </font>
    <font>
      <b/>
      <sz val="10"/>
      <name val="Times"/>
    </font>
    <font>
      <sz val="12"/>
      <name val="Times"/>
    </font>
    <font>
      <sz val="9"/>
      <color indexed="81"/>
      <name val="Geneva"/>
    </font>
    <font>
      <b/>
      <sz val="9"/>
      <color indexed="81"/>
      <name val="Geneva"/>
    </font>
    <font>
      <b/>
      <sz val="12"/>
      <name val="Times"/>
    </font>
    <font>
      <b/>
      <u/>
      <sz val="10"/>
      <color indexed="12"/>
      <name val="Geneva"/>
    </font>
    <font>
      <sz val="8"/>
      <name val="Verdana"/>
      <family val="2"/>
    </font>
    <font>
      <sz val="10"/>
      <color indexed="10"/>
      <name val="Times"/>
    </font>
    <font>
      <b/>
      <sz val="10"/>
      <name val="Geneva"/>
    </font>
    <font>
      <b/>
      <sz val="12"/>
      <name val="Geneva"/>
    </font>
    <font>
      <b/>
      <sz val="24"/>
      <name val="Geneva"/>
    </font>
    <font>
      <sz val="16"/>
      <name val="Geneva"/>
    </font>
    <font>
      <i/>
      <sz val="10"/>
      <name val="Times"/>
    </font>
    <font>
      <i/>
      <sz val="12"/>
      <name val="Times"/>
    </font>
    <font>
      <sz val="12"/>
      <color indexed="8"/>
      <name val="Arial"/>
      <family val="2"/>
    </font>
    <font>
      <sz val="10"/>
      <color indexed="81"/>
      <name val="Calibri"/>
      <family val="2"/>
    </font>
    <font>
      <b/>
      <sz val="10"/>
      <color indexed="81"/>
      <name val="Calibri"/>
      <family val="2"/>
    </font>
    <font>
      <b/>
      <sz val="10"/>
      <color rgb="FFFF0000"/>
      <name val="Geneva"/>
    </font>
    <font>
      <sz val="12"/>
      <name val="Calibri"/>
      <family val="2"/>
      <scheme val="minor"/>
    </font>
    <font>
      <b/>
      <sz val="10"/>
      <color rgb="FFFF0000"/>
      <name val="Times"/>
    </font>
    <font>
      <sz val="10"/>
      <color rgb="FFFF0000"/>
      <name val="Times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  <font>
      <u/>
      <sz val="10"/>
      <color indexed="12"/>
      <name val="Geneva"/>
    </font>
    <font>
      <sz val="12"/>
      <name val="Calibri"/>
      <family val="2"/>
    </font>
    <font>
      <sz val="12"/>
      <color rgb="FF000000"/>
      <name val="Calibri"/>
      <family val="2"/>
    </font>
    <font>
      <sz val="14"/>
      <color indexed="10"/>
      <name val="Times"/>
    </font>
    <font>
      <sz val="14"/>
      <color indexed="10"/>
      <name val="Geneva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name val="Times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4" fillId="0" borderId="0"/>
    <xf numFmtId="0" fontId="34" fillId="0" borderId="0" applyNumberFormat="0" applyFill="0" applyBorder="0" applyAlignment="0" applyProtection="0">
      <alignment vertical="top"/>
      <protection locked="0"/>
    </xf>
  </cellStyleXfs>
  <cellXfs count="263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164" fontId="6" fillId="0" borderId="1" xfId="2" applyFont="1" applyBorder="1"/>
    <xf numFmtId="164" fontId="6" fillId="0" borderId="2" xfId="2" applyFont="1" applyBorder="1"/>
    <xf numFmtId="164" fontId="6" fillId="0" borderId="0" xfId="2" applyFont="1" applyBorder="1"/>
    <xf numFmtId="166" fontId="6" fillId="0" borderId="1" xfId="0" applyNumberFormat="1" applyFont="1" applyBorder="1"/>
    <xf numFmtId="166" fontId="6" fillId="0" borderId="1" xfId="2" applyNumberFormat="1" applyFont="1" applyBorder="1"/>
    <xf numFmtId="167" fontId="6" fillId="0" borderId="1" xfId="1" applyNumberFormat="1" applyFont="1" applyBorder="1" applyAlignment="1">
      <alignment horizontal="center"/>
    </xf>
    <xf numFmtId="0" fontId="11" fillId="0" borderId="0" xfId="0" applyFont="1"/>
    <xf numFmtId="0" fontId="6" fillId="0" borderId="3" xfId="0" applyFont="1" applyBorder="1"/>
    <xf numFmtId="0" fontId="0" fillId="0" borderId="0" xfId="0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4" fillId="2" borderId="1" xfId="0" applyFont="1" applyFill="1" applyBorder="1"/>
    <xf numFmtId="10" fontId="6" fillId="2" borderId="1" xfId="0" applyNumberFormat="1" applyFont="1" applyFill="1" applyBorder="1"/>
    <xf numFmtId="10" fontId="14" fillId="2" borderId="1" xfId="0" applyNumberFormat="1" applyFont="1" applyFill="1" applyBorder="1"/>
    <xf numFmtId="10" fontId="6" fillId="2" borderId="1" xfId="4" applyNumberFormat="1" applyFont="1" applyFill="1" applyBorder="1"/>
    <xf numFmtId="10" fontId="6" fillId="3" borderId="1" xfId="0" applyNumberFormat="1" applyFont="1" applyFill="1" applyBorder="1"/>
    <xf numFmtId="0" fontId="0" fillId="0" borderId="0" xfId="0" applyBorder="1" applyAlignment="1">
      <alignment horizontal="center"/>
    </xf>
    <xf numFmtId="10" fontId="0" fillId="0" borderId="0" xfId="0" applyNumberFormat="1"/>
    <xf numFmtId="10" fontId="8" fillId="3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Alignment="1">
      <alignment horizontal="left"/>
    </xf>
    <xf numFmtId="10" fontId="7" fillId="0" borderId="0" xfId="0" applyNumberFormat="1" applyFont="1"/>
    <xf numFmtId="0" fontId="7" fillId="0" borderId="1" xfId="0" applyFont="1" applyBorder="1"/>
    <xf numFmtId="10" fontId="0" fillId="0" borderId="4" xfId="0" applyNumberFormat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0" fontId="0" fillId="0" borderId="0" xfId="4" applyNumberFormat="1" applyFont="1"/>
    <xf numFmtId="2" fontId="0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24" fillId="0" borderId="0" xfId="0" applyFont="1" applyAlignment="1">
      <alignment horizontal="left"/>
    </xf>
    <xf numFmtId="15" fontId="0" fillId="0" borderId="0" xfId="0" applyNumberFormat="1" applyAlignment="1">
      <alignment horizontal="center"/>
    </xf>
    <xf numFmtId="2" fontId="25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4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0" fontId="0" fillId="0" borderId="1" xfId="4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/>
    <xf numFmtId="0" fontId="17" fillId="0" borderId="0" xfId="0" applyFont="1" applyBorder="1"/>
    <xf numFmtId="0" fontId="17" fillId="0" borderId="0" xfId="0" applyFont="1"/>
    <xf numFmtId="9" fontId="6" fillId="0" borderId="0" xfId="0" applyNumberFormat="1" applyFont="1"/>
    <xf numFmtId="2" fontId="26" fillId="0" borderId="1" xfId="0" applyNumberFormat="1" applyFont="1" applyBorder="1"/>
    <xf numFmtId="10" fontId="26" fillId="0" borderId="1" xfId="4" applyNumberFormat="1" applyFont="1" applyBorder="1"/>
    <xf numFmtId="10" fontId="26" fillId="0" borderId="1" xfId="0" applyNumberFormat="1" applyFont="1" applyBorder="1"/>
    <xf numFmtId="1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9" fillId="0" borderId="0" xfId="0" applyFont="1"/>
    <xf numFmtId="10" fontId="6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/>
    </xf>
    <xf numFmtId="15" fontId="0" fillId="0" borderId="0" xfId="0" applyNumberFormat="1"/>
    <xf numFmtId="9" fontId="0" fillId="0" borderId="0" xfId="0" applyNumberFormat="1"/>
    <xf numFmtId="1" fontId="0" fillId="0" borderId="0" xfId="0" applyNumberFormat="1"/>
    <xf numFmtId="0" fontId="4" fillId="0" borderId="0" xfId="0" applyFont="1"/>
    <xf numFmtId="0" fontId="0" fillId="0" borderId="0" xfId="0" applyFont="1"/>
    <xf numFmtId="10" fontId="6" fillId="2" borderId="1" xfId="0" applyNumberFormat="1" applyFont="1" applyFill="1" applyBorder="1" applyAlignment="1">
      <alignment horizontal="center"/>
    </xf>
    <xf numFmtId="10" fontId="27" fillId="0" borderId="1" xfId="0" applyNumberFormat="1" applyFont="1" applyBorder="1"/>
    <xf numFmtId="2" fontId="0" fillId="0" borderId="0" xfId="0" applyNumberFormat="1" applyAlignment="1">
      <alignment horizontal="center"/>
    </xf>
    <xf numFmtId="0" fontId="6" fillId="0" borderId="7" xfId="0" applyFont="1" applyBorder="1"/>
    <xf numFmtId="10" fontId="0" fillId="0" borderId="2" xfId="0" applyNumberFormat="1" applyBorder="1"/>
    <xf numFmtId="0" fontId="0" fillId="0" borderId="11" xfId="0" applyBorder="1" applyAlignment="1">
      <alignment horizontal="center"/>
    </xf>
    <xf numFmtId="0" fontId="12" fillId="0" borderId="0" xfId="3" applyAlignment="1" applyProtection="1"/>
    <xf numFmtId="1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10" fontId="0" fillId="0" borderId="0" xfId="4" applyNumberFormat="1" applyFont="1" applyFill="1" applyBorder="1" applyAlignment="1" applyProtection="1"/>
    <xf numFmtId="1" fontId="0" fillId="0" borderId="0" xfId="0" applyNumberFormat="1" applyAlignment="1">
      <alignment horizontal="center"/>
    </xf>
    <xf numFmtId="0" fontId="0" fillId="0" borderId="0" xfId="0" applyFont="1" applyFill="1" applyBorder="1" applyAlignment="1" applyProtection="1">
      <alignment horizontal="left"/>
    </xf>
    <xf numFmtId="10" fontId="7" fillId="0" borderId="0" xfId="4" applyNumberFormat="1" applyFont="1"/>
    <xf numFmtId="2" fontId="6" fillId="3" borderId="1" xfId="0" applyNumberFormat="1" applyFont="1" applyFill="1" applyBorder="1" applyAlignment="1">
      <alignment horizontal="center"/>
    </xf>
    <xf numFmtId="2" fontId="6" fillId="3" borderId="7" xfId="0" applyNumberFormat="1" applyFont="1" applyFill="1" applyBorder="1" applyAlignment="1">
      <alignment horizontal="center"/>
    </xf>
    <xf numFmtId="0" fontId="20" fillId="0" borderId="0" xfId="0" applyFont="1"/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/>
    </xf>
    <xf numFmtId="17" fontId="0" fillId="0" borderId="0" xfId="0" applyNumberFormat="1"/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2" xfId="0" applyFill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0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0" fontId="30" fillId="0" borderId="1" xfId="0" applyNumberFormat="1" applyFont="1" applyBorder="1" applyAlignment="1">
      <alignment horizontal="center" vertical="center"/>
    </xf>
    <xf numFmtId="10" fontId="30" fillId="0" borderId="1" xfId="4" applyNumberFormat="1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10" fontId="30" fillId="0" borderId="1" xfId="0" applyNumberFormat="1" applyFont="1" applyFill="1" applyBorder="1" applyAlignment="1">
      <alignment horizontal="center" vertical="center"/>
    </xf>
    <xf numFmtId="0" fontId="30" fillId="0" borderId="1" xfId="0" applyNumberFormat="1" applyFont="1" applyBorder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" fontId="30" fillId="0" borderId="1" xfId="0" applyNumberFormat="1" applyFont="1" applyBorder="1" applyAlignment="1">
      <alignment horizontal="center"/>
    </xf>
    <xf numFmtId="10" fontId="30" fillId="0" borderId="1" xfId="0" applyNumberFormat="1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10" fontId="30" fillId="0" borderId="1" xfId="4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0" xfId="0" applyFont="1"/>
    <xf numFmtId="15" fontId="16" fillId="0" borderId="0" xfId="0" applyNumberFormat="1" applyFont="1"/>
    <xf numFmtId="0" fontId="16" fillId="0" borderId="0" xfId="0" applyFont="1"/>
    <xf numFmtId="172" fontId="16" fillId="0" borderId="0" xfId="0" applyNumberFormat="1" applyFont="1"/>
    <xf numFmtId="170" fontId="16" fillId="0" borderId="0" xfId="0" applyNumberFormat="1" applyFont="1"/>
    <xf numFmtId="171" fontId="16" fillId="0" borderId="0" xfId="0" applyNumberFormat="1" applyFont="1"/>
    <xf numFmtId="2" fontId="16" fillId="0" borderId="0" xfId="0" applyNumberFormat="1" applyFont="1"/>
    <xf numFmtId="169" fontId="16" fillId="0" borderId="0" xfId="0" applyNumberFormat="1" applyFont="1"/>
    <xf numFmtId="10" fontId="16" fillId="0" borderId="0" xfId="4" applyNumberFormat="1" applyFont="1"/>
    <xf numFmtId="173" fontId="21" fillId="0" borderId="0" xfId="2" applyNumberFormat="1" applyFont="1" applyAlignment="1">
      <alignment horizontal="right"/>
    </xf>
    <xf numFmtId="173" fontId="16" fillId="0" borderId="0" xfId="2" applyNumberFormat="1" applyFont="1"/>
    <xf numFmtId="10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0" fillId="0" borderId="0" xfId="0" applyNumberFormat="1" applyAlignment="1">
      <alignment horizontal="center"/>
    </xf>
    <xf numFmtId="166" fontId="31" fillId="0" borderId="18" xfId="0" applyNumberFormat="1" applyFont="1" applyFill="1" applyBorder="1" applyAlignment="1">
      <alignment horizontal="center"/>
    </xf>
    <xf numFmtId="168" fontId="0" fillId="4" borderId="0" xfId="0" applyNumberFormat="1" applyFill="1" applyAlignment="1">
      <alignment horizontal="center"/>
    </xf>
    <xf numFmtId="174" fontId="21" fillId="0" borderId="0" xfId="0" applyNumberFormat="1" applyFont="1" applyAlignment="1">
      <alignment horizontal="right"/>
    </xf>
    <xf numFmtId="175" fontId="0" fillId="0" borderId="0" xfId="0" applyNumberFormat="1"/>
    <xf numFmtId="0" fontId="0" fillId="0" borderId="0" xfId="0" applyFont="1" applyFill="1" applyAlignment="1">
      <alignment horizontal="center"/>
    </xf>
    <xf numFmtId="0" fontId="0" fillId="0" borderId="0" xfId="0" applyFill="1"/>
    <xf numFmtId="0" fontId="6" fillId="0" borderId="0" xfId="0" applyFont="1" applyBorder="1"/>
    <xf numFmtId="0" fontId="19" fillId="0" borderId="1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10" fontId="6" fillId="0" borderId="3" xfId="4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6" fillId="0" borderId="1" xfId="2" applyFont="1" applyBorder="1" applyAlignment="1">
      <alignment horizontal="center"/>
    </xf>
    <xf numFmtId="164" fontId="6" fillId="0" borderId="7" xfId="2" applyFont="1" applyBorder="1" applyAlignment="1">
      <alignment horizontal="center"/>
    </xf>
    <xf numFmtId="164" fontId="6" fillId="3" borderId="1" xfId="2" applyFont="1" applyFill="1" applyBorder="1" applyAlignment="1">
      <alignment horizontal="center"/>
    </xf>
    <xf numFmtId="164" fontId="6" fillId="0" borderId="0" xfId="2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2" fontId="25" fillId="5" borderId="1" xfId="0" applyNumberFormat="1" applyFont="1" applyFill="1" applyBorder="1" applyAlignment="1">
      <alignment horizontal="center"/>
    </xf>
    <xf numFmtId="2" fontId="0" fillId="5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10" fontId="3" fillId="5" borderId="1" xfId="0" applyNumberFormat="1" applyFont="1" applyFill="1" applyBorder="1" applyAlignment="1">
      <alignment horizontal="center"/>
    </xf>
    <xf numFmtId="10" fontId="15" fillId="5" borderId="1" xfId="4" applyNumberFormat="1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24" fillId="5" borderId="0" xfId="4" applyNumberFormat="1" applyFont="1" applyFill="1" applyBorder="1" applyAlignment="1" applyProtection="1"/>
    <xf numFmtId="2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6" borderId="1" xfId="0" applyFont="1" applyFill="1" applyBorder="1" applyAlignment="1">
      <alignment horizontal="left"/>
    </xf>
    <xf numFmtId="2" fontId="1" fillId="6" borderId="1" xfId="0" applyNumberFormat="1" applyFont="1" applyFill="1" applyBorder="1" applyAlignment="1">
      <alignment horizontal="center"/>
    </xf>
    <xf numFmtId="1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10" fontId="15" fillId="6" borderId="1" xfId="4" applyNumberFormat="1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24" fillId="6" borderId="0" xfId="0" applyFont="1" applyFill="1" applyAlignment="1">
      <alignment horizontal="left"/>
    </xf>
    <xf numFmtId="0" fontId="1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5" fontId="0" fillId="6" borderId="0" xfId="0" applyNumberFormat="1" applyFill="1" applyAlignment="1">
      <alignment horizontal="center"/>
    </xf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24" fillId="7" borderId="0" xfId="0" applyFont="1" applyFill="1" applyAlignment="1">
      <alignment horizontal="left"/>
    </xf>
    <xf numFmtId="15" fontId="0" fillId="7" borderId="0" xfId="0" applyNumberFormat="1" applyFill="1" applyAlignment="1">
      <alignment horizontal="center"/>
    </xf>
    <xf numFmtId="10" fontId="6" fillId="0" borderId="1" xfId="4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30" fillId="0" borderId="0" xfId="0" applyFont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2" fillId="8" borderId="19" xfId="5" applyFont="1" applyFill="1" applyBorder="1"/>
    <xf numFmtId="15" fontId="33" fillId="8" borderId="20" xfId="5" applyNumberFormat="1" applyFont="1" applyFill="1" applyBorder="1" applyAlignment="1">
      <alignment horizontal="left"/>
    </xf>
    <xf numFmtId="15" fontId="33" fillId="8" borderId="21" xfId="5" applyNumberFormat="1" applyFont="1" applyFill="1" applyBorder="1" applyAlignment="1">
      <alignment horizontal="left"/>
    </xf>
    <xf numFmtId="15" fontId="33" fillId="8" borderId="22" xfId="5" applyNumberFormat="1" applyFont="1" applyFill="1" applyBorder="1" applyAlignment="1">
      <alignment horizontal="left"/>
    </xf>
    <xf numFmtId="0" fontId="8" fillId="0" borderId="0" xfId="5" applyFont="1"/>
    <xf numFmtId="0" fontId="32" fillId="8" borderId="23" xfId="5" applyFont="1" applyFill="1" applyBorder="1"/>
    <xf numFmtId="0" fontId="34" fillId="8" borderId="5" xfId="6" applyFill="1" applyBorder="1" applyAlignment="1" applyProtection="1">
      <alignment horizontal="left"/>
    </xf>
    <xf numFmtId="0" fontId="34" fillId="8" borderId="4" xfId="6" applyFill="1" applyBorder="1" applyAlignment="1" applyProtection="1">
      <alignment horizontal="left"/>
    </xf>
    <xf numFmtId="0" fontId="34" fillId="8" borderId="24" xfId="6" applyFill="1" applyBorder="1" applyAlignment="1" applyProtection="1">
      <alignment horizontal="left"/>
    </xf>
    <xf numFmtId="0" fontId="35" fillId="8" borderId="5" xfId="5" applyFont="1" applyFill="1" applyBorder="1" applyAlignment="1">
      <alignment horizontal="left"/>
    </xf>
    <xf numFmtId="0" fontId="35" fillId="8" borderId="4" xfId="5" applyFont="1" applyFill="1" applyBorder="1" applyAlignment="1">
      <alignment horizontal="left"/>
    </xf>
    <xf numFmtId="0" fontId="35" fillId="8" borderId="8" xfId="5" applyFont="1" applyFill="1" applyBorder="1" applyAlignment="1">
      <alignment horizontal="left"/>
    </xf>
    <xf numFmtId="0" fontId="35" fillId="8" borderId="24" xfId="5" applyFont="1" applyFill="1" applyBorder="1" applyAlignment="1">
      <alignment horizontal="left"/>
    </xf>
    <xf numFmtId="0" fontId="36" fillId="0" borderId="0" xfId="5" applyFont="1"/>
    <xf numFmtId="15" fontId="34" fillId="8" borderId="5" xfId="6" applyNumberFormat="1" applyFill="1" applyBorder="1" applyAlignment="1" applyProtection="1">
      <alignment horizontal="left"/>
    </xf>
    <xf numFmtId="15" fontId="34" fillId="8" borderId="4" xfId="6" applyNumberFormat="1" applyFill="1" applyBorder="1" applyAlignment="1" applyProtection="1">
      <alignment horizontal="left"/>
    </xf>
    <xf numFmtId="15" fontId="34" fillId="8" borderId="24" xfId="6" applyNumberFormat="1" applyFill="1" applyBorder="1" applyAlignment="1" applyProtection="1">
      <alignment horizontal="left"/>
    </xf>
    <xf numFmtId="0" fontId="34" fillId="8" borderId="5" xfId="6" applyFill="1" applyBorder="1" applyAlignment="1" applyProtection="1"/>
    <xf numFmtId="0" fontId="34" fillId="8" borderId="4" xfId="6" applyFill="1" applyBorder="1" applyAlignment="1" applyProtection="1"/>
    <xf numFmtId="0" fontId="34" fillId="8" borderId="24" xfId="6" applyFill="1" applyBorder="1" applyAlignment="1" applyProtection="1"/>
    <xf numFmtId="0" fontId="32" fillId="8" borderId="25" xfId="5" applyFont="1" applyFill="1" applyBorder="1"/>
    <xf numFmtId="0" fontId="34" fillId="8" borderId="26" xfId="6" applyFill="1" applyBorder="1" applyAlignment="1" applyProtection="1">
      <alignment horizontal="left"/>
    </xf>
    <xf numFmtId="0" fontId="34" fillId="8" borderId="27" xfId="6" applyFill="1" applyBorder="1" applyAlignment="1" applyProtection="1">
      <alignment horizontal="left"/>
    </xf>
    <xf numFmtId="0" fontId="34" fillId="8" borderId="28" xfId="6" applyFill="1" applyBorder="1" applyAlignment="1" applyProtection="1">
      <alignment horizontal="left"/>
    </xf>
    <xf numFmtId="0" fontId="37" fillId="0" borderId="0" xfId="5" applyFont="1"/>
    <xf numFmtId="0" fontId="38" fillId="0" borderId="0" xfId="5" applyFont="1"/>
    <xf numFmtId="0" fontId="8" fillId="9" borderId="1" xfId="5" applyFont="1" applyFill="1" applyBorder="1" applyAlignment="1">
      <alignment horizontal="center"/>
    </xf>
    <xf numFmtId="0" fontId="20" fillId="0" borderId="11" xfId="5" applyFont="1" applyBorder="1"/>
    <xf numFmtId="0" fontId="8" fillId="0" borderId="29" xfId="5" applyFont="1" applyBorder="1"/>
    <xf numFmtId="0" fontId="8" fillId="0" borderId="30" xfId="5" applyFont="1" applyBorder="1"/>
    <xf numFmtId="0" fontId="20" fillId="0" borderId="31" xfId="5" applyFont="1" applyBorder="1"/>
    <xf numFmtId="0" fontId="8" fillId="0" borderId="32" xfId="5" applyFont="1" applyBorder="1"/>
    <xf numFmtId="0" fontId="8" fillId="0" borderId="33" xfId="5" applyFont="1" applyBorder="1"/>
    <xf numFmtId="0" fontId="8" fillId="0" borderId="0" xfId="5" applyFont="1" applyFill="1" applyBorder="1" applyAlignment="1">
      <alignment horizontal="center"/>
    </xf>
    <xf numFmtId="0" fontId="8" fillId="10" borderId="1" xfId="5" applyFont="1" applyFill="1" applyBorder="1" applyAlignment="1">
      <alignment horizontal="center"/>
    </xf>
    <xf numFmtId="10" fontId="8" fillId="10" borderId="6" xfId="5" applyNumberFormat="1" applyFont="1" applyFill="1" applyBorder="1" applyAlignment="1">
      <alignment horizontal="center"/>
    </xf>
    <xf numFmtId="0" fontId="11" fillId="0" borderId="12" xfId="5" applyFont="1" applyBorder="1" applyAlignment="1">
      <alignment horizontal="centerContinuous"/>
    </xf>
    <xf numFmtId="0" fontId="11" fillId="0" borderId="13" xfId="5" applyFont="1" applyBorder="1" applyAlignment="1">
      <alignment horizontal="centerContinuous"/>
    </xf>
    <xf numFmtId="0" fontId="11" fillId="0" borderId="14" xfId="5" applyFont="1" applyBorder="1" applyAlignment="1">
      <alignment horizontal="centerContinuous"/>
    </xf>
    <xf numFmtId="0" fontId="28" fillId="0" borderId="3" xfId="5" applyFont="1" applyBorder="1" applyAlignment="1">
      <alignment horizontal="center"/>
    </xf>
    <xf numFmtId="0" fontId="25" fillId="0" borderId="3" xfId="5" applyFont="1" applyBorder="1" applyAlignment="1">
      <alignment horizontal="center"/>
    </xf>
    <xf numFmtId="0" fontId="25" fillId="0" borderId="31" xfId="5" applyFont="1" applyBorder="1" applyAlignment="1">
      <alignment horizontal="center" wrapText="1"/>
    </xf>
    <xf numFmtId="0" fontId="39" fillId="0" borderId="1" xfId="5" applyFont="1" applyBorder="1" applyAlignment="1">
      <alignment horizontal="center"/>
    </xf>
    <xf numFmtId="0" fontId="40" fillId="0" borderId="1" xfId="5" applyFont="1" applyBorder="1" applyAlignment="1">
      <alignment horizontal="center"/>
    </xf>
    <xf numFmtId="0" fontId="40" fillId="0" borderId="1" xfId="5" applyFont="1" applyBorder="1" applyAlignment="1">
      <alignment horizontal="center" wrapText="1"/>
    </xf>
    <xf numFmtId="0" fontId="25" fillId="0" borderId="1" xfId="5" applyFont="1" applyBorder="1" applyAlignment="1">
      <alignment horizontal="center"/>
    </xf>
    <xf numFmtId="10" fontId="25" fillId="0" borderId="1" xfId="5" applyNumberFormat="1" applyFont="1" applyBorder="1" applyAlignment="1">
      <alignment horizontal="center"/>
    </xf>
    <xf numFmtId="164" fontId="25" fillId="0" borderId="1" xfId="2" applyFont="1" applyBorder="1" applyAlignment="1">
      <alignment horizontal="center"/>
    </xf>
    <xf numFmtId="0" fontId="25" fillId="0" borderId="5" xfId="5" applyFont="1" applyBorder="1" applyAlignment="1">
      <alignment horizontal="center"/>
    </xf>
    <xf numFmtId="164" fontId="41" fillId="11" borderId="1" xfId="2" applyNumberFormat="1" applyFont="1" applyFill="1" applyBorder="1" applyAlignment="1">
      <alignment horizontal="center"/>
    </xf>
    <xf numFmtId="10" fontId="25" fillId="0" borderId="5" xfId="5" applyNumberFormat="1" applyFont="1" applyBorder="1" applyAlignment="1">
      <alignment horizontal="center"/>
    </xf>
    <xf numFmtId="9" fontId="8" fillId="0" borderId="0" xfId="4" applyFont="1"/>
    <xf numFmtId="9" fontId="8" fillId="0" borderId="0" xfId="5" applyNumberFormat="1" applyFont="1"/>
    <xf numFmtId="43" fontId="8" fillId="0" borderId="0" xfId="5" applyNumberFormat="1" applyFont="1"/>
    <xf numFmtId="0" fontId="25" fillId="0" borderId="0" xfId="5" applyFont="1" applyBorder="1" applyAlignment="1">
      <alignment horizontal="center"/>
    </xf>
    <xf numFmtId="10" fontId="25" fillId="0" borderId="0" xfId="5" applyNumberFormat="1" applyFont="1" applyBorder="1" applyAlignment="1">
      <alignment horizontal="center"/>
    </xf>
    <xf numFmtId="0" fontId="42" fillId="0" borderId="32" xfId="5" applyFont="1" applyBorder="1" applyAlignment="1">
      <alignment horizontal="center"/>
    </xf>
    <xf numFmtId="0" fontId="4" fillId="0" borderId="32" xfId="5" applyBorder="1" applyAlignment="1">
      <alignment horizontal="center"/>
    </xf>
    <xf numFmtId="0" fontId="42" fillId="0" borderId="0" xfId="5" applyFont="1" applyAlignment="1">
      <alignment horizontal="center"/>
    </xf>
    <xf numFmtId="0" fontId="11" fillId="0" borderId="0" xfId="5" applyFont="1" applyAlignment="1">
      <alignment horizontal="left"/>
    </xf>
    <xf numFmtId="0" fontId="8" fillId="0" borderId="0" xfId="5" applyFont="1" applyAlignment="1">
      <alignment horizontal="center"/>
    </xf>
    <xf numFmtId="0" fontId="8" fillId="0" borderId="1" xfId="5" applyFont="1" applyBorder="1"/>
    <xf numFmtId="0" fontId="8" fillId="0" borderId="1" xfId="5" applyFont="1" applyBorder="1" applyAlignment="1">
      <alignment horizontal="center"/>
    </xf>
    <xf numFmtId="10" fontId="8" fillId="0" borderId="1" xfId="5" applyNumberFormat="1" applyFont="1" applyBorder="1" applyAlignment="1">
      <alignment horizontal="center"/>
    </xf>
    <xf numFmtId="10" fontId="8" fillId="0" borderId="1" xfId="5" applyNumberFormat="1" applyFont="1" applyBorder="1"/>
    <xf numFmtId="176" fontId="8" fillId="0" borderId="0" xfId="5" applyNumberFormat="1" applyFont="1"/>
    <xf numFmtId="0" fontId="42" fillId="0" borderId="0" xfId="5" applyFont="1"/>
    <xf numFmtId="0" fontId="11" fillId="0" borderId="0" xfId="5" applyFont="1"/>
    <xf numFmtId="10" fontId="8" fillId="0" borderId="1" xfId="4" applyNumberFormat="1" applyFont="1" applyBorder="1" applyAlignment="1">
      <alignment horizontal="center"/>
    </xf>
    <xf numFmtId="10" fontId="8" fillId="6" borderId="1" xfId="5" applyNumberFormat="1" applyFont="1" applyFill="1" applyBorder="1"/>
  </cellXfs>
  <cellStyles count="7">
    <cellStyle name="Komma" xfId="1" builtinId="3"/>
    <cellStyle name="Link" xfId="3" builtinId="8"/>
    <cellStyle name="Link 2" xfId="6"/>
    <cellStyle name="Prozent" xfId="4" builtinId="5"/>
    <cellStyle name="Standard" xfId="0" builtinId="0"/>
    <cellStyle name="Standard 2" xfId="5"/>
    <cellStyle name="Währung" xfId="2" builtinId="4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10year US</a:t>
            </a:r>
            <a:r>
              <a:rPr lang="de-DE" sz="1800" b="1" baseline="0"/>
              <a:t> geom. roll. ERP</a:t>
            </a:r>
            <a:endParaRPr lang="de-DE" sz="18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'Historical Risk Premium'!$N$18</c:f>
              <c:strCache>
                <c:ptCount val="1"/>
                <c:pt idx="0">
                  <c:v>Historical risk premium roll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'Historical Risk Premium'!$A$51:$A$106</c:f>
              <c:numCache>
                <c:formatCode>General</c:formatCode>
                <c:ptCount val="5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</c:numCache>
            </c:numRef>
          </c:xVal>
          <c:yVal>
            <c:numRef>
              <c:f>'Historical Risk Premium'!$N$51:$N$106</c:f>
              <c:numCache>
                <c:formatCode>0%</c:formatCode>
                <c:ptCount val="56"/>
                <c:pt idx="0">
                  <c:v>0.14476388889094682</c:v>
                </c:pt>
                <c:pt idx="1">
                  <c:v>0.14513599256789234</c:v>
                </c:pt>
                <c:pt idx="2">
                  <c:v>0.11194890973433202</c:v>
                </c:pt>
                <c:pt idx="3">
                  <c:v>0.13920581944140187</c:v>
                </c:pt>
                <c:pt idx="4">
                  <c:v>0.10779644939336075</c:v>
                </c:pt>
                <c:pt idx="5">
                  <c:v>8.7163930844403659E-2</c:v>
                </c:pt>
                <c:pt idx="6">
                  <c:v>6.2396962440290915E-2</c:v>
                </c:pt>
                <c:pt idx="7">
                  <c:v>0.10673552922558627</c:v>
                </c:pt>
                <c:pt idx="8">
                  <c:v>7.2311157894732414E-2</c:v>
                </c:pt>
                <c:pt idx="9">
                  <c:v>5.3089092363508117E-2</c:v>
                </c:pt>
                <c:pt idx="10">
                  <c:v>5.1903341458360064E-2</c:v>
                </c:pt>
                <c:pt idx="11">
                  <c:v>3.3272430536382736E-2</c:v>
                </c:pt>
                <c:pt idx="12">
                  <c:v>6.475747128519127E-2</c:v>
                </c:pt>
                <c:pt idx="13">
                  <c:v>2.4115600208102883E-2</c:v>
                </c:pt>
                <c:pt idx="14">
                  <c:v>-2.0942042066985467E-2</c:v>
                </c:pt>
                <c:pt idx="15">
                  <c:v>-3.6243544398488758E-3</c:v>
                </c:pt>
                <c:pt idx="16">
                  <c:v>1.7363845994659011E-2</c:v>
                </c:pt>
                <c:pt idx="17">
                  <c:v>-1.5715347209068975E-2</c:v>
                </c:pt>
                <c:pt idx="18">
                  <c:v>-1.5611385283128998E-2</c:v>
                </c:pt>
                <c:pt idx="19">
                  <c:v>5.0409912353241992E-3</c:v>
                </c:pt>
                <c:pt idx="20">
                  <c:v>5.0185778391208524E-2</c:v>
                </c:pt>
                <c:pt idx="21">
                  <c:v>3.2216876661746774E-2</c:v>
                </c:pt>
                <c:pt idx="22">
                  <c:v>6.9082380791563036E-3</c:v>
                </c:pt>
                <c:pt idx="23">
                  <c:v>4.6048725430020365E-2</c:v>
                </c:pt>
                <c:pt idx="24">
                  <c:v>7.4898767090563201E-2</c:v>
                </c:pt>
                <c:pt idx="25">
                  <c:v>4.9066558411648753E-2</c:v>
                </c:pt>
                <c:pt idx="26">
                  <c:v>3.6476386582728004E-2</c:v>
                </c:pt>
                <c:pt idx="27">
                  <c:v>5.8193287857348786E-2</c:v>
                </c:pt>
                <c:pt idx="28">
                  <c:v>5.9065741881609179E-2</c:v>
                </c:pt>
                <c:pt idx="29">
                  <c:v>5.3820371760098684E-2</c:v>
                </c:pt>
                <c:pt idx="30">
                  <c:v>8.155572450345705E-3</c:v>
                </c:pt>
                <c:pt idx="31">
                  <c:v>3.7346644296041287E-2</c:v>
                </c:pt>
                <c:pt idx="32">
                  <c:v>4.596371724756998E-2</c:v>
                </c:pt>
                <c:pt idx="33">
                  <c:v>2.2295595115596756E-2</c:v>
                </c:pt>
                <c:pt idx="34">
                  <c:v>4.0646259844572263E-2</c:v>
                </c:pt>
                <c:pt idx="35">
                  <c:v>4.7707994241649843E-2</c:v>
                </c:pt>
                <c:pt idx="36">
                  <c:v>7.3841286599998446E-2</c:v>
                </c:pt>
                <c:pt idx="37">
                  <c:v>8.4766092908830526E-2</c:v>
                </c:pt>
                <c:pt idx="38">
                  <c:v>8.9602834939570108E-2</c:v>
                </c:pt>
                <c:pt idx="39">
                  <c:v>0.10672714974925768</c:v>
                </c:pt>
                <c:pt idx="40">
                  <c:v>8.915663645605143E-2</c:v>
                </c:pt>
                <c:pt idx="41">
                  <c:v>5.3492020331439072E-2</c:v>
                </c:pt>
                <c:pt idx="42">
                  <c:v>1.2407278378536946E-2</c:v>
                </c:pt>
                <c:pt idx="43">
                  <c:v>4.3290471395909913E-2</c:v>
                </c:pt>
                <c:pt idx="44">
                  <c:v>3.9490363744203894E-2</c:v>
                </c:pt>
                <c:pt idx="45">
                  <c:v>2.9321639850701908E-2</c:v>
                </c:pt>
                <c:pt idx="46">
                  <c:v>2.2318528891748457E-2</c:v>
                </c:pt>
                <c:pt idx="47">
                  <c:v>-2.8456456856580381E-3</c:v>
                </c:pt>
                <c:pt idx="48">
                  <c:v>-7.9529263901718439E-2</c:v>
                </c:pt>
                <c:pt idx="49">
                  <c:v>-7.2110642358178989E-2</c:v>
                </c:pt>
                <c:pt idx="50">
                  <c:v>-4.1066503206846905E-2</c:v>
                </c:pt>
                <c:pt idx="51">
                  <c:v>-3.6080181725139271E-2</c:v>
                </c:pt>
                <c:pt idx="52">
                  <c:v>1.7231051814563303E-2</c:v>
                </c:pt>
                <c:pt idx="53">
                  <c:v>3.0745126508278764E-2</c:v>
                </c:pt>
                <c:pt idx="54">
                  <c:v>2.7331251667163103E-2</c:v>
                </c:pt>
                <c:pt idx="55">
                  <c:v>2.5335863080685472E-2</c:v>
                </c:pt>
              </c:numCache>
            </c:numRef>
          </c:yVal>
          <c:smooth val="0"/>
        </c:ser>
        <c:ser>
          <c:idx val="1"/>
          <c:order val="1"/>
          <c:tx>
            <c:v>US stocks roll.</c:v>
          </c:tx>
          <c:spPr>
            <a:ln w="19050" cap="rnd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'Historical Risk Premium'!$A$51:$A$106</c:f>
              <c:numCache>
                <c:formatCode>General</c:formatCode>
                <c:ptCount val="5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</c:numCache>
            </c:numRef>
          </c:xVal>
          <c:yVal>
            <c:numRef>
              <c:f>'Historical Risk Premium'!$L$51:$L$106</c:f>
              <c:numCache>
                <c:formatCode>0%</c:formatCode>
                <c:ptCount val="56"/>
                <c:pt idx="0">
                  <c:v>0.16333400172590329</c:v>
                </c:pt>
                <c:pt idx="1">
                  <c:v>0.16608798265954072</c:v>
                </c:pt>
                <c:pt idx="2">
                  <c:v>0.13627018092538434</c:v>
                </c:pt>
                <c:pt idx="3">
                  <c:v>0.16108173638813206</c:v>
                </c:pt>
                <c:pt idx="4">
                  <c:v>0.13010512540866048</c:v>
                </c:pt>
                <c:pt idx="5">
                  <c:v>0.11158250917984969</c:v>
                </c:pt>
                <c:pt idx="6">
                  <c:v>9.2102915614247216E-2</c:v>
                </c:pt>
                <c:pt idx="7">
                  <c:v>0.12806385072920157</c:v>
                </c:pt>
                <c:pt idx="8">
                  <c:v>9.9111561723333574E-2</c:v>
                </c:pt>
                <c:pt idx="9">
                  <c:v>7.7364792758599421E-2</c:v>
                </c:pt>
                <c:pt idx="10">
                  <c:v>8.0778143450312978E-2</c:v>
                </c:pt>
                <c:pt idx="11">
                  <c:v>6.9682523780437933E-2</c:v>
                </c:pt>
                <c:pt idx="12">
                  <c:v>9.8313185889873145E-2</c:v>
                </c:pt>
                <c:pt idx="13">
                  <c:v>5.9660948445576123E-2</c:v>
                </c:pt>
                <c:pt idx="14">
                  <c:v>1.2853514706793412E-2</c:v>
                </c:pt>
                <c:pt idx="15">
                  <c:v>3.3096323911173453E-2</c:v>
                </c:pt>
                <c:pt idx="16">
                  <c:v>6.6560484213362026E-2</c:v>
                </c:pt>
                <c:pt idx="17">
                  <c:v>3.6502026916034325E-2</c:v>
                </c:pt>
                <c:pt idx="18">
                  <c:v>3.2402626959679104E-2</c:v>
                </c:pt>
                <c:pt idx="19">
                  <c:v>5.91644286438473E-2</c:v>
                </c:pt>
                <c:pt idx="20">
                  <c:v>8.4960434724851597E-2</c:v>
                </c:pt>
                <c:pt idx="21">
                  <c:v>6.5485266981366808E-2</c:v>
                </c:pt>
                <c:pt idx="22">
                  <c:v>6.6968621055699895E-2</c:v>
                </c:pt>
                <c:pt idx="23">
                  <c:v>0.10563933571293371</c:v>
                </c:pt>
                <c:pt idx="24">
                  <c:v>0.14610162571821639</c:v>
                </c:pt>
                <c:pt idx="25">
                  <c:v>0.14118914097222901</c:v>
                </c:pt>
                <c:pt idx="26">
                  <c:v>0.13617319999082533</c:v>
                </c:pt>
                <c:pt idx="27">
                  <c:v>0.15090786460170147</c:v>
                </c:pt>
                <c:pt idx="28">
                  <c:v>0.16131026951273797</c:v>
                </c:pt>
                <c:pt idx="29">
                  <c:v>0.1734204905093959</c:v>
                </c:pt>
                <c:pt idx="30">
                  <c:v>0.13797252412808803</c:v>
                </c:pt>
                <c:pt idx="31">
                  <c:v>0.17407622764071773</c:v>
                </c:pt>
                <c:pt idx="32">
                  <c:v>0.16082054423669723</c:v>
                </c:pt>
                <c:pt idx="33">
                  <c:v>0.14851191683904763</c:v>
                </c:pt>
                <c:pt idx="34">
                  <c:v>0.14318663958953426</c:v>
                </c:pt>
                <c:pt idx="35">
                  <c:v>0.14827527760648773</c:v>
                </c:pt>
                <c:pt idx="36">
                  <c:v>0.15226901882226662</c:v>
                </c:pt>
                <c:pt idx="37">
                  <c:v>0.17901435844102531</c:v>
                </c:pt>
                <c:pt idx="38">
                  <c:v>0.19044175039779843</c:v>
                </c:pt>
                <c:pt idx="39">
                  <c:v>0.18048680950939855</c:v>
                </c:pt>
                <c:pt idx="40">
                  <c:v>0.1730101840426046</c:v>
                </c:pt>
                <c:pt idx="41">
                  <c:v>0.12810990875063477</c:v>
                </c:pt>
                <c:pt idx="42">
                  <c:v>9.2550352838118632E-2</c:v>
                </c:pt>
                <c:pt idx="43">
                  <c:v>0.10957523082208387</c:v>
                </c:pt>
                <c:pt idx="44">
                  <c:v>0.11947973951562019</c:v>
                </c:pt>
                <c:pt idx="45">
                  <c:v>8.9764760776321895E-2</c:v>
                </c:pt>
                <c:pt idx="46">
                  <c:v>8.3316960456282008E-2</c:v>
                </c:pt>
                <c:pt idx="47">
                  <c:v>5.8413831755303569E-2</c:v>
                </c:pt>
                <c:pt idx="48">
                  <c:v>-1.3580715803110044E-2</c:v>
                </c:pt>
                <c:pt idx="49">
                  <c:v>-9.5355058192430064E-3</c:v>
                </c:pt>
                <c:pt idx="50">
                  <c:v>1.3799629164080285E-2</c:v>
                </c:pt>
                <c:pt idx="51">
                  <c:v>2.8801670065618401E-2</c:v>
                </c:pt>
                <c:pt idx="52">
                  <c:v>7.0306384229671837E-2</c:v>
                </c:pt>
                <c:pt idx="53">
                  <c:v>7.3424906380343158E-2</c:v>
                </c:pt>
                <c:pt idx="54">
                  <c:v>7.6091143676783268E-2</c:v>
                </c:pt>
                <c:pt idx="55">
                  <c:v>7.2470319981030373E-2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'Historical Risk Premium'!$M$18</c:f>
              <c:strCache>
                <c:ptCount val="1"/>
                <c:pt idx="0">
                  <c:v>T.Bonds roll</c:v>
                </c:pt>
              </c:strCache>
            </c:strRef>
          </c:tx>
          <c:spPr>
            <a:ln w="19050" cap="rnd">
              <a:solidFill>
                <a:schemeClr val="accent6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'Historical Risk Premium'!$A$51:$A$106</c:f>
              <c:numCache>
                <c:formatCode>General</c:formatCode>
                <c:ptCount val="5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</c:numCache>
            </c:numRef>
          </c:xVal>
          <c:yVal>
            <c:numRef>
              <c:f>'Historical Risk Premium'!$M$51:$M$106</c:f>
              <c:numCache>
                <c:formatCode>0%</c:formatCode>
                <c:ptCount val="56"/>
                <c:pt idx="0">
                  <c:v>1.8570112834956465E-2</c:v>
                </c:pt>
                <c:pt idx="1">
                  <c:v>2.0951990091648387E-2</c:v>
                </c:pt>
                <c:pt idx="2">
                  <c:v>2.4321271191052318E-2</c:v>
                </c:pt>
                <c:pt idx="3">
                  <c:v>2.1875916946730189E-2</c:v>
                </c:pt>
                <c:pt idx="4">
                  <c:v>2.2308676015299733E-2</c:v>
                </c:pt>
                <c:pt idx="5">
                  <c:v>2.4418578335446028E-2</c:v>
                </c:pt>
                <c:pt idx="6">
                  <c:v>2.9705953173956301E-2</c:v>
                </c:pt>
                <c:pt idx="7">
                  <c:v>2.13283215036153E-2</c:v>
                </c:pt>
                <c:pt idx="8">
                  <c:v>2.680040382860116E-2</c:v>
                </c:pt>
                <c:pt idx="9">
                  <c:v>2.4275700395091304E-2</c:v>
                </c:pt>
                <c:pt idx="10">
                  <c:v>2.8874801991952914E-2</c:v>
                </c:pt>
                <c:pt idx="11">
                  <c:v>3.6410093244055197E-2</c:v>
                </c:pt>
                <c:pt idx="12">
                  <c:v>3.3555714604681874E-2</c:v>
                </c:pt>
                <c:pt idx="13">
                  <c:v>3.554534823747324E-2</c:v>
                </c:pt>
                <c:pt idx="14">
                  <c:v>3.3795556773778879E-2</c:v>
                </c:pt>
                <c:pt idx="15">
                  <c:v>3.6720678351022329E-2</c:v>
                </c:pt>
                <c:pt idx="16">
                  <c:v>4.9196638218703015E-2</c:v>
                </c:pt>
                <c:pt idx="17">
                  <c:v>5.22173741251033E-2</c:v>
                </c:pt>
                <c:pt idx="18">
                  <c:v>4.8014012242808102E-2</c:v>
                </c:pt>
                <c:pt idx="19">
                  <c:v>5.4123437408523101E-2</c:v>
                </c:pt>
                <c:pt idx="20">
                  <c:v>3.4774656333643073E-2</c:v>
                </c:pt>
                <c:pt idx="21">
                  <c:v>3.3268390319620034E-2</c:v>
                </c:pt>
                <c:pt idx="22">
                  <c:v>6.0060382976543591E-2</c:v>
                </c:pt>
                <c:pt idx="23">
                  <c:v>5.9590610282913348E-2</c:v>
                </c:pt>
                <c:pt idx="24">
                  <c:v>7.1202858627653187E-2</c:v>
                </c:pt>
                <c:pt idx="25">
                  <c:v>9.2122582560580257E-2</c:v>
                </c:pt>
                <c:pt idx="26">
                  <c:v>9.9696813408097329E-2</c:v>
                </c:pt>
                <c:pt idx="27">
                  <c:v>9.2714576744352684E-2</c:v>
                </c:pt>
                <c:pt idx="28">
                  <c:v>0.10224452763112879</c:v>
                </c:pt>
                <c:pt idx="29">
                  <c:v>0.11960011874929721</c:v>
                </c:pt>
                <c:pt idx="30">
                  <c:v>0.12981695167774232</c:v>
                </c:pt>
                <c:pt idx="31">
                  <c:v>0.13672958334467644</c:v>
                </c:pt>
                <c:pt idx="32">
                  <c:v>0.11485682698912725</c:v>
                </c:pt>
                <c:pt idx="33">
                  <c:v>0.12621632172345087</c:v>
                </c:pt>
                <c:pt idx="34">
                  <c:v>0.102540379744962</c:v>
                </c:pt>
                <c:pt idx="35">
                  <c:v>0.10056728336483789</c:v>
                </c:pt>
                <c:pt idx="36">
                  <c:v>7.8427732222268176E-2</c:v>
                </c:pt>
                <c:pt idx="37">
                  <c:v>9.4248265532194786E-2</c:v>
                </c:pt>
                <c:pt idx="38">
                  <c:v>0.10083891545822832</c:v>
                </c:pt>
                <c:pt idx="39">
                  <c:v>7.3759659760140872E-2</c:v>
                </c:pt>
                <c:pt idx="40">
                  <c:v>8.3853547586553168E-2</c:v>
                </c:pt>
                <c:pt idx="41">
                  <c:v>7.4617888419195699E-2</c:v>
                </c:pt>
                <c:pt idx="42">
                  <c:v>8.0143074459581687E-2</c:v>
                </c:pt>
                <c:pt idx="43">
                  <c:v>6.6284759426173956E-2</c:v>
                </c:pt>
                <c:pt idx="44">
                  <c:v>7.9989375771416293E-2</c:v>
                </c:pt>
                <c:pt idx="45">
                  <c:v>6.0443120925619986E-2</c:v>
                </c:pt>
                <c:pt idx="46">
                  <c:v>6.0998431564533551E-2</c:v>
                </c:pt>
                <c:pt idx="47">
                  <c:v>6.1259477440961607E-2</c:v>
                </c:pt>
                <c:pt idx="48">
                  <c:v>6.5948548098608395E-2</c:v>
                </c:pt>
                <c:pt idx="49">
                  <c:v>6.2575136538935983E-2</c:v>
                </c:pt>
                <c:pt idx="50">
                  <c:v>5.486613237092719E-2</c:v>
                </c:pt>
                <c:pt idx="51">
                  <c:v>6.4881851790757672E-2</c:v>
                </c:pt>
                <c:pt idx="52">
                  <c:v>5.3075332415108534E-2</c:v>
                </c:pt>
                <c:pt idx="53">
                  <c:v>4.2679779872064394E-2</c:v>
                </c:pt>
                <c:pt idx="54">
                  <c:v>4.8759892009620165E-2</c:v>
                </c:pt>
                <c:pt idx="55">
                  <c:v>4.7134456900344901E-2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649752"/>
        <c:axId val="384650144"/>
      </c:scatterChart>
      <c:valAx>
        <c:axId val="384649752"/>
        <c:scaling>
          <c:orientation val="minMax"/>
          <c:max val="2015"/>
          <c:min val="19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4650144"/>
        <c:crosses val="autoZero"/>
        <c:crossBetween val="midCat"/>
        <c:majorUnit val="5"/>
        <c:minorUnit val="2"/>
      </c:valAx>
      <c:valAx>
        <c:axId val="38465014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4649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527050</xdr:colOff>
      <xdr:row>24</xdr:row>
      <xdr:rowOff>0</xdr:rowOff>
    </xdr:from>
    <xdr:to>
      <xdr:col>7</xdr:col>
      <xdr:colOff>658061</xdr:colOff>
      <xdr:row>26</xdr:row>
      <xdr:rowOff>13335</xdr:rowOff>
    </xdr:to>
    <xdr:sp macro="" textlink="">
      <xdr:nvSpPr>
        <xdr:cNvPr id="1680" name="Rectangle 1"/>
        <xdr:cNvSpPr>
          <a:spLocks noChangeArrowheads="1"/>
        </xdr:cNvSpPr>
      </xdr:nvSpPr>
      <xdr:spPr bwMode="auto">
        <a:xfrm>
          <a:off x="12115800" y="4864100"/>
          <a:ext cx="1778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8</xdr:col>
      <xdr:colOff>304800</xdr:colOff>
      <xdr:row>26</xdr:row>
      <xdr:rowOff>66675</xdr:rowOff>
    </xdr:from>
    <xdr:to>
      <xdr:col>11</xdr:col>
      <xdr:colOff>418800</xdr:colOff>
      <xdr:row>34</xdr:row>
      <xdr:rowOff>197934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9325" y="4905375"/>
          <a:ext cx="2400000" cy="15028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276888</xdr:colOff>
      <xdr:row>117</xdr:row>
      <xdr:rowOff>117365</xdr:rowOff>
    </xdr:from>
    <xdr:to>
      <xdr:col>9</xdr:col>
      <xdr:colOff>1101587</xdr:colOff>
      <xdr:row>135</xdr:row>
      <xdr:rowOff>74543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istret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urns by year"/>
      <sheetName val="S&amp;P 500 &amp; Raw Data"/>
      <sheetName val="T. Bill rates"/>
      <sheetName val="T. Bond return"/>
      <sheetName val="Summary for ppt"/>
    </sheetNames>
    <sheetDataSet>
      <sheetData sheetId="0">
        <row r="18">
          <cell r="M18" t="str">
            <v>T.Bonds roll</v>
          </cell>
          <cell r="N18" t="str">
            <v>Historical risk premium roll</v>
          </cell>
        </row>
        <row r="51">
          <cell r="A51">
            <v>1960</v>
          </cell>
          <cell r="L51">
            <v>0.16333400172590329</v>
          </cell>
          <cell r="M51">
            <v>1.8570112834956465E-2</v>
          </cell>
          <cell r="N51">
            <v>0.14476388889094682</v>
          </cell>
        </row>
        <row r="52">
          <cell r="A52">
            <v>1961</v>
          </cell>
          <cell r="L52">
            <v>0.16608798265954072</v>
          </cell>
          <cell r="M52">
            <v>2.0951990091648387E-2</v>
          </cell>
          <cell r="N52">
            <v>0.14513599256789234</v>
          </cell>
        </row>
        <row r="53">
          <cell r="A53">
            <v>1962</v>
          </cell>
          <cell r="L53">
            <v>0.13627018092538434</v>
          </cell>
          <cell r="M53">
            <v>2.4321271191052318E-2</v>
          </cell>
          <cell r="N53">
            <v>0.11194890973433202</v>
          </cell>
        </row>
        <row r="54">
          <cell r="A54">
            <v>1963</v>
          </cell>
          <cell r="L54">
            <v>0.16108173638813206</v>
          </cell>
          <cell r="M54">
            <v>2.1875916946730189E-2</v>
          </cell>
          <cell r="N54">
            <v>0.13920581944140187</v>
          </cell>
        </row>
        <row r="55">
          <cell r="A55">
            <v>1964</v>
          </cell>
          <cell r="L55">
            <v>0.13010512540866048</v>
          </cell>
          <cell r="M55">
            <v>2.2308676015299733E-2</v>
          </cell>
          <cell r="N55">
            <v>0.10779644939336075</v>
          </cell>
        </row>
        <row r="56">
          <cell r="A56">
            <v>1965</v>
          </cell>
          <cell r="L56">
            <v>0.11158250917984969</v>
          </cell>
          <cell r="M56">
            <v>2.4418578335446028E-2</v>
          </cell>
          <cell r="N56">
            <v>8.7163930844403659E-2</v>
          </cell>
        </row>
        <row r="57">
          <cell r="A57">
            <v>1966</v>
          </cell>
          <cell r="L57">
            <v>9.2102915614247216E-2</v>
          </cell>
          <cell r="M57">
            <v>2.9705953173956301E-2</v>
          </cell>
          <cell r="N57">
            <v>6.2396962440290915E-2</v>
          </cell>
        </row>
        <row r="58">
          <cell r="A58">
            <v>1967</v>
          </cell>
          <cell r="L58">
            <v>0.12806385072920157</v>
          </cell>
          <cell r="M58">
            <v>2.13283215036153E-2</v>
          </cell>
          <cell r="N58">
            <v>0.10673552922558627</v>
          </cell>
        </row>
        <row r="59">
          <cell r="A59">
            <v>1968</v>
          </cell>
          <cell r="L59">
            <v>9.9111561723333574E-2</v>
          </cell>
          <cell r="M59">
            <v>2.680040382860116E-2</v>
          </cell>
          <cell r="N59">
            <v>7.2311157894732414E-2</v>
          </cell>
        </row>
        <row r="60">
          <cell r="A60">
            <v>1969</v>
          </cell>
          <cell r="L60">
            <v>7.7364792758599421E-2</v>
          </cell>
          <cell r="M60">
            <v>2.4275700395091304E-2</v>
          </cell>
          <cell r="N60">
            <v>5.3089092363508117E-2</v>
          </cell>
        </row>
        <row r="61">
          <cell r="A61">
            <v>1970</v>
          </cell>
          <cell r="L61">
            <v>8.0778143450312978E-2</v>
          </cell>
          <cell r="M61">
            <v>2.8874801991952914E-2</v>
          </cell>
          <cell r="N61">
            <v>5.1903341458360064E-2</v>
          </cell>
        </row>
        <row r="62">
          <cell r="A62">
            <v>1971</v>
          </cell>
          <cell r="L62">
            <v>6.9682523780437933E-2</v>
          </cell>
          <cell r="M62">
            <v>3.6410093244055197E-2</v>
          </cell>
          <cell r="N62">
            <v>3.3272430536382736E-2</v>
          </cell>
        </row>
        <row r="63">
          <cell r="A63">
            <v>1972</v>
          </cell>
          <cell r="L63">
            <v>9.8313185889873145E-2</v>
          </cell>
          <cell r="M63">
            <v>3.3555714604681874E-2</v>
          </cell>
          <cell r="N63">
            <v>6.475747128519127E-2</v>
          </cell>
        </row>
        <row r="64">
          <cell r="A64">
            <v>1973</v>
          </cell>
          <cell r="L64">
            <v>5.9660948445576123E-2</v>
          </cell>
          <cell r="M64">
            <v>3.554534823747324E-2</v>
          </cell>
          <cell r="N64">
            <v>2.4115600208102883E-2</v>
          </cell>
        </row>
        <row r="65">
          <cell r="A65">
            <v>1974</v>
          </cell>
          <cell r="L65">
            <v>1.2853514706793412E-2</v>
          </cell>
          <cell r="M65">
            <v>3.3795556773778879E-2</v>
          </cell>
          <cell r="N65">
            <v>-2.0942042066985467E-2</v>
          </cell>
        </row>
        <row r="66">
          <cell r="A66">
            <v>1975</v>
          </cell>
          <cell r="L66">
            <v>3.3096323911173453E-2</v>
          </cell>
          <cell r="M66">
            <v>3.6720678351022329E-2</v>
          </cell>
          <cell r="N66">
            <v>-3.6243544398488758E-3</v>
          </cell>
        </row>
        <row r="67">
          <cell r="A67">
            <v>1976</v>
          </cell>
          <cell r="L67">
            <v>6.6560484213362026E-2</v>
          </cell>
          <cell r="M67">
            <v>4.9196638218703015E-2</v>
          </cell>
          <cell r="N67">
            <v>1.7363845994659011E-2</v>
          </cell>
        </row>
        <row r="68">
          <cell r="A68">
            <v>1977</v>
          </cell>
          <cell r="L68">
            <v>3.6502026916034325E-2</v>
          </cell>
          <cell r="M68">
            <v>5.22173741251033E-2</v>
          </cell>
          <cell r="N68">
            <v>-1.5715347209068975E-2</v>
          </cell>
        </row>
        <row r="69">
          <cell r="A69">
            <v>1978</v>
          </cell>
          <cell r="L69">
            <v>3.2402626959679104E-2</v>
          </cell>
          <cell r="M69">
            <v>4.8014012242808102E-2</v>
          </cell>
          <cell r="N69">
            <v>-1.5611385283128998E-2</v>
          </cell>
        </row>
        <row r="70">
          <cell r="A70">
            <v>1979</v>
          </cell>
          <cell r="L70">
            <v>5.91644286438473E-2</v>
          </cell>
          <cell r="M70">
            <v>5.4123437408523101E-2</v>
          </cell>
          <cell r="N70">
            <v>5.0409912353241992E-3</v>
          </cell>
        </row>
        <row r="71">
          <cell r="A71">
            <v>1980</v>
          </cell>
          <cell r="L71">
            <v>8.4960434724851597E-2</v>
          </cell>
          <cell r="M71">
            <v>3.4774656333643073E-2</v>
          </cell>
          <cell r="N71">
            <v>5.0185778391208524E-2</v>
          </cell>
        </row>
        <row r="72">
          <cell r="A72">
            <v>1981</v>
          </cell>
          <cell r="L72">
            <v>6.5485266981366808E-2</v>
          </cell>
          <cell r="M72">
            <v>3.3268390319620034E-2</v>
          </cell>
          <cell r="N72">
            <v>3.2216876661746774E-2</v>
          </cell>
        </row>
        <row r="73">
          <cell r="A73">
            <v>1982</v>
          </cell>
          <cell r="L73">
            <v>6.6968621055699895E-2</v>
          </cell>
          <cell r="M73">
            <v>6.0060382976543591E-2</v>
          </cell>
          <cell r="N73">
            <v>6.9082380791563036E-3</v>
          </cell>
        </row>
        <row r="74">
          <cell r="A74">
            <v>1983</v>
          </cell>
          <cell r="L74">
            <v>0.10563933571293371</v>
          </cell>
          <cell r="M74">
            <v>5.9590610282913348E-2</v>
          </cell>
          <cell r="N74">
            <v>4.6048725430020365E-2</v>
          </cell>
        </row>
        <row r="75">
          <cell r="A75">
            <v>1984</v>
          </cell>
          <cell r="L75">
            <v>0.14610162571821639</v>
          </cell>
          <cell r="M75">
            <v>7.1202858627653187E-2</v>
          </cell>
          <cell r="N75">
            <v>7.4898767090563201E-2</v>
          </cell>
        </row>
        <row r="76">
          <cell r="A76">
            <v>1985</v>
          </cell>
          <cell r="L76">
            <v>0.14118914097222901</v>
          </cell>
          <cell r="M76">
            <v>9.2122582560580257E-2</v>
          </cell>
          <cell r="N76">
            <v>4.9066558411648753E-2</v>
          </cell>
        </row>
        <row r="77">
          <cell r="A77">
            <v>1986</v>
          </cell>
          <cell r="L77">
            <v>0.13617319999082533</v>
          </cell>
          <cell r="M77">
            <v>9.9696813408097329E-2</v>
          </cell>
          <cell r="N77">
            <v>3.6476386582728004E-2</v>
          </cell>
        </row>
        <row r="78">
          <cell r="A78">
            <v>1987</v>
          </cell>
          <cell r="L78">
            <v>0.15090786460170147</v>
          </cell>
          <cell r="M78">
            <v>9.2714576744352684E-2</v>
          </cell>
          <cell r="N78">
            <v>5.8193287857348786E-2</v>
          </cell>
        </row>
        <row r="79">
          <cell r="A79">
            <v>1988</v>
          </cell>
          <cell r="L79">
            <v>0.16131026951273797</v>
          </cell>
          <cell r="M79">
            <v>0.10224452763112879</v>
          </cell>
          <cell r="N79">
            <v>5.9065741881609179E-2</v>
          </cell>
        </row>
        <row r="80">
          <cell r="A80">
            <v>1989</v>
          </cell>
          <cell r="L80">
            <v>0.1734204905093959</v>
          </cell>
          <cell r="M80">
            <v>0.11960011874929721</v>
          </cell>
          <cell r="N80">
            <v>5.3820371760098684E-2</v>
          </cell>
        </row>
        <row r="81">
          <cell r="A81">
            <v>1990</v>
          </cell>
          <cell r="L81">
            <v>0.13797252412808803</v>
          </cell>
          <cell r="M81">
            <v>0.12981695167774232</v>
          </cell>
          <cell r="N81">
            <v>8.155572450345705E-3</v>
          </cell>
        </row>
        <row r="82">
          <cell r="A82">
            <v>1991</v>
          </cell>
          <cell r="L82">
            <v>0.17407622764071773</v>
          </cell>
          <cell r="M82">
            <v>0.13672958334467644</v>
          </cell>
          <cell r="N82">
            <v>3.7346644296041287E-2</v>
          </cell>
        </row>
        <row r="83">
          <cell r="A83">
            <v>1992</v>
          </cell>
          <cell r="L83">
            <v>0.16082054423669723</v>
          </cell>
          <cell r="M83">
            <v>0.11485682698912725</v>
          </cell>
          <cell r="N83">
            <v>4.596371724756998E-2</v>
          </cell>
        </row>
        <row r="84">
          <cell r="A84">
            <v>1993</v>
          </cell>
          <cell r="L84">
            <v>0.14851191683904763</v>
          </cell>
          <cell r="M84">
            <v>0.12621632172345087</v>
          </cell>
          <cell r="N84">
            <v>2.2295595115596756E-2</v>
          </cell>
        </row>
        <row r="85">
          <cell r="A85">
            <v>1994</v>
          </cell>
          <cell r="L85">
            <v>0.14318663958953426</v>
          </cell>
          <cell r="M85">
            <v>0.102540379744962</v>
          </cell>
          <cell r="N85">
            <v>4.0646259844572263E-2</v>
          </cell>
        </row>
        <row r="86">
          <cell r="A86">
            <v>1995</v>
          </cell>
          <cell r="L86">
            <v>0.14827527760648773</v>
          </cell>
          <cell r="M86">
            <v>0.10056728336483789</v>
          </cell>
          <cell r="N86">
            <v>4.7707994241649843E-2</v>
          </cell>
        </row>
        <row r="87">
          <cell r="A87">
            <v>1996</v>
          </cell>
          <cell r="L87">
            <v>0.15226901882226662</v>
          </cell>
          <cell r="M87">
            <v>7.8427732222268176E-2</v>
          </cell>
          <cell r="N87">
            <v>7.3841286599998446E-2</v>
          </cell>
        </row>
        <row r="88">
          <cell r="A88">
            <v>1997</v>
          </cell>
          <cell r="L88">
            <v>0.17901435844102531</v>
          </cell>
          <cell r="M88">
            <v>9.4248265532194786E-2</v>
          </cell>
          <cell r="N88">
            <v>8.4766092908830526E-2</v>
          </cell>
        </row>
        <row r="89">
          <cell r="A89">
            <v>1998</v>
          </cell>
          <cell r="L89">
            <v>0.19044175039779843</v>
          </cell>
          <cell r="M89">
            <v>0.10083891545822832</v>
          </cell>
          <cell r="N89">
            <v>8.9602834939570108E-2</v>
          </cell>
        </row>
        <row r="90">
          <cell r="A90">
            <v>1999</v>
          </cell>
          <cell r="L90">
            <v>0.18048680950939855</v>
          </cell>
          <cell r="M90">
            <v>7.3759659760140872E-2</v>
          </cell>
          <cell r="N90">
            <v>0.10672714974925768</v>
          </cell>
        </row>
        <row r="91">
          <cell r="A91">
            <v>2000</v>
          </cell>
          <cell r="L91">
            <v>0.1730101840426046</v>
          </cell>
          <cell r="M91">
            <v>8.3853547586553168E-2</v>
          </cell>
          <cell r="N91">
            <v>8.915663645605143E-2</v>
          </cell>
        </row>
        <row r="92">
          <cell r="A92">
            <v>2001</v>
          </cell>
          <cell r="L92">
            <v>0.12810990875063477</v>
          </cell>
          <cell r="M92">
            <v>7.4617888419195699E-2</v>
          </cell>
          <cell r="N92">
            <v>5.3492020331439072E-2</v>
          </cell>
        </row>
        <row r="93">
          <cell r="A93">
            <v>2002</v>
          </cell>
          <cell r="L93">
            <v>9.2550352838118632E-2</v>
          </cell>
          <cell r="M93">
            <v>8.0143074459581687E-2</v>
          </cell>
          <cell r="N93">
            <v>1.2407278378536946E-2</v>
          </cell>
        </row>
        <row r="94">
          <cell r="A94">
            <v>2003</v>
          </cell>
          <cell r="L94">
            <v>0.10957523082208387</v>
          </cell>
          <cell r="M94">
            <v>6.6284759426173956E-2</v>
          </cell>
          <cell r="N94">
            <v>4.3290471395909913E-2</v>
          </cell>
        </row>
        <row r="95">
          <cell r="A95">
            <v>2004</v>
          </cell>
          <cell r="L95">
            <v>0.11947973951562019</v>
          </cell>
          <cell r="M95">
            <v>7.9989375771416293E-2</v>
          </cell>
          <cell r="N95">
            <v>3.9490363744203894E-2</v>
          </cell>
        </row>
        <row r="96">
          <cell r="A96">
            <v>2005</v>
          </cell>
          <cell r="L96">
            <v>8.9764760776321895E-2</v>
          </cell>
          <cell r="M96">
            <v>6.0443120925619986E-2</v>
          </cell>
          <cell r="N96">
            <v>2.9321639850701908E-2</v>
          </cell>
        </row>
        <row r="97">
          <cell r="A97">
            <v>2006</v>
          </cell>
          <cell r="L97">
            <v>8.3316960456282008E-2</v>
          </cell>
          <cell r="M97">
            <v>6.0998431564533551E-2</v>
          </cell>
          <cell r="N97">
            <v>2.2318528891748457E-2</v>
          </cell>
        </row>
        <row r="98">
          <cell r="A98">
            <v>2007</v>
          </cell>
          <cell r="L98">
            <v>5.8413831755303569E-2</v>
          </cell>
          <cell r="M98">
            <v>6.1259477440961607E-2</v>
          </cell>
          <cell r="N98">
            <v>-2.8456456856580381E-3</v>
          </cell>
        </row>
        <row r="99">
          <cell r="A99">
            <v>2008</v>
          </cell>
          <cell r="L99">
            <v>-1.3580715803110044E-2</v>
          </cell>
          <cell r="M99">
            <v>6.5948548098608395E-2</v>
          </cell>
          <cell r="N99">
            <v>-7.9529263901718439E-2</v>
          </cell>
        </row>
        <row r="100">
          <cell r="A100">
            <v>2009</v>
          </cell>
          <cell r="L100">
            <v>-9.5355058192430064E-3</v>
          </cell>
          <cell r="M100">
            <v>6.2575136538935983E-2</v>
          </cell>
          <cell r="N100">
            <v>-7.2110642358178989E-2</v>
          </cell>
        </row>
        <row r="101">
          <cell r="A101">
            <v>2010</v>
          </cell>
          <cell r="L101">
            <v>1.3799629164080285E-2</v>
          </cell>
          <cell r="M101">
            <v>5.486613237092719E-2</v>
          </cell>
          <cell r="N101">
            <v>-4.1066503206846905E-2</v>
          </cell>
        </row>
        <row r="102">
          <cell r="A102">
            <v>2011</v>
          </cell>
          <cell r="L102">
            <v>2.8801670065618401E-2</v>
          </cell>
          <cell r="M102">
            <v>6.4881851790757672E-2</v>
          </cell>
          <cell r="N102">
            <v>-3.6080181725139271E-2</v>
          </cell>
        </row>
        <row r="103">
          <cell r="A103">
            <v>2012</v>
          </cell>
          <cell r="L103">
            <v>7.0306384229671837E-2</v>
          </cell>
          <cell r="M103">
            <v>5.3075332415108534E-2</v>
          </cell>
          <cell r="N103">
            <v>1.7231051814563303E-2</v>
          </cell>
        </row>
        <row r="104">
          <cell r="A104">
            <v>2013</v>
          </cell>
          <cell r="L104">
            <v>7.3424906380343158E-2</v>
          </cell>
          <cell r="M104">
            <v>4.2679779872064394E-2</v>
          </cell>
          <cell r="N104">
            <v>3.0745126508278764E-2</v>
          </cell>
        </row>
        <row r="105">
          <cell r="A105">
            <v>2014</v>
          </cell>
          <cell r="L105">
            <v>7.6091143676783268E-2</v>
          </cell>
          <cell r="M105">
            <v>4.8759892009620165E-2</v>
          </cell>
          <cell r="N105">
            <v>2.7331251667163103E-2</v>
          </cell>
        </row>
        <row r="106">
          <cell r="A106">
            <v>2015</v>
          </cell>
          <cell r="L106">
            <v>7.2470319981030373E-2</v>
          </cell>
          <cell r="M106">
            <v>4.7134456900344901E-2</v>
          </cell>
          <cell r="N106">
            <v>2.5335863080685472E-2</v>
          </cell>
        </row>
      </sheetData>
      <sheetData sheetId="1">
        <row r="3">
          <cell r="B3">
            <v>17.66</v>
          </cell>
        </row>
        <row r="4">
          <cell r="B4">
            <v>24.35</v>
          </cell>
          <cell r="C4">
            <v>1.04705</v>
          </cell>
          <cell r="F4">
            <v>8.354708589799302E-3</v>
          </cell>
        </row>
        <row r="5">
          <cell r="B5">
            <v>21.45</v>
          </cell>
          <cell r="C5">
            <v>0.87944999999999995</v>
          </cell>
          <cell r="F5">
            <v>4.2038041563204259E-2</v>
          </cell>
        </row>
        <row r="6">
          <cell r="B6">
            <v>15.34</v>
          </cell>
          <cell r="C6">
            <v>0.72097999999999995</v>
          </cell>
          <cell r="F6">
            <v>4.5409314348970366E-2</v>
          </cell>
        </row>
        <row r="7">
          <cell r="B7">
            <v>8.1199999999999992</v>
          </cell>
          <cell r="C7">
            <v>0.49531999999999993</v>
          </cell>
          <cell r="F7">
            <v>-2.5588559619422531E-2</v>
          </cell>
        </row>
        <row r="8">
          <cell r="B8">
            <v>6.92</v>
          </cell>
          <cell r="C8">
            <v>0.49823999999999996</v>
          </cell>
          <cell r="F8">
            <v>8.7903069904773257E-2</v>
          </cell>
        </row>
        <row r="9">
          <cell r="B9">
            <v>9.9700000000000006</v>
          </cell>
          <cell r="C9">
            <v>0.40877000000000002</v>
          </cell>
          <cell r="F9">
            <v>1.8552720891857361E-2</v>
          </cell>
        </row>
        <row r="10">
          <cell r="B10">
            <v>9.5</v>
          </cell>
          <cell r="C10">
            <v>0.35149999999999998</v>
          </cell>
          <cell r="F10">
            <v>7.9634426179656104E-2</v>
          </cell>
        </row>
        <row r="11">
          <cell r="B11">
            <v>13.43</v>
          </cell>
          <cell r="C11">
            <v>0.51034000000000002</v>
          </cell>
          <cell r="F11">
            <v>4.4720477296566127E-2</v>
          </cell>
        </row>
        <row r="12">
          <cell r="B12">
            <v>17.18</v>
          </cell>
          <cell r="C12">
            <v>0.54</v>
          </cell>
          <cell r="F12">
            <v>5.0178754045450601E-2</v>
          </cell>
        </row>
        <row r="13">
          <cell r="B13">
            <v>10.55</v>
          </cell>
          <cell r="C13">
            <v>0.55915000000000004</v>
          </cell>
          <cell r="F13">
            <v>1.379146059646038E-2</v>
          </cell>
        </row>
        <row r="14">
          <cell r="B14">
            <v>13.14</v>
          </cell>
          <cell r="C14">
            <v>0.49931999999999999</v>
          </cell>
          <cell r="F14">
            <v>4.2132485322046068E-2</v>
          </cell>
        </row>
        <row r="15">
          <cell r="B15">
            <v>12.46</v>
          </cell>
          <cell r="C15">
            <v>0.53578000000000003</v>
          </cell>
          <cell r="F15">
            <v>4.4122613942060671E-2</v>
          </cell>
        </row>
        <row r="16">
          <cell r="B16">
            <v>10.58</v>
          </cell>
          <cell r="C16">
            <v>0.55015999999999998</v>
          </cell>
          <cell r="F16">
            <v>5.4024815962845509E-2</v>
          </cell>
        </row>
        <row r="17">
          <cell r="B17">
            <v>8.69</v>
          </cell>
          <cell r="C17">
            <v>0.53877999999999993</v>
          </cell>
          <cell r="F17">
            <v>-2.0221975848580105E-2</v>
          </cell>
        </row>
        <row r="18">
          <cell r="B18">
            <v>9.77</v>
          </cell>
          <cell r="C18">
            <v>0.58619999999999994</v>
          </cell>
          <cell r="F18">
            <v>2.2948682374484164E-2</v>
          </cell>
        </row>
        <row r="19">
          <cell r="B19">
            <v>11.67</v>
          </cell>
          <cell r="C19">
            <v>0.54849000000000003</v>
          </cell>
          <cell r="F19">
            <v>2.4899999999999999E-2</v>
          </cell>
        </row>
        <row r="20">
          <cell r="B20">
            <v>13.28</v>
          </cell>
          <cell r="C20">
            <v>0.61087999999999998</v>
          </cell>
          <cell r="F20">
            <v>2.5776111579070303E-2</v>
          </cell>
        </row>
        <row r="21">
          <cell r="B21">
            <v>17.36</v>
          </cell>
          <cell r="C21">
            <v>0.67703999999999998</v>
          </cell>
          <cell r="F21">
            <v>3.8044173419237229E-2</v>
          </cell>
        </row>
        <row r="22">
          <cell r="B22">
            <v>15.3</v>
          </cell>
          <cell r="C22">
            <v>0.59670000000000001</v>
          </cell>
          <cell r="F22">
            <v>3.1283745375695685E-2</v>
          </cell>
        </row>
        <row r="23">
          <cell r="B23">
            <v>15.3</v>
          </cell>
          <cell r="C23">
            <v>0.79559999999999997</v>
          </cell>
          <cell r="F23">
            <v>9.1969680628322358E-3</v>
          </cell>
        </row>
        <row r="24">
          <cell r="B24">
            <v>15.2</v>
          </cell>
          <cell r="C24">
            <v>0.9728</v>
          </cell>
          <cell r="F24">
            <v>1.9510369413175046E-2</v>
          </cell>
        </row>
        <row r="25">
          <cell r="B25">
            <v>16.79</v>
          </cell>
          <cell r="C25">
            <v>1.1920899999999999</v>
          </cell>
          <cell r="F25">
            <v>4.6634851827973139E-2</v>
          </cell>
        </row>
        <row r="26">
          <cell r="B26">
            <v>20.43</v>
          </cell>
          <cell r="C26">
            <v>1.5322499999999999</v>
          </cell>
          <cell r="F26">
            <v>4.2959574171096103E-3</v>
          </cell>
        </row>
        <row r="27">
          <cell r="B27">
            <v>23.77</v>
          </cell>
          <cell r="C27">
            <v>1.4975099999999999</v>
          </cell>
          <cell r="F27">
            <v>-2.9531392208319886E-3</v>
          </cell>
        </row>
        <row r="28">
          <cell r="B28">
            <v>26.57</v>
          </cell>
          <cell r="C28">
            <v>1.5144900000000001</v>
          </cell>
          <cell r="F28">
            <v>2.2679961918305656E-2</v>
          </cell>
        </row>
        <row r="29">
          <cell r="B29">
            <v>24.81</v>
          </cell>
          <cell r="C29">
            <v>1.4389799999999999</v>
          </cell>
          <cell r="F29">
            <v>4.1438402589088513E-2</v>
          </cell>
        </row>
        <row r="30">
          <cell r="B30">
            <v>35.979999999999997</v>
          </cell>
          <cell r="C30">
            <v>1.8709599999999997</v>
          </cell>
          <cell r="F30">
            <v>3.2898034558095555E-2</v>
          </cell>
        </row>
        <row r="31">
          <cell r="B31">
            <v>45.48</v>
          </cell>
          <cell r="C31">
            <v>2.2285200000000001</v>
          </cell>
          <cell r="F31">
            <v>-1.3364391288618781E-2</v>
          </cell>
        </row>
        <row r="32">
          <cell r="B32">
            <v>46.67</v>
          </cell>
          <cell r="C32">
            <v>2.1934900000000002</v>
          </cell>
          <cell r="F32">
            <v>-2.2557738173154165E-2</v>
          </cell>
        </row>
        <row r="33">
          <cell r="B33">
            <v>39.99</v>
          </cell>
          <cell r="C33">
            <v>1.79955</v>
          </cell>
          <cell r="F33">
            <v>6.7970128466249904E-2</v>
          </cell>
        </row>
        <row r="34">
          <cell r="B34">
            <v>55.21</v>
          </cell>
          <cell r="C34">
            <v>2.2636100000000003</v>
          </cell>
          <cell r="F34">
            <v>-2.0990181755274694E-2</v>
          </cell>
        </row>
        <row r="35">
          <cell r="B35">
            <v>59.89</v>
          </cell>
          <cell r="C35">
            <v>1.9763700000000002</v>
          </cell>
          <cell r="F35">
            <v>-2.6466312591385065E-2</v>
          </cell>
        </row>
        <row r="36">
          <cell r="B36">
            <v>58.11</v>
          </cell>
          <cell r="C36">
            <v>1.9815510000000001</v>
          </cell>
          <cell r="F36">
            <v>0.11639503690963365</v>
          </cell>
        </row>
        <row r="37">
          <cell r="B37">
            <v>71.55</v>
          </cell>
          <cell r="C37">
            <v>2.0391750000000002</v>
          </cell>
          <cell r="F37">
            <v>2.0609208076323167E-2</v>
          </cell>
        </row>
        <row r="38">
          <cell r="B38">
            <v>63.1</v>
          </cell>
          <cell r="C38">
            <v>2.1454</v>
          </cell>
          <cell r="F38">
            <v>5.693544054008462E-2</v>
          </cell>
        </row>
        <row r="39">
          <cell r="B39">
            <v>75.02</v>
          </cell>
          <cell r="C39">
            <v>2.3481260000000002</v>
          </cell>
          <cell r="F39">
            <v>1.6841620739546127E-2</v>
          </cell>
        </row>
        <row r="40">
          <cell r="B40">
            <v>84.75</v>
          </cell>
          <cell r="C40">
            <v>2.5848749999999998</v>
          </cell>
          <cell r="F40">
            <v>3.7280648911540815E-2</v>
          </cell>
        </row>
        <row r="41">
          <cell r="B41">
            <v>92.43</v>
          </cell>
          <cell r="C41">
            <v>2.8283580000000001</v>
          </cell>
          <cell r="F41">
            <v>7.1885509359262342E-3</v>
          </cell>
        </row>
        <row r="42">
          <cell r="B42">
            <v>80.33</v>
          </cell>
          <cell r="C42">
            <v>2.8838469999999998</v>
          </cell>
          <cell r="F42">
            <v>2.9079409324299622E-2</v>
          </cell>
        </row>
        <row r="43">
          <cell r="B43">
            <v>96.47</v>
          </cell>
          <cell r="C43">
            <v>2.9809230000000002</v>
          </cell>
          <cell r="F43">
            <v>-1.5806209932824666E-2</v>
          </cell>
        </row>
        <row r="44">
          <cell r="B44">
            <v>103.86</v>
          </cell>
          <cell r="C44">
            <v>3.0430980000000001</v>
          </cell>
          <cell r="F44">
            <v>3.2746196950768365E-2</v>
          </cell>
        </row>
        <row r="45">
          <cell r="B45">
            <v>92.06</v>
          </cell>
          <cell r="C45">
            <v>3.2405119999999998</v>
          </cell>
          <cell r="F45">
            <v>-5.0140493209926106E-2</v>
          </cell>
        </row>
        <row r="46">
          <cell r="B46">
            <v>92.15</v>
          </cell>
          <cell r="C46">
            <v>3.1883900000000001</v>
          </cell>
          <cell r="F46">
            <v>0.16754737183412338</v>
          </cell>
        </row>
        <row r="47">
          <cell r="B47">
            <v>102.09</v>
          </cell>
          <cell r="C47">
            <v>3.16479</v>
          </cell>
          <cell r="F47">
            <v>9.7868966197122972E-2</v>
          </cell>
        </row>
        <row r="48">
          <cell r="B48">
            <v>118.05</v>
          </cell>
          <cell r="C48">
            <v>3.1873499999999999</v>
          </cell>
          <cell r="F48">
            <v>2.818449050444969E-2</v>
          </cell>
        </row>
        <row r="49">
          <cell r="B49">
            <v>97.55</v>
          </cell>
          <cell r="C49">
            <v>3.6093500000000001</v>
          </cell>
          <cell r="F49">
            <v>3.6586646024150085E-2</v>
          </cell>
        </row>
        <row r="50">
          <cell r="B50">
            <v>68.56</v>
          </cell>
          <cell r="C50">
            <v>3.7228080000000001</v>
          </cell>
          <cell r="F50">
            <v>1.9886086932378574E-2</v>
          </cell>
        </row>
        <row r="51">
          <cell r="B51">
            <v>90.19</v>
          </cell>
          <cell r="C51">
            <v>3.7338659999999999</v>
          </cell>
          <cell r="F51">
            <v>3.6052536026033838E-2</v>
          </cell>
        </row>
        <row r="52">
          <cell r="B52">
            <v>107.46</v>
          </cell>
          <cell r="C52">
            <v>4.2231779999999999</v>
          </cell>
          <cell r="F52">
            <v>0.1598456074290921</v>
          </cell>
        </row>
        <row r="53">
          <cell r="B53">
            <v>95.1</v>
          </cell>
          <cell r="C53">
            <v>4.85961</v>
          </cell>
          <cell r="F53">
            <v>1.2899606071070449E-2</v>
          </cell>
        </row>
        <row r="54">
          <cell r="B54">
            <v>96.11</v>
          </cell>
          <cell r="C54">
            <v>5.1803290000000004</v>
          </cell>
          <cell r="F54">
            <v>-7.7758069075086478E-3</v>
          </cell>
        </row>
        <row r="55">
          <cell r="B55">
            <v>107.94</v>
          </cell>
          <cell r="C55">
            <v>5.9690820000000002</v>
          </cell>
          <cell r="F55">
            <v>6.7072031247235459E-3</v>
          </cell>
        </row>
        <row r="56">
          <cell r="B56">
            <v>135.76</v>
          </cell>
          <cell r="C56">
            <v>6.4350240000000003</v>
          </cell>
          <cell r="F56">
            <v>-2.989744251999403E-2</v>
          </cell>
        </row>
        <row r="57">
          <cell r="B57">
            <v>122.55</v>
          </cell>
          <cell r="C57">
            <v>6.8260350000000001</v>
          </cell>
          <cell r="F57">
            <v>8.1992153358923542E-2</v>
          </cell>
        </row>
        <row r="58">
          <cell r="B58">
            <v>140.63999999999999</v>
          </cell>
          <cell r="C58">
            <v>6.9335519999999997</v>
          </cell>
          <cell r="F58">
            <v>0.32814549486295586</v>
          </cell>
        </row>
        <row r="59">
          <cell r="B59">
            <v>164.93</v>
          </cell>
          <cell r="C59">
            <v>7.1249760000000002</v>
          </cell>
          <cell r="F59">
            <v>3.2002094451429264E-2</v>
          </cell>
        </row>
        <row r="60">
          <cell r="B60">
            <v>167.24</v>
          </cell>
          <cell r="C60">
            <v>7.8268319999999996</v>
          </cell>
          <cell r="F60">
            <v>0.13733364344102345</v>
          </cell>
        </row>
        <row r="61">
          <cell r="B61">
            <v>211.28</v>
          </cell>
          <cell r="C61">
            <v>8.1976639999999996</v>
          </cell>
          <cell r="F61">
            <v>0.2571248821260641</v>
          </cell>
        </row>
        <row r="62">
          <cell r="B62">
            <v>242.17</v>
          </cell>
          <cell r="C62">
            <v>8.1853459999999991</v>
          </cell>
          <cell r="F62">
            <v>0.24284215141767618</v>
          </cell>
        </row>
        <row r="63">
          <cell r="B63">
            <v>247.08</v>
          </cell>
          <cell r="C63">
            <v>9.1666679999999996</v>
          </cell>
          <cell r="F63">
            <v>-4.9605089379262279E-2</v>
          </cell>
        </row>
        <row r="64">
          <cell r="B64">
            <v>277.72000000000003</v>
          </cell>
          <cell r="C64">
            <v>10.220096</v>
          </cell>
          <cell r="F64">
            <v>8.2235958434841674E-2</v>
          </cell>
        </row>
        <row r="65">
          <cell r="B65">
            <v>353.4</v>
          </cell>
          <cell r="C65">
            <v>11.73288</v>
          </cell>
          <cell r="F65">
            <v>0.17693647159446219</v>
          </cell>
        </row>
        <row r="66">
          <cell r="B66">
            <v>330.22</v>
          </cell>
          <cell r="C66">
            <v>12.350228</v>
          </cell>
          <cell r="F66">
            <v>6.2353753335533363E-2</v>
          </cell>
        </row>
        <row r="67">
          <cell r="B67">
            <v>417.09</v>
          </cell>
          <cell r="C67">
            <v>12.971499</v>
          </cell>
          <cell r="F67">
            <v>0.15004510019517303</v>
          </cell>
        </row>
        <row r="68">
          <cell r="B68">
            <v>435.71</v>
          </cell>
          <cell r="C68">
            <v>12.635590000000001</v>
          </cell>
          <cell r="F68">
            <v>9.3616373162079422E-2</v>
          </cell>
        </row>
        <row r="69">
          <cell r="B69">
            <v>466.45</v>
          </cell>
          <cell r="C69">
            <v>12.68744</v>
          </cell>
          <cell r="F69">
            <v>0.14210957589263107</v>
          </cell>
        </row>
        <row r="70">
          <cell r="B70">
            <v>459.27</v>
          </cell>
          <cell r="C70">
            <v>13.364757000000001</v>
          </cell>
          <cell r="F70">
            <v>-8.0366555509985921E-2</v>
          </cell>
        </row>
        <row r="71">
          <cell r="B71">
            <v>615.92999999999995</v>
          </cell>
          <cell r="C71">
            <v>14.16639</v>
          </cell>
          <cell r="F71">
            <v>0.23480780112538907</v>
          </cell>
        </row>
        <row r="72">
          <cell r="B72">
            <v>740.74</v>
          </cell>
          <cell r="C72">
            <v>14.888873999999999</v>
          </cell>
          <cell r="F72">
            <v>1.428607793401844E-2</v>
          </cell>
        </row>
        <row r="73">
          <cell r="B73">
            <v>970.43</v>
          </cell>
          <cell r="C73">
            <v>15.522</v>
          </cell>
          <cell r="F73">
            <v>9.939130272977531E-2</v>
          </cell>
        </row>
        <row r="74">
          <cell r="B74">
            <v>1229.23</v>
          </cell>
          <cell r="C74">
            <v>16.2</v>
          </cell>
          <cell r="F74">
            <v>0.14921431922606215</v>
          </cell>
        </row>
        <row r="75">
          <cell r="B75">
            <v>1469.25</v>
          </cell>
          <cell r="C75">
            <v>16.709</v>
          </cell>
          <cell r="F75">
            <v>-8.2542147962685761E-2</v>
          </cell>
        </row>
        <row r="76">
          <cell r="B76">
            <v>1320.28</v>
          </cell>
          <cell r="C76">
            <v>16.27</v>
          </cell>
          <cell r="F76">
            <v>0.16655267125397488</v>
          </cell>
        </row>
        <row r="77">
          <cell r="B77">
            <v>1148.0899999999999</v>
          </cell>
          <cell r="C77">
            <v>15.74</v>
          </cell>
          <cell r="F77">
            <v>5.5721811892492555E-2</v>
          </cell>
        </row>
        <row r="78">
          <cell r="B78">
            <v>879.82</v>
          </cell>
          <cell r="C78">
            <v>16.079999999999998</v>
          </cell>
          <cell r="F78">
            <v>0.15116400378109285</v>
          </cell>
        </row>
        <row r="79">
          <cell r="B79">
            <v>1111.9100000000001</v>
          </cell>
          <cell r="C79">
            <v>17.39</v>
          </cell>
          <cell r="F79">
            <v>3.7531858817758529E-3</v>
          </cell>
        </row>
        <row r="80">
          <cell r="B80">
            <v>1211.92</v>
          </cell>
          <cell r="C80">
            <v>19.440000000000001</v>
          </cell>
          <cell r="F80">
            <v>4.490683702274547E-2</v>
          </cell>
        </row>
        <row r="81">
          <cell r="B81">
            <v>1248.29</v>
          </cell>
          <cell r="C81">
            <v>22.22</v>
          </cell>
          <cell r="F81">
            <v>2.8675329597779506E-2</v>
          </cell>
        </row>
        <row r="82">
          <cell r="B82">
            <v>1418.3</v>
          </cell>
          <cell r="C82">
            <v>24.88</v>
          </cell>
          <cell r="F82">
            <v>1.9610012417568386E-2</v>
          </cell>
        </row>
        <row r="83">
          <cell r="B83">
            <v>1468.36</v>
          </cell>
          <cell r="C83">
            <v>27.73</v>
          </cell>
          <cell r="F83">
            <v>0.10209921930012807</v>
          </cell>
        </row>
        <row r="84">
          <cell r="B84">
            <v>903.25</v>
          </cell>
          <cell r="C84">
            <v>28.39</v>
          </cell>
          <cell r="F84">
            <v>0.20101279926977011</v>
          </cell>
        </row>
        <row r="85">
          <cell r="B85">
            <v>1115.0999999999999</v>
          </cell>
          <cell r="C85">
            <v>22.41</v>
          </cell>
          <cell r="F85">
            <v>-0.11116695313259162</v>
          </cell>
        </row>
        <row r="86">
          <cell r="B86">
            <v>1257.6400000000001</v>
          </cell>
          <cell r="C86">
            <v>22.73</v>
          </cell>
          <cell r="F86">
            <v>8.4629338803557719E-2</v>
          </cell>
        </row>
        <row r="87">
          <cell r="B87">
            <v>1257.5999999999999</v>
          </cell>
          <cell r="C87">
            <v>26.43</v>
          </cell>
          <cell r="F87">
            <v>0.16035334999461354</v>
          </cell>
        </row>
        <row r="88">
          <cell r="B88">
            <v>1426.19</v>
          </cell>
          <cell r="C88">
            <v>31.25</v>
          </cell>
          <cell r="F88">
            <v>2.971571978018946E-2</v>
          </cell>
        </row>
        <row r="89">
          <cell r="B89">
            <v>1848.36</v>
          </cell>
          <cell r="C89">
            <v>36.28</v>
          </cell>
          <cell r="F89">
            <v>-9.104568794347262E-2</v>
          </cell>
        </row>
        <row r="90">
          <cell r="B90">
            <v>2058.9</v>
          </cell>
          <cell r="C90">
            <v>39.44</v>
          </cell>
          <cell r="F90">
            <v>0.10746180452004755</v>
          </cell>
        </row>
        <row r="91">
          <cell r="B91">
            <v>2043.9</v>
          </cell>
          <cell r="C91">
            <v>43</v>
          </cell>
          <cell r="F91">
            <v>1.2842996709792224E-2</v>
          </cell>
        </row>
      </sheetData>
      <sheetData sheetId="2">
        <row r="13">
          <cell r="G13">
            <v>3.225E-3</v>
          </cell>
        </row>
        <row r="14">
          <cell r="G14">
            <v>1.7499999999999998E-3</v>
          </cell>
        </row>
        <row r="15">
          <cell r="G15">
            <v>1.7000000000000001E-3</v>
          </cell>
        </row>
        <row r="16">
          <cell r="G16">
            <v>3.0250000000000003E-3</v>
          </cell>
        </row>
        <row r="17">
          <cell r="G17">
            <v>7.7499999999999997E-4</v>
          </cell>
        </row>
        <row r="18">
          <cell r="G18">
            <v>3.7500000000000006E-4</v>
          </cell>
        </row>
        <row r="19">
          <cell r="G19">
            <v>2.5000000000000001E-4</v>
          </cell>
        </row>
        <row r="20">
          <cell r="G20">
            <v>8.2499999999999989E-4</v>
          </cell>
        </row>
        <row r="21">
          <cell r="G21">
            <v>3.3750000000000004E-3</v>
          </cell>
        </row>
        <row r="22">
          <cell r="G22">
            <v>3.8E-3</v>
          </cell>
        </row>
        <row r="23">
          <cell r="G23">
            <v>3.8E-3</v>
          </cell>
        </row>
        <row r="24">
          <cell r="G24">
            <v>3.8E-3</v>
          </cell>
        </row>
        <row r="25">
          <cell r="G25">
            <v>3.8E-3</v>
          </cell>
        </row>
        <row r="26">
          <cell r="G26">
            <v>5.6750000000000004E-3</v>
          </cell>
        </row>
        <row r="27">
          <cell r="G27">
            <v>1.0225E-2</v>
          </cell>
        </row>
        <row r="28">
          <cell r="G28">
            <v>1.1025E-2</v>
          </cell>
        </row>
        <row r="29">
          <cell r="G29">
            <v>1.1724999999999999E-2</v>
          </cell>
        </row>
        <row r="30">
          <cell r="G30">
            <v>1.4775E-2</v>
          </cell>
        </row>
        <row r="31">
          <cell r="G31">
            <v>1.6725E-2</v>
          </cell>
        </row>
        <row r="32">
          <cell r="G32">
            <v>1.8925000000000001E-2</v>
          </cell>
        </row>
        <row r="33">
          <cell r="G33">
            <v>9.6249999999999999E-3</v>
          </cell>
        </row>
        <row r="34">
          <cell r="G34">
            <v>1.66E-2</v>
          </cell>
        </row>
        <row r="35">
          <cell r="G35">
            <v>2.5550000000000003E-2</v>
          </cell>
        </row>
        <row r="36">
          <cell r="G36">
            <v>3.2300000000000002E-2</v>
          </cell>
        </row>
        <row r="37">
          <cell r="G37">
            <v>1.7774999999999999E-2</v>
          </cell>
        </row>
        <row r="38">
          <cell r="G38">
            <v>3.2549999999999996E-2</v>
          </cell>
        </row>
        <row r="39">
          <cell r="G39">
            <v>3.0449999999999998E-2</v>
          </cell>
        </row>
        <row r="40">
          <cell r="G40">
            <v>2.2675000000000001E-2</v>
          </cell>
        </row>
        <row r="41">
          <cell r="G41">
            <v>2.7775000000000005E-2</v>
          </cell>
        </row>
        <row r="42">
          <cell r="G42">
            <v>3.1100000000000003E-2</v>
          </cell>
        </row>
        <row r="43">
          <cell r="G43">
            <v>3.5049999999999998E-2</v>
          </cell>
        </row>
        <row r="44">
          <cell r="G44">
            <v>3.9024999999999997E-2</v>
          </cell>
        </row>
        <row r="45">
          <cell r="G45">
            <v>4.8399999999999999E-2</v>
          </cell>
        </row>
        <row r="46">
          <cell r="G46">
            <v>4.3324999999999995E-2</v>
          </cell>
        </row>
        <row r="47">
          <cell r="G47">
            <v>5.2600000000000001E-2</v>
          </cell>
        </row>
        <row r="48">
          <cell r="G48">
            <v>6.5625000000000003E-2</v>
          </cell>
        </row>
        <row r="49">
          <cell r="G49">
            <v>6.6849999999999993E-2</v>
          </cell>
        </row>
        <row r="50">
          <cell r="G50">
            <v>4.5400000000000003E-2</v>
          </cell>
        </row>
        <row r="51">
          <cell r="G51">
            <v>3.9525000000000005E-2</v>
          </cell>
        </row>
        <row r="52">
          <cell r="G52">
            <v>6.724999999999999E-2</v>
          </cell>
        </row>
        <row r="53">
          <cell r="G53">
            <v>7.7775000000000011E-2</v>
          </cell>
        </row>
        <row r="54">
          <cell r="G54">
            <v>5.9900000000000002E-2</v>
          </cell>
        </row>
        <row r="55">
          <cell r="G55">
            <v>4.9700000000000008E-2</v>
          </cell>
        </row>
        <row r="56">
          <cell r="G56">
            <v>5.1275000000000001E-2</v>
          </cell>
        </row>
        <row r="57">
          <cell r="G57">
            <v>6.9325000000000012E-2</v>
          </cell>
        </row>
        <row r="58">
          <cell r="G58">
            <v>9.9375000000000005E-2</v>
          </cell>
        </row>
        <row r="59">
          <cell r="G59">
            <v>0.11219999999999999</v>
          </cell>
        </row>
        <row r="60">
          <cell r="G60">
            <v>0.14299999999999999</v>
          </cell>
        </row>
        <row r="61">
          <cell r="G61">
            <v>0.1101</v>
          </cell>
        </row>
        <row r="62">
          <cell r="G62">
            <v>8.4474999999999995E-2</v>
          </cell>
        </row>
        <row r="63">
          <cell r="G63">
            <v>9.6125000000000002E-2</v>
          </cell>
        </row>
        <row r="64">
          <cell r="G64">
            <v>7.4874999999999997E-2</v>
          </cell>
        </row>
        <row r="65">
          <cell r="G65">
            <v>6.0350000000000001E-2</v>
          </cell>
        </row>
        <row r="66">
          <cell r="G66">
            <v>5.7224999999999998E-2</v>
          </cell>
        </row>
        <row r="67">
          <cell r="G67">
            <v>6.4499999999999988E-2</v>
          </cell>
        </row>
        <row r="68">
          <cell r="G68">
            <v>8.1099999999999992E-2</v>
          </cell>
        </row>
        <row r="69">
          <cell r="G69">
            <v>7.5500000000000012E-2</v>
          </cell>
        </row>
        <row r="70">
          <cell r="G70">
            <v>5.6100000000000011E-2</v>
          </cell>
        </row>
        <row r="71">
          <cell r="G71">
            <v>3.4049999999999997E-2</v>
          </cell>
        </row>
        <row r="72">
          <cell r="G72">
            <v>2.9825000000000001E-2</v>
          </cell>
        </row>
        <row r="73">
          <cell r="G73">
            <v>3.9850000000000003E-2</v>
          </cell>
        </row>
        <row r="74">
          <cell r="G74">
            <v>5.5150000000000005E-2</v>
          </cell>
        </row>
        <row r="75">
          <cell r="G75">
            <v>5.0224999999999999E-2</v>
          </cell>
        </row>
        <row r="76">
          <cell r="G76">
            <v>5.0525E-2</v>
          </cell>
        </row>
        <row r="77">
          <cell r="G77">
            <v>4.7274999999999998E-2</v>
          </cell>
        </row>
        <row r="78">
          <cell r="G78">
            <v>4.5100000000000001E-2</v>
          </cell>
        </row>
        <row r="79">
          <cell r="G79">
            <v>5.7625000000000003E-2</v>
          </cell>
        </row>
        <row r="80">
          <cell r="G80">
            <v>3.6725000000000001E-2</v>
          </cell>
        </row>
        <row r="81">
          <cell r="G81">
            <v>1.6574999999999999E-2</v>
          </cell>
        </row>
        <row r="82">
          <cell r="G82">
            <v>1.03E-2</v>
          </cell>
        </row>
        <row r="83">
          <cell r="G83">
            <v>1.2275000000000001E-2</v>
          </cell>
        </row>
        <row r="84">
          <cell r="G84">
            <v>3.0099999999999998E-2</v>
          </cell>
        </row>
        <row r="85">
          <cell r="G85">
            <v>4.6775000000000004E-2</v>
          </cell>
        </row>
        <row r="86">
          <cell r="G86">
            <v>4.6425000000000001E-2</v>
          </cell>
        </row>
        <row r="87">
          <cell r="G87">
            <v>1.585E-2</v>
          </cell>
        </row>
        <row r="88">
          <cell r="G88">
            <v>1.3500000000000001E-3</v>
          </cell>
        </row>
      </sheetData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id="2" name="Table1" displayName="Table1" ref="A18:J106" totalsRowShown="0" headerRowDxfId="12" headerRowBorderDxfId="10" tableBorderDxfId="11">
  <autoFilter ref="A18:J106"/>
  <tableColumns count="10">
    <tableColumn id="1" name="Year" dataDxfId="9"/>
    <tableColumn id="2" name="S&amp;P 500" dataDxfId="8">
      <calculatedColumnFormula>('[1]S&amp;P 500 &amp; Raw Data'!B4-'[1]S&amp;P 500 &amp; Raw Data'!B3+'[1]S&amp;P 500 &amp; Raw Data'!C4)/'[1]S&amp;P 500 &amp; Raw Data'!B3</calculatedColumnFormula>
    </tableColumn>
    <tableColumn id="3" name="3-month T.Bill" dataDxfId="7"/>
    <tableColumn id="4" name="10-year T. Bond" dataDxfId="6">
      <calculatedColumnFormula>'[1]S&amp;P 500 &amp; Raw Data'!F4</calculatedColumnFormula>
    </tableColumn>
    <tableColumn id="5" name="Stocks" dataDxfId="5">
      <calculatedColumnFormula>E18*(1+B19)</calculatedColumnFormula>
    </tableColumn>
    <tableColumn id="6" name="T.Bills" dataDxfId="4">
      <calculatedColumnFormula>F18*(1+C19)</calculatedColumnFormula>
    </tableColumn>
    <tableColumn id="7" name="T.Bonds" dataDxfId="3">
      <calculatedColumnFormula>G18*(1+D19)</calculatedColumnFormula>
    </tableColumn>
    <tableColumn id="8" name="Stocks - Bills" dataDxfId="2">
      <calculatedColumnFormula>B19-C19</calculatedColumnFormula>
    </tableColumn>
    <tableColumn id="9" name="Stocks - Bonds" dataDxfId="1">
      <calculatedColumnFormula>B19-D19</calculatedColumnFormula>
    </tableColumn>
    <tableColumn id="10" name="Historical risk premium" dataDxfId="0">
      <calculatedColumnFormula>((E19/100)^(1/(A19-$A$19+1)))-((G19/100)^(1/(A19-$A$19+1)))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List1" displayName="List1" ref="A1:G20" totalsRowShown="0" headerRowDxfId="16">
  <autoFilter ref="A1:G20"/>
  <tableColumns count="7">
    <tableColumn id="1" name="Year"/>
    <tableColumn id="2" name="Dividend Yield"/>
    <tableColumn id="3" name="Buybacks/Index"/>
    <tableColumn id="4" name="Gross Cash Yield"/>
    <tableColumn id="7" name="Payout" dataDxfId="15"/>
    <tableColumn id="8" name="Return on Equity" dataDxfId="14"/>
    <tableColumn id="9" name="Net Profit Margin" dataDxfId="1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://www.stern.nyu.edu/~adamodar/New_Home_Page/data.html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://www.damodaran.com/" TargetMode="External"/><Relationship Id="rId1" Type="http://schemas.openxmlformats.org/officeDocument/2006/relationships/hyperlink" Target="mailto:adamodar@stern.nyu.edu?subject=Data%20on%20website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://www.stern.nyu.edu/~adamodar/New_Home_Page/datafile/variable.htm" TargetMode="External"/><Relationship Id="rId4" Type="http://schemas.openxmlformats.org/officeDocument/2006/relationships/hyperlink" Target="http://www.stern.nyu.edu/~adamodar/pc/datasets/indname.xls" TargetMode="Externa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us.spindices.com/indices/equity/sp-500" TargetMode="External"/><Relationship Id="rId2" Type="http://schemas.openxmlformats.org/officeDocument/2006/relationships/hyperlink" Target="http://www.trpropresearch.com/" TargetMode="External"/><Relationship Id="rId1" Type="http://schemas.openxmlformats.org/officeDocument/2006/relationships/hyperlink" Target="http://www.factset.com/websitefiles/PDFs/earningsinsight/earningsinsight_12.19.14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hyperlink" Target="http://www.yardeni.com/Pub/peacockfev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N45"/>
  <sheetViews>
    <sheetView showGridLines="0" zoomScale="85" zoomScaleNormal="85" workbookViewId="0">
      <selection activeCell="B27" sqref="B27"/>
    </sheetView>
  </sheetViews>
  <sheetFormatPr baseColWidth="10" defaultRowHeight="12.75"/>
  <cols>
    <col min="1" max="1" width="54.140625" bestFit="1" customWidth="1"/>
    <col min="2" max="2" width="14.5703125" customWidth="1"/>
    <col min="3" max="6" width="12.5703125" customWidth="1"/>
    <col min="7" max="7" width="10.5703125" bestFit="1" customWidth="1"/>
    <col min="8" max="8" width="14.5703125" bestFit="1" customWidth="1"/>
    <col min="13" max="13" width="10.7109375" style="76" customWidth="1"/>
  </cols>
  <sheetData>
    <row r="1" spans="1:13" s="1" customFormat="1" ht="30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M1" s="75"/>
    </row>
    <row r="2" spans="1:13" s="62" customFormat="1" ht="30">
      <c r="A2" s="60" t="s">
        <v>56</v>
      </c>
      <c r="B2" s="61"/>
      <c r="D2" s="92" t="s">
        <v>57</v>
      </c>
      <c r="H2" s="76"/>
    </row>
    <row r="3" spans="1:13" s="4" customFormat="1">
      <c r="A3" s="2" t="s">
        <v>43</v>
      </c>
      <c r="B3" s="27">
        <v>2043.94</v>
      </c>
      <c r="D3" s="2" t="s">
        <v>19</v>
      </c>
      <c r="G3" s="64">
        <f>'Buyback &amp; Dividend computation'!G36</f>
        <v>106.09336961830638</v>
      </c>
      <c r="H3" s="40" t="s">
        <v>41</v>
      </c>
    </row>
    <row r="4" spans="1:13" s="4" customFormat="1">
      <c r="A4" s="2" t="s">
        <v>58</v>
      </c>
      <c r="B4" s="68" t="s">
        <v>41</v>
      </c>
      <c r="D4" s="2" t="s">
        <v>30</v>
      </c>
      <c r="G4" s="64">
        <f>'Buyback &amp; Dividend computation'!D16*'Buyback &amp; Dividend computation'!D19</f>
        <v>107.33153554909586</v>
      </c>
      <c r="H4" s="40" t="s">
        <v>38</v>
      </c>
    </row>
    <row r="5" spans="1:13" s="4" customFormat="1">
      <c r="A5" s="2" t="s">
        <v>28</v>
      </c>
      <c r="B5" s="31">
        <f>IF(B4="C",G3/B3,IF(B4="A10",G4/B3,IF(B4="A5",G5/B3,IF(B4="P10",G6/B3,IF(B4="p5",G7/B3,IF(B4="NC",G9/B3,G8/B3))))))</f>
        <v>5.1906303325100725E-2</v>
      </c>
      <c r="C5" s="2"/>
      <c r="D5" s="63" t="s">
        <v>32</v>
      </c>
      <c r="G5" s="64">
        <f>'Buyback &amp; Dividend computation'!D17*'Buyback &amp; Dividend computation'!D19</f>
        <v>102.7117270889062</v>
      </c>
      <c r="H5" s="40" t="s">
        <v>42</v>
      </c>
    </row>
    <row r="6" spans="1:13" s="4" customFormat="1">
      <c r="A6" s="2" t="s">
        <v>74</v>
      </c>
      <c r="B6" s="67" t="s">
        <v>71</v>
      </c>
      <c r="C6" s="2"/>
      <c r="D6" s="2" t="s">
        <v>59</v>
      </c>
      <c r="G6" s="64">
        <f>'Buyback &amp; Dividend computation'!E16*'Buyback &amp; Dividend computation'!C36</f>
        <v>88.152346619952795</v>
      </c>
      <c r="H6" s="40" t="s">
        <v>61</v>
      </c>
    </row>
    <row r="7" spans="1:13" s="4" customFormat="1">
      <c r="A7" s="2" t="s">
        <v>75</v>
      </c>
      <c r="B7" s="31">
        <f>IF(B6="H",G11,IF(B6="BU",G12,IF(B6="TD",G13,IF(B6="FC",G14,G15))))</f>
        <v>5.554516835338652E-2</v>
      </c>
      <c r="D7" s="2" t="s">
        <v>60</v>
      </c>
      <c r="G7" s="64">
        <f>'Buyback &amp; Dividend computation'!E17*'Buyback &amp; Dividend computation'!C36</f>
        <v>76.984075813828696</v>
      </c>
      <c r="H7" s="40" t="s">
        <v>62</v>
      </c>
    </row>
    <row r="8" spans="1:13" s="4" customFormat="1">
      <c r="A8" s="2" t="s">
        <v>76</v>
      </c>
      <c r="B8" s="29">
        <v>2.2700000000000001E-2</v>
      </c>
      <c r="D8" s="2" t="s">
        <v>112</v>
      </c>
      <c r="G8" s="64">
        <f>'Buyback &amp; Dividend computation'!E16*AVERAGE('Buyback &amp; Dividend computation'!Q26:Q35)</f>
        <v>74.242886534100691</v>
      </c>
      <c r="H8" s="40" t="s">
        <v>104</v>
      </c>
    </row>
    <row r="9" spans="1:13" s="4" customFormat="1">
      <c r="A9" s="2" t="s">
        <v>95</v>
      </c>
      <c r="B9" s="77" t="s">
        <v>93</v>
      </c>
      <c r="D9" s="2" t="s">
        <v>146</v>
      </c>
      <c r="G9" s="64">
        <f>'Buyback &amp; Dividend computation'!H36</f>
        <v>94.495877545419958</v>
      </c>
      <c r="H9" s="40" t="s">
        <v>147</v>
      </c>
    </row>
    <row r="10" spans="1:13" s="4" customFormat="1" ht="15.75">
      <c r="A10" s="2" t="s">
        <v>94</v>
      </c>
      <c r="B10" s="30">
        <f>IF(B9="HUS",G18,IF(B9="HG",G19,IF(B9="ERP10",G20,IF(B9="ERPLong",G21,G22))))</f>
        <v>5.3170000000000009E-2</v>
      </c>
      <c r="D10" s="92" t="s">
        <v>63</v>
      </c>
      <c r="E10" s="2"/>
      <c r="F10" s="2"/>
      <c r="G10" s="2"/>
      <c r="H10" s="2"/>
    </row>
    <row r="11" spans="1:13" s="2" customFormat="1">
      <c r="A11" s="2" t="s">
        <v>134</v>
      </c>
      <c r="B11" s="28">
        <f>B8</f>
        <v>2.2700000000000001E-2</v>
      </c>
      <c r="D11" s="2" t="s">
        <v>64</v>
      </c>
      <c r="E11" s="4"/>
      <c r="F11" s="4"/>
      <c r="G11" s="65">
        <f>('Buyback &amp; Dividend computation'!C35/'Buyback &amp; Dividend computation'!C26)^(1/10)-1</f>
        <v>4.2720498699945431E-2</v>
      </c>
      <c r="H11" s="40" t="s">
        <v>69</v>
      </c>
    </row>
    <row r="12" spans="1:13" s="4" customFormat="1">
      <c r="A12" s="2" t="s">
        <v>189</v>
      </c>
      <c r="B12" s="68" t="s">
        <v>190</v>
      </c>
      <c r="D12" s="2" t="s">
        <v>65</v>
      </c>
      <c r="G12" s="66">
        <f>'Expected growth rate'!B9</f>
        <v>7.5313474396124347E-2</v>
      </c>
      <c r="H12" s="40" t="s">
        <v>70</v>
      </c>
    </row>
    <row r="13" spans="1:13" s="4" customFormat="1">
      <c r="A13" s="4" t="s">
        <v>99</v>
      </c>
      <c r="D13" s="2" t="s">
        <v>66</v>
      </c>
      <c r="G13" s="66">
        <f>'Expected growth rate'!G9</f>
        <v>5.554516835338652E-2</v>
      </c>
      <c r="H13" s="40" t="s">
        <v>71</v>
      </c>
    </row>
    <row r="14" spans="1:13" s="4" customFormat="1">
      <c r="A14" s="2" t="s">
        <v>100</v>
      </c>
      <c r="D14" s="2" t="s">
        <v>67</v>
      </c>
      <c r="G14" s="65">
        <f>(1-((B5*B3)/'Buyback &amp; Dividend computation'!C36))*'Buyback &amp; Dividend computation'!$F15</f>
        <v>-2.5026145251958961E-3</v>
      </c>
      <c r="H14" s="40" t="s">
        <v>72</v>
      </c>
    </row>
    <row r="15" spans="1:13" s="4" customFormat="1">
      <c r="A15" s="2" t="s">
        <v>101</v>
      </c>
      <c r="D15" s="2" t="s">
        <v>68</v>
      </c>
      <c r="G15" s="65">
        <f>(1-((B5*B3)/'Buyback &amp; Dividend computation'!C36))*'Buyback &amp; Dividend computation'!$F16</f>
        <v>-2.4184986950889506E-3</v>
      </c>
      <c r="H15" s="40" t="s">
        <v>73</v>
      </c>
    </row>
    <row r="16" spans="1:13" s="4" customFormat="1">
      <c r="A16" s="2" t="s">
        <v>102</v>
      </c>
    </row>
    <row r="17" spans="1:14" s="4" customFormat="1" ht="15.75">
      <c r="D17" s="92" t="s">
        <v>98</v>
      </c>
    </row>
    <row r="18" spans="1:14" s="4" customFormat="1">
      <c r="A18" s="69" t="s">
        <v>103</v>
      </c>
      <c r="D18" s="2" t="s">
        <v>77</v>
      </c>
      <c r="G18" s="78">
        <f>'Historical Risk Premium'!J106</f>
        <v>4.543213214629449E-2</v>
      </c>
      <c r="H18" s="40" t="s">
        <v>91</v>
      </c>
    </row>
    <row r="19" spans="1:14" s="4" customFormat="1" ht="15.75">
      <c r="A19" s="2" t="s">
        <v>192</v>
      </c>
      <c r="D19" s="2" t="s">
        <v>78</v>
      </c>
      <c r="E19" s="11"/>
      <c r="F19" s="11"/>
      <c r="G19" s="78">
        <v>0.04</v>
      </c>
      <c r="H19" s="40" t="s">
        <v>92</v>
      </c>
    </row>
    <row r="20" spans="1:14" s="11" customFormat="1" ht="15.75">
      <c r="A20" s="2" t="s">
        <v>107</v>
      </c>
      <c r="B20" s="4"/>
      <c r="C20" s="89"/>
      <c r="D20" s="2" t="s">
        <v>79</v>
      </c>
      <c r="E20" s="4"/>
      <c r="F20" s="4"/>
      <c r="G20" s="78">
        <f>AVERAGE('Implied ERP- Annual since 1960'!E48:E57)</f>
        <v>5.3170000000000009E-2</v>
      </c>
      <c r="H20" s="40" t="s">
        <v>93</v>
      </c>
    </row>
    <row r="21" spans="1:14" s="4" customFormat="1">
      <c r="A21" s="2" t="s">
        <v>193</v>
      </c>
      <c r="D21" s="2" t="s">
        <v>80</v>
      </c>
      <c r="G21" s="78">
        <f>AVERAGE('Implied ERP- Annual since 1960'!E3:E57)</f>
        <v>4.1110909090909087E-2</v>
      </c>
      <c r="H21" s="40" t="s">
        <v>137</v>
      </c>
    </row>
    <row r="22" spans="1:14" s="4" customFormat="1">
      <c r="A22" s="2" t="s">
        <v>194</v>
      </c>
      <c r="D22" s="2" t="s">
        <v>135</v>
      </c>
      <c r="G22" s="78">
        <f>MAX('Implied ERP- Annual since 1960'!E3:E57)</f>
        <v>6.4500000000000002E-2</v>
      </c>
      <c r="H22" s="4" t="s">
        <v>136</v>
      </c>
    </row>
    <row r="23" spans="1:14" s="4" customFormat="1"/>
    <row r="24" spans="1:14" s="4" customFormat="1"/>
    <row r="25" spans="1:14" s="4" customFormat="1" ht="15.75">
      <c r="A25" s="189" t="s">
        <v>96</v>
      </c>
      <c r="B25" s="190"/>
      <c r="C25" s="190"/>
      <c r="D25" s="190"/>
      <c r="E25" s="190"/>
      <c r="F25" s="190"/>
      <c r="G25" s="190"/>
      <c r="H25" s="11"/>
    </row>
    <row r="26" spans="1:14" s="4" customFormat="1">
      <c r="A26" s="12"/>
      <c r="B26" s="139" t="s">
        <v>187</v>
      </c>
      <c r="C26" s="12">
        <v>1</v>
      </c>
      <c r="D26" s="12">
        <v>2</v>
      </c>
      <c r="E26" s="12">
        <v>3</v>
      </c>
      <c r="F26" s="12">
        <v>4</v>
      </c>
      <c r="G26" s="12">
        <v>5</v>
      </c>
      <c r="H26" s="139" t="s">
        <v>188</v>
      </c>
    </row>
    <row r="27" spans="1:14" s="4" customFormat="1">
      <c r="A27" s="12" t="s">
        <v>185</v>
      </c>
      <c r="B27" s="140">
        <f>'Buyback &amp; Dividend computation'!C36</f>
        <v>104.48200136549033</v>
      </c>
      <c r="C27" s="140">
        <f>'Buyback &amp; Dividend computation'!$C$36*(1+'Impl premium calculator'!$B$7)^'Impl premium calculator'!C26</f>
        <v>110.28547172123525</v>
      </c>
      <c r="D27" s="140">
        <f>'Buyback &amp; Dividend computation'!$C$36*(1+'Impl premium calculator'!$B$7)^'Impl premium calculator'!D26</f>
        <v>116.41129681492392</v>
      </c>
      <c r="E27" s="140">
        <f>'Buyback &amp; Dividend computation'!$C$36*(1+'Impl premium calculator'!$B$7)^'Impl premium calculator'!E26</f>
        <v>122.87738189474493</v>
      </c>
      <c r="F27" s="140">
        <f>'Buyback &amp; Dividend computation'!$C$36*(1+'Impl premium calculator'!$B$7)^'Impl premium calculator'!F26</f>
        <v>129.70262675891192</v>
      </c>
      <c r="G27" s="140">
        <f>'Buyback &amp; Dividend computation'!$C$36*(1+'Impl premium calculator'!$B$7)^'Impl premium calculator'!G26</f>
        <v>136.90698099811212</v>
      </c>
      <c r="H27" s="142">
        <f>G27*(1+B8)</f>
        <v>140.01476946676925</v>
      </c>
    </row>
    <row r="28" spans="1:14" s="4" customFormat="1">
      <c r="A28" s="12" t="s">
        <v>186</v>
      </c>
      <c r="B28" s="141">
        <f>B29/B27</f>
        <v>1.0154224481897058</v>
      </c>
      <c r="C28" s="141">
        <f>IF($B$12="Yes",B28-($B$28-$H$28)/5,$B$28)</f>
        <v>1.0154224481897058</v>
      </c>
      <c r="D28" s="141">
        <f>IF($B$12="Yes",C28-($B$28-$H$28)/5,$B$28)</f>
        <v>1.0154224481897058</v>
      </c>
      <c r="E28" s="141">
        <f>IF($B$12="Yes",D28-($B$28-$H$28)/5,$B$28)</f>
        <v>1.0154224481897058</v>
      </c>
      <c r="F28" s="141">
        <f>IF($B$12="Yes",E28-($B$28-$H$28)/5,$B$28)</f>
        <v>1.0154224481897058</v>
      </c>
      <c r="G28" s="141">
        <f>IF($B$12="Yes",F28-($B$28-$H$28)/5,$B$28)</f>
        <v>1.0154224481897058</v>
      </c>
      <c r="H28" s="179">
        <f>IF($B$12="Yes",1-B11/'Buyback &amp; Dividend computation'!N36,$B$28)</f>
        <v>1.0154224481897058</v>
      </c>
      <c r="I28" s="69"/>
    </row>
    <row r="29" spans="1:14" s="4" customFormat="1" ht="15.75">
      <c r="A29" s="3" t="s">
        <v>1</v>
      </c>
      <c r="B29" s="142">
        <f>'Buyback &amp; Dividend computation'!G36</f>
        <v>106.09336961830638</v>
      </c>
      <c r="C29" s="146">
        <f>C27*C28</f>
        <v>111.98634369493327</v>
      </c>
      <c r="D29" s="146">
        <f>D27*D28</f>
        <v>118.20664400874855</v>
      </c>
      <c r="E29" s="146">
        <f>E27*E28</f>
        <v>124.77245195070333</v>
      </c>
      <c r="F29" s="146">
        <f>F27*F28</f>
        <v>131.70295880016999</v>
      </c>
      <c r="G29" s="146">
        <f>G27*G28</f>
        <v>139.01842181936453</v>
      </c>
      <c r="H29" s="142">
        <f>H28*H27</f>
        <v>142.1741399946641</v>
      </c>
      <c r="J29" s="11"/>
      <c r="K29" s="11"/>
      <c r="L29" s="11"/>
      <c r="M29" s="11"/>
    </row>
    <row r="30" spans="1:14" s="11" customFormat="1" ht="15" customHeight="1">
      <c r="A30" s="3" t="s">
        <v>2</v>
      </c>
      <c r="B30" s="143"/>
      <c r="C30" s="146"/>
      <c r="D30" s="146"/>
      <c r="E30" s="146"/>
      <c r="F30" s="146"/>
      <c r="G30" s="146">
        <f>H29/(B8+B10-B11)</f>
        <v>2673.9541093598659</v>
      </c>
      <c r="H30" s="180"/>
      <c r="I30" s="4"/>
      <c r="J30" s="4"/>
      <c r="K30" s="4"/>
      <c r="L30" s="4"/>
      <c r="M30" s="4"/>
      <c r="N30" s="4"/>
    </row>
    <row r="31" spans="1:14" s="4" customFormat="1">
      <c r="A31" s="80" t="s">
        <v>3</v>
      </c>
      <c r="B31" s="144"/>
      <c r="C31" s="147">
        <f>C29/(1+$B$8+$B$10)^C26</f>
        <v>104.08910341856664</v>
      </c>
      <c r="D31" s="146">
        <f>D29/(1+$B$8+$B$10)^D26</f>
        <v>102.12270087622481</v>
      </c>
      <c r="E31" s="146">
        <f>E29/(1+$B$8+$B$10)^E26</f>
        <v>100.19344668881675</v>
      </c>
      <c r="F31" s="146">
        <f>F29/(1+$B$8+$B$10)^F26</f>
        <v>98.300639067037054</v>
      </c>
      <c r="G31" s="146">
        <f>(G29+G30)/(1+$B$8+$B$10)^G26</f>
        <v>1951.4907770032173</v>
      </c>
      <c r="H31" s="180"/>
    </row>
    <row r="32" spans="1:14" s="4" customFormat="1">
      <c r="A32" s="3" t="s">
        <v>4</v>
      </c>
      <c r="B32" s="143"/>
      <c r="C32" s="148">
        <f>SUM(C31:G31)</f>
        <v>2356.1966670538627</v>
      </c>
      <c r="D32" s="149"/>
      <c r="E32" s="149"/>
      <c r="F32" s="149"/>
      <c r="G32" s="149"/>
      <c r="H32" s="145"/>
    </row>
    <row r="33" spans="1:14" s="4" customFormat="1">
      <c r="A33" s="3" t="s">
        <v>108</v>
      </c>
      <c r="B33" s="143"/>
      <c r="C33" s="90">
        <f>C32/'Buyback &amp; Dividend computation'!C36</f>
        <v>22.551220652939158</v>
      </c>
    </row>
    <row r="34" spans="1:14" s="4" customFormat="1" ht="13.5" thickBot="1">
      <c r="A34" s="80" t="s">
        <v>111</v>
      </c>
      <c r="B34" s="144"/>
      <c r="C34" s="91">
        <f>C32/AVERAGE('Buyback &amp; Dividend computation'!Q24:Q33)</f>
        <v>28.080120840579895</v>
      </c>
      <c r="L34" s="39"/>
    </row>
    <row r="35" spans="1:14" s="4" customFormat="1" ht="20.100000000000001" customHeight="1" thickBot="1">
      <c r="A35" s="185" t="s">
        <v>97</v>
      </c>
      <c r="B35" s="186"/>
      <c r="C35" s="186"/>
      <c r="D35" s="186"/>
      <c r="E35" s="186"/>
      <c r="F35" s="187"/>
      <c r="G35" s="11"/>
      <c r="H35" s="11"/>
    </row>
    <row r="36" spans="1:14" s="4" customFormat="1" ht="16.5" thickBot="1">
      <c r="A36" s="2" t="s">
        <v>5</v>
      </c>
      <c r="C36" s="34">
        <v>6.1174819456907156E-2</v>
      </c>
      <c r="D36" s="4" t="s">
        <v>6</v>
      </c>
    </row>
    <row r="37" spans="1:14" s="4" customFormat="1"/>
    <row r="38" spans="1:14" s="4" customFormat="1">
      <c r="A38" s="8"/>
      <c r="B38" s="181" t="str">
        <f>B26</f>
        <v>Last 12 months</v>
      </c>
      <c r="C38" s="10">
        <v>1</v>
      </c>
      <c r="D38" s="10">
        <v>2</v>
      </c>
      <c r="E38" s="10">
        <v>3</v>
      </c>
      <c r="F38" s="10">
        <v>4</v>
      </c>
      <c r="G38" s="10">
        <v>5</v>
      </c>
      <c r="H38" s="139" t="str">
        <f>H26</f>
        <v>Terminal Year</v>
      </c>
      <c r="J38"/>
      <c r="K38"/>
      <c r="L38"/>
      <c r="M38"/>
      <c r="N38" s="76"/>
    </row>
    <row r="39" spans="1:14" s="4" customFormat="1">
      <c r="A39" s="12" t="s">
        <v>185</v>
      </c>
      <c r="B39" s="182">
        <f>B27</f>
        <v>104.48200136549033</v>
      </c>
      <c r="C39" s="183">
        <f t="shared" ref="C39:G40" si="0">C27</f>
        <v>110.28547172123525</v>
      </c>
      <c r="D39" s="183">
        <f t="shared" si="0"/>
        <v>116.41129681492392</v>
      </c>
      <c r="E39" s="183">
        <f t="shared" si="0"/>
        <v>122.87738189474493</v>
      </c>
      <c r="F39" s="183">
        <f t="shared" si="0"/>
        <v>129.70262675891192</v>
      </c>
      <c r="G39" s="183">
        <f t="shared" si="0"/>
        <v>136.90698099811212</v>
      </c>
      <c r="H39" s="142">
        <f>H27</f>
        <v>140.01476946676925</v>
      </c>
      <c r="J39"/>
      <c r="K39"/>
      <c r="L39"/>
      <c r="M39"/>
      <c r="N39" s="76"/>
    </row>
    <row r="40" spans="1:14" s="4" customFormat="1">
      <c r="A40" s="12" t="s">
        <v>186</v>
      </c>
      <c r="B40" s="182">
        <f>B28</f>
        <v>1.0154224481897058</v>
      </c>
      <c r="C40" s="179">
        <f t="shared" si="0"/>
        <v>1.0154224481897058</v>
      </c>
      <c r="D40" s="179">
        <f t="shared" si="0"/>
        <v>1.0154224481897058</v>
      </c>
      <c r="E40" s="179">
        <f t="shared" si="0"/>
        <v>1.0154224481897058</v>
      </c>
      <c r="F40" s="179">
        <f t="shared" si="0"/>
        <v>1.0154224481897058</v>
      </c>
      <c r="G40" s="179">
        <f t="shared" si="0"/>
        <v>1.0154224481897058</v>
      </c>
      <c r="H40" s="142">
        <f>H28</f>
        <v>1.0154224481897058</v>
      </c>
      <c r="J40"/>
      <c r="K40"/>
      <c r="L40"/>
      <c r="M40"/>
      <c r="N40" s="76"/>
    </row>
    <row r="41" spans="1:14">
      <c r="A41" s="8" t="s">
        <v>1</v>
      </c>
      <c r="B41" s="182">
        <f>B29</f>
        <v>106.09336961830638</v>
      </c>
      <c r="C41" s="9">
        <f>C39*C40</f>
        <v>111.98634369493327</v>
      </c>
      <c r="D41" s="9">
        <f>D39*D40</f>
        <v>118.20664400874855</v>
      </c>
      <c r="E41" s="9">
        <f>E39*E40</f>
        <v>124.77245195070333</v>
      </c>
      <c r="F41" s="9">
        <f>F39*F40</f>
        <v>131.70295880016999</v>
      </c>
      <c r="G41" s="9">
        <f>G39*G40</f>
        <v>139.01842181936453</v>
      </c>
      <c r="H41" s="142">
        <f>H29</f>
        <v>142.1741399946641</v>
      </c>
      <c r="I41" s="4"/>
      <c r="M41"/>
      <c r="N41" s="76"/>
    </row>
    <row r="42" spans="1:14">
      <c r="A42" s="3" t="s">
        <v>2</v>
      </c>
      <c r="B42" s="3"/>
      <c r="C42" s="5"/>
      <c r="D42" s="5"/>
      <c r="E42" s="5"/>
      <c r="F42" s="5"/>
      <c r="G42" s="5">
        <f>H41/(B8+C36-B11)</f>
        <v>2324.0630909391502</v>
      </c>
      <c r="H42" s="40"/>
      <c r="I42" s="4"/>
      <c r="M42"/>
      <c r="N42" s="76"/>
    </row>
    <row r="43" spans="1:14" ht="13.5" thickBot="1">
      <c r="A43" s="3" t="s">
        <v>3</v>
      </c>
      <c r="B43" s="3"/>
      <c r="C43" s="5">
        <f>C41/(1+$B$8+$C$36)^C38</f>
        <v>103.32036660012623</v>
      </c>
      <c r="D43" s="5">
        <f>D41/(1+$B$8+$C$36)^D38</f>
        <v>100.61984262344042</v>
      </c>
      <c r="E43" s="5">
        <f>E41/(1+$B$8+$C$36)^E38</f>
        <v>97.989903275793708</v>
      </c>
      <c r="F43" s="5">
        <f>F41/(1+$B$8+$C$36)^F38</f>
        <v>95.428703659714515</v>
      </c>
      <c r="G43" s="5">
        <f>(G41+G42)/(1+$B$8+C36)^G38</f>
        <v>1646.5811908312153</v>
      </c>
      <c r="H43" s="40"/>
      <c r="I43" s="4"/>
      <c r="M43"/>
      <c r="N43" s="76"/>
    </row>
    <row r="44" spans="1:14" ht="13.5" thickBot="1">
      <c r="A44" s="3" t="s">
        <v>4</v>
      </c>
      <c r="B44" s="138"/>
      <c r="C44" s="6">
        <f>SUM(C43:G43)</f>
        <v>2043.9400069902902</v>
      </c>
      <c r="D44" s="7"/>
      <c r="E44" s="7"/>
      <c r="F44" s="7"/>
      <c r="G44" s="7"/>
      <c r="H44" s="4"/>
      <c r="I44" s="4"/>
      <c r="M44"/>
      <c r="N44" s="76"/>
    </row>
    <row r="45" spans="1:14">
      <c r="A45" s="4"/>
      <c r="B45" s="4"/>
      <c r="C45" s="4"/>
      <c r="D45" s="4"/>
      <c r="E45" s="4"/>
      <c r="F45" s="4"/>
      <c r="G45" s="4"/>
      <c r="H45" s="4"/>
    </row>
  </sheetData>
  <mergeCells count="3">
    <mergeCell ref="A35:F35"/>
    <mergeCell ref="A1:J1"/>
    <mergeCell ref="A25:G25"/>
  </mergeCells>
  <phoneticPr fontId="13" type="noConversion"/>
  <dataValidations count="4">
    <dataValidation type="list" allowBlank="1" showInputMessage="1" showErrorMessage="1" sqref="B6">
      <formula1>$H$11:$H$15</formula1>
    </dataValidation>
    <dataValidation type="list" allowBlank="1" showInputMessage="1" showErrorMessage="1" sqref="B4">
      <formula1>$H$3:$H$9</formula1>
    </dataValidation>
    <dataValidation type="list" allowBlank="1" showInputMessage="1" showErrorMessage="1" sqref="B9">
      <formula1>$H$18:$H$22</formula1>
    </dataValidation>
    <dataValidation type="list" allowBlank="1" showInputMessage="1" showErrorMessage="1" sqref="B12">
      <formula1>#REF!</formula1>
    </dataValidation>
  </dataValidations>
  <printOptions gridLinesSet="0"/>
  <pageMargins left="0.78740157499999996" right="0.78740157499999996" top="0.984251969" bottom="0.984251969" header="0.5" footer="0.5"/>
  <pageSetup scale="80" orientation="landscape" horizontalDpi="4294967292" verticalDpi="4294967292"/>
  <headerFooter alignWithMargins="0">
    <oddHeader>&amp;A</oddHeader>
    <oddFooter>Page &amp;P</oddFooter>
  </headerFooter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</sheetPr>
  <dimension ref="A1:P116"/>
  <sheetViews>
    <sheetView showGridLines="0" tabSelected="1" topLeftCell="A97" zoomScale="96" zoomScaleNormal="96" workbookViewId="0">
      <selection activeCell="M123" sqref="A118:M123"/>
    </sheetView>
  </sheetViews>
  <sheetFormatPr baseColWidth="10" defaultColWidth="10.7109375" defaultRowHeight="15.75"/>
  <cols>
    <col min="1" max="1" width="15.5703125" style="197" bestFit="1" customWidth="1"/>
    <col min="2" max="2" width="14.28515625" style="197" bestFit="1" customWidth="1"/>
    <col min="3" max="3" width="12.42578125" style="197" customWidth="1"/>
    <col min="4" max="4" width="13.7109375" style="197" customWidth="1"/>
    <col min="5" max="5" width="14.85546875" style="197" bestFit="1" customWidth="1"/>
    <col min="6" max="6" width="16.85546875" style="197" customWidth="1"/>
    <col min="7" max="7" width="16.5703125" style="197" customWidth="1"/>
    <col min="8" max="8" width="11.140625" style="197" customWidth="1"/>
    <col min="9" max="9" width="12.42578125" style="197" customWidth="1"/>
    <col min="10" max="10" width="18.5703125" style="197" customWidth="1"/>
    <col min="11" max="11" width="10.7109375" style="197"/>
    <col min="12" max="12" width="33.140625" style="197" bestFit="1" customWidth="1"/>
    <col min="13" max="13" width="23.85546875" style="197" bestFit="1" customWidth="1"/>
    <col min="14" max="14" width="18" style="197" customWidth="1"/>
    <col min="15" max="15" width="10.7109375" style="197"/>
    <col min="16" max="16" width="12.42578125" style="197" bestFit="1" customWidth="1"/>
    <col min="17" max="16384" width="10.7109375" style="197"/>
  </cols>
  <sheetData>
    <row r="1" spans="1:11">
      <c r="A1" s="193" t="s">
        <v>195</v>
      </c>
      <c r="B1" s="194">
        <v>40908</v>
      </c>
      <c r="C1" s="195"/>
      <c r="D1" s="195"/>
      <c r="E1" s="195"/>
      <c r="F1" s="195"/>
      <c r="G1" s="196"/>
    </row>
    <row r="2" spans="1:11">
      <c r="A2" s="198" t="s">
        <v>196</v>
      </c>
      <c r="B2" s="199" t="s">
        <v>197</v>
      </c>
      <c r="C2" s="200"/>
      <c r="D2" s="200"/>
      <c r="E2" s="200"/>
      <c r="F2" s="200"/>
      <c r="G2" s="201"/>
    </row>
    <row r="3" spans="1:11">
      <c r="A3" s="198" t="s">
        <v>198</v>
      </c>
      <c r="B3" s="202" t="s">
        <v>199</v>
      </c>
      <c r="C3" s="203"/>
      <c r="D3" s="203"/>
      <c r="E3" s="204"/>
      <c r="F3" s="202" t="s">
        <v>200</v>
      </c>
      <c r="G3" s="205"/>
      <c r="H3" s="206"/>
      <c r="I3" s="206"/>
      <c r="J3" s="206"/>
    </row>
    <row r="4" spans="1:11">
      <c r="A4" s="198" t="s">
        <v>201</v>
      </c>
      <c r="B4" s="207" t="s">
        <v>202</v>
      </c>
      <c r="C4" s="208"/>
      <c r="D4" s="208"/>
      <c r="E4" s="208"/>
      <c r="F4" s="208"/>
      <c r="G4" s="209"/>
    </row>
    <row r="5" spans="1:11">
      <c r="A5" s="198" t="s">
        <v>203</v>
      </c>
      <c r="B5" s="210" t="s">
        <v>204</v>
      </c>
      <c r="C5" s="211"/>
      <c r="D5" s="211"/>
      <c r="E5" s="211"/>
      <c r="F5" s="211"/>
      <c r="G5" s="212"/>
    </row>
    <row r="6" spans="1:11">
      <c r="A6" s="198" t="s">
        <v>205</v>
      </c>
      <c r="B6" s="199" t="s">
        <v>206</v>
      </c>
      <c r="C6" s="200"/>
      <c r="D6" s="200"/>
      <c r="E6" s="200"/>
      <c r="F6" s="200"/>
      <c r="G6" s="201"/>
    </row>
    <row r="7" spans="1:11" ht="16.5" thickBot="1">
      <c r="A7" s="213" t="s">
        <v>207</v>
      </c>
      <c r="B7" s="214" t="s">
        <v>208</v>
      </c>
      <c r="C7" s="215"/>
      <c r="D7" s="215"/>
      <c r="E7" s="215"/>
      <c r="F7" s="215"/>
      <c r="G7" s="216"/>
    </row>
    <row r="8" spans="1:11" s="218" customFormat="1" ht="18.75">
      <c r="A8" s="217" t="s">
        <v>209</v>
      </c>
      <c r="B8" s="217"/>
      <c r="C8" s="217"/>
      <c r="D8" s="217"/>
      <c r="E8" s="217"/>
      <c r="F8" s="217"/>
      <c r="G8" s="217"/>
    </row>
    <row r="9" spans="1:11">
      <c r="A9" s="197" t="s">
        <v>210</v>
      </c>
      <c r="C9" s="219" t="s">
        <v>211</v>
      </c>
      <c r="F9" s="220" t="s">
        <v>212</v>
      </c>
      <c r="G9" s="221"/>
      <c r="H9" s="221"/>
      <c r="I9" s="221"/>
      <c r="J9" s="221"/>
      <c r="K9" s="222"/>
    </row>
    <row r="10" spans="1:11">
      <c r="A10" s="197" t="s">
        <v>213</v>
      </c>
      <c r="C10" s="219">
        <v>1928</v>
      </c>
      <c r="F10" s="223" t="s">
        <v>214</v>
      </c>
      <c r="G10" s="224"/>
      <c r="H10" s="224"/>
      <c r="I10" s="224"/>
      <c r="J10" s="224"/>
      <c r="K10" s="225"/>
    </row>
    <row r="11" spans="1:11">
      <c r="E11" s="226"/>
    </row>
    <row r="12" spans="1:11">
      <c r="A12" s="197" t="s">
        <v>215</v>
      </c>
      <c r="E12" s="227">
        <f>IF(C10=1928,100,VLOOKUP(C10-1,A19:G104,5))</f>
        <v>100</v>
      </c>
    </row>
    <row r="13" spans="1:11">
      <c r="A13" s="197" t="s">
        <v>216</v>
      </c>
      <c r="E13" s="227">
        <f>IF(C10=1928,100,VLOOKUP(C10-1,A19:G104,6))</f>
        <v>100</v>
      </c>
    </row>
    <row r="14" spans="1:11">
      <c r="A14" s="197" t="s">
        <v>217</v>
      </c>
      <c r="E14" s="227">
        <f>IF(C10=1928,100,VLOOKUP(C10-1,A18:G104,7))</f>
        <v>100</v>
      </c>
    </row>
    <row r="15" spans="1:11" ht="16.5" thickBot="1">
      <c r="A15" s="197" t="s">
        <v>218</v>
      </c>
      <c r="E15" s="228">
        <f>IF(C9="ST",(E106/E12)^(1/(A106-C10+1))-(F106/E13)^(1/(A106-C10+1)),(E106/E12)^(1/(A106-C10+1))-(G106/E14)^(1/(A106-C10+1)))</f>
        <v>4.543213214629449E-2</v>
      </c>
    </row>
    <row r="16" spans="1:11" ht="16.5" thickBot="1"/>
    <row r="17" spans="1:16">
      <c r="B17" s="229" t="s">
        <v>126</v>
      </c>
      <c r="C17" s="230"/>
      <c r="D17" s="231"/>
      <c r="E17" s="229" t="s">
        <v>127</v>
      </c>
      <c r="F17" s="230"/>
      <c r="G17" s="231"/>
    </row>
    <row r="18" spans="1:16" ht="31.5">
      <c r="A18" s="232" t="s">
        <v>9</v>
      </c>
      <c r="B18" s="232" t="s">
        <v>125</v>
      </c>
      <c r="C18" s="232" t="s">
        <v>128</v>
      </c>
      <c r="D18" s="232" t="s">
        <v>129</v>
      </c>
      <c r="E18" s="233" t="s">
        <v>130</v>
      </c>
      <c r="F18" s="233" t="s">
        <v>131</v>
      </c>
      <c r="G18" s="233" t="s">
        <v>132</v>
      </c>
      <c r="H18" s="233" t="s">
        <v>219</v>
      </c>
      <c r="I18" s="233" t="s">
        <v>220</v>
      </c>
      <c r="J18" s="234" t="s">
        <v>133</v>
      </c>
      <c r="L18" s="235" t="s">
        <v>221</v>
      </c>
      <c r="M18" s="236" t="s">
        <v>222</v>
      </c>
      <c r="N18" s="237" t="s">
        <v>223</v>
      </c>
      <c r="P18" s="197" t="s">
        <v>224</v>
      </c>
    </row>
    <row r="19" spans="1:16">
      <c r="A19" s="238">
        <v>1928</v>
      </c>
      <c r="B19" s="239">
        <f>('[1]S&amp;P 500 &amp; Raw Data'!B4-'[1]S&amp;P 500 &amp; Raw Data'!B3+'[1]S&amp;P 500 &amp; Raw Data'!C4)/'[1]S&amp;P 500 &amp; Raw Data'!B3</f>
        <v>0.43811155152887893</v>
      </c>
      <c r="C19" s="239">
        <v>3.0800000000000001E-2</v>
      </c>
      <c r="D19" s="239">
        <f>'[1]S&amp;P 500 &amp; Raw Data'!F4</f>
        <v>8.354708589799302E-3</v>
      </c>
      <c r="E19" s="240">
        <f>100*(1+B19)</f>
        <v>143.81115515288789</v>
      </c>
      <c r="F19" s="240">
        <f>100*(1+C19)</f>
        <v>103.08</v>
      </c>
      <c r="G19" s="240">
        <f>100*(1+D19)</f>
        <v>100.83547085897993</v>
      </c>
      <c r="H19" s="239">
        <f>B19-C19</f>
        <v>0.40731155152887893</v>
      </c>
      <c r="I19" s="239">
        <f>B19-D19</f>
        <v>0.42975684293907962</v>
      </c>
      <c r="J19" s="241"/>
    </row>
    <row r="20" spans="1:16">
      <c r="A20" s="238">
        <v>1929</v>
      </c>
      <c r="B20" s="239">
        <f>('[1]S&amp;P 500 &amp; Raw Data'!B5-'[1]S&amp;P 500 &amp; Raw Data'!B4+'[1]S&amp;P 500 &amp; Raw Data'!C5)/'[1]S&amp;P 500 &amp; Raw Data'!B4</f>
        <v>-8.2979466119096595E-2</v>
      </c>
      <c r="C20" s="239">
        <v>3.1600000000000003E-2</v>
      </c>
      <c r="D20" s="239">
        <f>'[1]S&amp;P 500 &amp; Raw Data'!F5</f>
        <v>4.2038041563204259E-2</v>
      </c>
      <c r="E20" s="240">
        <f t="shared" ref="E20:G35" si="0">E19*(1+B20)</f>
        <v>131.87778227633069</v>
      </c>
      <c r="F20" s="240">
        <f t="shared" si="0"/>
        <v>106.337328</v>
      </c>
      <c r="G20" s="240">
        <f t="shared" si="0"/>
        <v>105.074396573995</v>
      </c>
      <c r="H20" s="239">
        <f t="shared" ref="H20:H83" si="1">B20-C20</f>
        <v>-0.1145794661190966</v>
      </c>
      <c r="I20" s="239">
        <f t="shared" ref="I20:I83" si="2">B20-D20</f>
        <v>-0.12501750768230085</v>
      </c>
      <c r="J20" s="241"/>
    </row>
    <row r="21" spans="1:16">
      <c r="A21" s="238">
        <v>1930</v>
      </c>
      <c r="B21" s="239">
        <f>('[1]S&amp;P 500 &amp; Raw Data'!B6-'[1]S&amp;P 500 &amp; Raw Data'!B5+'[1]S&amp;P 500 &amp; Raw Data'!C6)/'[1]S&amp;P 500 &amp; Raw Data'!B5</f>
        <v>-0.25123636363636365</v>
      </c>
      <c r="C21" s="239">
        <v>4.5499999999999999E-2</v>
      </c>
      <c r="D21" s="239">
        <f>'[1]S&amp;P 500 &amp; Raw Data'!F6</f>
        <v>4.5409314348970366E-2</v>
      </c>
      <c r="E21" s="240">
        <f t="shared" si="0"/>
        <v>98.745287812797272</v>
      </c>
      <c r="F21" s="240">
        <f t="shared" si="0"/>
        <v>111.17567642400002</v>
      </c>
      <c r="G21" s="240">
        <f t="shared" si="0"/>
        <v>109.84575287805193</v>
      </c>
      <c r="H21" s="239">
        <f t="shared" si="1"/>
        <v>-0.29673636363636363</v>
      </c>
      <c r="I21" s="239">
        <f t="shared" si="2"/>
        <v>-0.29664567798533403</v>
      </c>
      <c r="J21" s="241"/>
    </row>
    <row r="22" spans="1:16">
      <c r="A22" s="238">
        <v>1931</v>
      </c>
      <c r="B22" s="239">
        <f>('[1]S&amp;P 500 &amp; Raw Data'!B7-'[1]S&amp;P 500 &amp; Raw Data'!B6+'[1]S&amp;P 500 &amp; Raw Data'!C7)/'[1]S&amp;P 500 &amp; Raw Data'!B6</f>
        <v>-0.43837548891786188</v>
      </c>
      <c r="C22" s="239">
        <v>2.3099999999999999E-2</v>
      </c>
      <c r="D22" s="239">
        <f>'[1]S&amp;P 500 &amp; Raw Data'!F7</f>
        <v>-2.5588559619422531E-2</v>
      </c>
      <c r="E22" s="240">
        <f t="shared" si="0"/>
        <v>55.457773989527276</v>
      </c>
      <c r="F22" s="240">
        <f t="shared" si="0"/>
        <v>113.74383454939441</v>
      </c>
      <c r="G22" s="240">
        <f t="shared" si="0"/>
        <v>107.03495828159154</v>
      </c>
      <c r="H22" s="239">
        <f t="shared" si="1"/>
        <v>-0.46147548891786189</v>
      </c>
      <c r="I22" s="239">
        <f t="shared" si="2"/>
        <v>-0.41278692929843935</v>
      </c>
      <c r="J22" s="241"/>
    </row>
    <row r="23" spans="1:16">
      <c r="A23" s="238">
        <v>1932</v>
      </c>
      <c r="B23" s="239">
        <f>('[1]S&amp;P 500 &amp; Raw Data'!B8-'[1]S&amp;P 500 &amp; Raw Data'!B7+'[1]S&amp;P 500 &amp; Raw Data'!C8)/'[1]S&amp;P 500 &amp; Raw Data'!B7</f>
        <v>-8.642364532019696E-2</v>
      </c>
      <c r="C23" s="239">
        <v>1.0699999999999999E-2</v>
      </c>
      <c r="D23" s="239">
        <f>'[1]S&amp;P 500 &amp; Raw Data'!F8</f>
        <v>8.7903069904773257E-2</v>
      </c>
      <c r="E23" s="240">
        <f t="shared" si="0"/>
        <v>50.664911000008722</v>
      </c>
      <c r="F23" s="240">
        <f t="shared" si="0"/>
        <v>114.96089357907292</v>
      </c>
      <c r="G23" s="240">
        <f t="shared" si="0"/>
        <v>116.44365970167279</v>
      </c>
      <c r="H23" s="239">
        <f t="shared" si="1"/>
        <v>-9.7123645320196961E-2</v>
      </c>
      <c r="I23" s="239">
        <f t="shared" si="2"/>
        <v>-0.17432671522497023</v>
      </c>
      <c r="J23" s="241"/>
    </row>
    <row r="24" spans="1:16">
      <c r="A24" s="238">
        <v>1933</v>
      </c>
      <c r="B24" s="239">
        <f>('[1]S&amp;P 500 &amp; Raw Data'!B9-'[1]S&amp;P 500 &amp; Raw Data'!B8+'[1]S&amp;P 500 &amp; Raw Data'!C9)/'[1]S&amp;P 500 &amp; Raw Data'!B8</f>
        <v>0.49982225433526023</v>
      </c>
      <c r="C24" s="239">
        <v>9.5999999999999992E-3</v>
      </c>
      <c r="D24" s="239">
        <f>'[1]S&amp;P 500 &amp; Raw Data'!F9</f>
        <v>1.8552720891857361E-2</v>
      </c>
      <c r="E24" s="240">
        <f t="shared" si="0"/>
        <v>75.988361031728402</v>
      </c>
      <c r="F24" s="240">
        <f t="shared" si="0"/>
        <v>116.06451815743202</v>
      </c>
      <c r="G24" s="240">
        <f t="shared" si="0"/>
        <v>118.60400641974435</v>
      </c>
      <c r="H24" s="239">
        <f t="shared" si="1"/>
        <v>0.49022225433526023</v>
      </c>
      <c r="I24" s="239">
        <f t="shared" si="2"/>
        <v>0.48126953344340284</v>
      </c>
      <c r="J24" s="241"/>
    </row>
    <row r="25" spans="1:16">
      <c r="A25" s="238">
        <v>1934</v>
      </c>
      <c r="B25" s="239">
        <f>('[1]S&amp;P 500 &amp; Raw Data'!B10-'[1]S&amp;P 500 &amp; Raw Data'!B9+'[1]S&amp;P 500 &amp; Raw Data'!C10)/'[1]S&amp;P 500 &amp; Raw Data'!B9</f>
        <v>-1.1885656970912803E-2</v>
      </c>
      <c r="C25" s="239">
        <f>'[1]T. Bill rates'!G13</f>
        <v>3.225E-3</v>
      </c>
      <c r="D25" s="239">
        <f>'[1]S&amp;P 500 &amp; Raw Data'!F10</f>
        <v>7.9634426179656104E-2</v>
      </c>
      <c r="E25" s="240">
        <f t="shared" si="0"/>
        <v>75.085189438723404</v>
      </c>
      <c r="F25" s="240">
        <f t="shared" si="0"/>
        <v>116.43882622848975</v>
      </c>
      <c r="G25" s="240">
        <f t="shared" si="0"/>
        <v>128.04896841358894</v>
      </c>
      <c r="H25" s="239">
        <f t="shared" si="1"/>
        <v>-1.5110656970912803E-2</v>
      </c>
      <c r="I25" s="239">
        <f t="shared" si="2"/>
        <v>-9.1520083150568907E-2</v>
      </c>
      <c r="J25" s="241"/>
    </row>
    <row r="26" spans="1:16">
      <c r="A26" s="238">
        <v>1935</v>
      </c>
      <c r="B26" s="239">
        <f>('[1]S&amp;P 500 &amp; Raw Data'!B11-'[1]S&amp;P 500 &amp; Raw Data'!B10+'[1]S&amp;P 500 &amp; Raw Data'!C11)/'[1]S&amp;P 500 &amp; Raw Data'!B10</f>
        <v>0.46740421052631581</v>
      </c>
      <c r="C26" s="239">
        <f>'[1]T. Bill rates'!G14</f>
        <v>1.7499999999999998E-3</v>
      </c>
      <c r="D26" s="239">
        <f>'[1]S&amp;P 500 &amp; Raw Data'!F11</f>
        <v>4.4720477296566127E-2</v>
      </c>
      <c r="E26" s="240">
        <f t="shared" si="0"/>
        <v>110.18032313054879</v>
      </c>
      <c r="F26" s="240">
        <f t="shared" si="0"/>
        <v>116.64259417438959</v>
      </c>
      <c r="G26" s="240">
        <f t="shared" si="0"/>
        <v>133.77537939837757</v>
      </c>
      <c r="H26" s="239">
        <f t="shared" si="1"/>
        <v>0.46565421052631584</v>
      </c>
      <c r="I26" s="239">
        <f t="shared" si="2"/>
        <v>0.42268373322974967</v>
      </c>
      <c r="J26" s="241"/>
    </row>
    <row r="27" spans="1:16">
      <c r="A27" s="238">
        <v>1936</v>
      </c>
      <c r="B27" s="239">
        <f>('[1]S&amp;P 500 &amp; Raw Data'!B12-'[1]S&amp;P 500 &amp; Raw Data'!B11+'[1]S&amp;P 500 &amp; Raw Data'!C12)/'[1]S&amp;P 500 &amp; Raw Data'!B11</f>
        <v>0.31943410275502609</v>
      </c>
      <c r="C27" s="239">
        <f>'[1]T. Bill rates'!G15</f>
        <v>1.7000000000000001E-3</v>
      </c>
      <c r="D27" s="239">
        <f>'[1]S&amp;P 500 &amp; Raw Data'!F12</f>
        <v>5.0178754045450601E-2</v>
      </c>
      <c r="E27" s="240">
        <f t="shared" si="0"/>
        <v>145.37567579101449</v>
      </c>
      <c r="F27" s="240">
        <f t="shared" si="0"/>
        <v>116.84088658448606</v>
      </c>
      <c r="G27" s="240">
        <f t="shared" si="0"/>
        <v>140.4880612585456</v>
      </c>
      <c r="H27" s="239">
        <f t="shared" si="1"/>
        <v>0.31773410275502612</v>
      </c>
      <c r="I27" s="239">
        <f t="shared" si="2"/>
        <v>0.26925534870957551</v>
      </c>
      <c r="J27" s="241"/>
    </row>
    <row r="28" spans="1:16">
      <c r="A28" s="238">
        <v>1937</v>
      </c>
      <c r="B28" s="239">
        <f>('[1]S&amp;P 500 &amp; Raw Data'!B13-'[1]S&amp;P 500 &amp; Raw Data'!B12+'[1]S&amp;P 500 &amp; Raw Data'!C13)/'[1]S&amp;P 500 &amp; Raw Data'!B12</f>
        <v>-0.35336728754365537</v>
      </c>
      <c r="C28" s="239">
        <f>'[1]T. Bill rates'!G16</f>
        <v>3.0250000000000003E-3</v>
      </c>
      <c r="D28" s="239">
        <f>'[1]S&amp;P 500 &amp; Raw Data'!F13</f>
        <v>1.379146059646038E-2</v>
      </c>
      <c r="E28" s="240">
        <f t="shared" si="0"/>
        <v>94.004667561917856</v>
      </c>
      <c r="F28" s="240">
        <f t="shared" si="0"/>
        <v>117.19433026640414</v>
      </c>
      <c r="G28" s="240">
        <f t="shared" si="0"/>
        <v>142.42559681966594</v>
      </c>
      <c r="H28" s="239">
        <f t="shared" si="1"/>
        <v>-0.35639228754365537</v>
      </c>
      <c r="I28" s="239">
        <f t="shared" si="2"/>
        <v>-0.36715874814011573</v>
      </c>
      <c r="J28" s="241"/>
    </row>
    <row r="29" spans="1:16">
      <c r="A29" s="238">
        <v>1938</v>
      </c>
      <c r="B29" s="239">
        <f>('[1]S&amp;P 500 &amp; Raw Data'!B14-'[1]S&amp;P 500 &amp; Raw Data'!B13+'[1]S&amp;P 500 &amp; Raw Data'!C14)/'[1]S&amp;P 500 &amp; Raw Data'!B13</f>
        <v>0.29282654028436017</v>
      </c>
      <c r="C29" s="239">
        <f>'[1]T. Bill rates'!G17</f>
        <v>7.7499999999999997E-4</v>
      </c>
      <c r="D29" s="239">
        <f>'[1]S&amp;P 500 &amp; Raw Data'!F14</f>
        <v>4.2132485322046068E-2</v>
      </c>
      <c r="E29" s="240">
        <f t="shared" si="0"/>
        <v>121.53172913465568</v>
      </c>
      <c r="F29" s="240">
        <f t="shared" si="0"/>
        <v>117.28515587236059</v>
      </c>
      <c r="G29" s="240">
        <f t="shared" si="0"/>
        <v>148.42634118715418</v>
      </c>
      <c r="H29" s="239">
        <f t="shared" si="1"/>
        <v>0.29205154028436014</v>
      </c>
      <c r="I29" s="239">
        <f t="shared" si="2"/>
        <v>0.25069405496231412</v>
      </c>
      <c r="J29" s="241"/>
    </row>
    <row r="30" spans="1:16">
      <c r="A30" s="238">
        <v>1939</v>
      </c>
      <c r="B30" s="239">
        <f>('[1]S&amp;P 500 &amp; Raw Data'!B15-'[1]S&amp;P 500 &amp; Raw Data'!B14+'[1]S&amp;P 500 &amp; Raw Data'!C15)/'[1]S&amp;P 500 &amp; Raw Data'!B14</f>
        <v>-1.0975646879756443E-2</v>
      </c>
      <c r="C30" s="239">
        <f>'[1]T. Bill rates'!G18</f>
        <v>3.7500000000000006E-4</v>
      </c>
      <c r="D30" s="239">
        <f>'[1]S&amp;P 500 &amp; Raw Data'!F15</f>
        <v>4.4122613942060671E-2</v>
      </c>
      <c r="E30" s="240">
        <f t="shared" si="0"/>
        <v>120.19783979098749</v>
      </c>
      <c r="F30" s="240">
        <f t="shared" si="0"/>
        <v>117.32913780581272</v>
      </c>
      <c r="G30" s="240">
        <f t="shared" si="0"/>
        <v>154.97529933818757</v>
      </c>
      <c r="H30" s="239">
        <f t="shared" si="1"/>
        <v>-1.1350646879756444E-2</v>
      </c>
      <c r="I30" s="239">
        <f t="shared" si="2"/>
        <v>-5.509826082181711E-2</v>
      </c>
      <c r="J30" s="241"/>
    </row>
    <row r="31" spans="1:16">
      <c r="A31" s="238">
        <v>1940</v>
      </c>
      <c r="B31" s="239">
        <f>('[1]S&amp;P 500 &amp; Raw Data'!B16-'[1]S&amp;P 500 &amp; Raw Data'!B15+'[1]S&amp;P 500 &amp; Raw Data'!C16)/'[1]S&amp;P 500 &amp; Raw Data'!B15</f>
        <v>-0.10672873194221515</v>
      </c>
      <c r="C31" s="239">
        <f>'[1]T. Bill rates'!G19</f>
        <v>2.5000000000000001E-4</v>
      </c>
      <c r="D31" s="239">
        <f>'[1]S&amp;P 500 &amp; Raw Data'!F16</f>
        <v>5.4024815962845509E-2</v>
      </c>
      <c r="E31" s="240">
        <f t="shared" si="0"/>
        <v>107.36927676790187</v>
      </c>
      <c r="F31" s="240">
        <f t="shared" si="0"/>
        <v>117.35847009026418</v>
      </c>
      <c r="G31" s="240">
        <f t="shared" si="0"/>
        <v>163.34781136372007</v>
      </c>
      <c r="H31" s="239">
        <f t="shared" si="1"/>
        <v>-0.10697873194221515</v>
      </c>
      <c r="I31" s="239">
        <f t="shared" si="2"/>
        <v>-0.16075354790506066</v>
      </c>
      <c r="J31" s="241"/>
    </row>
    <row r="32" spans="1:16">
      <c r="A32" s="238">
        <v>1941</v>
      </c>
      <c r="B32" s="239">
        <f>('[1]S&amp;P 500 &amp; Raw Data'!B17-'[1]S&amp;P 500 &amp; Raw Data'!B16+'[1]S&amp;P 500 &amp; Raw Data'!C17)/'[1]S&amp;P 500 &amp; Raw Data'!B16</f>
        <v>-0.12771455576559551</v>
      </c>
      <c r="C32" s="239">
        <f>'[1]T. Bill rates'!G20</f>
        <v>8.2499999999999989E-4</v>
      </c>
      <c r="D32" s="239">
        <f>'[1]S&amp;P 500 &amp; Raw Data'!F17</f>
        <v>-2.0221975848580105E-2</v>
      </c>
      <c r="E32" s="240">
        <f t="shared" si="0"/>
        <v>93.656657282615996</v>
      </c>
      <c r="F32" s="240">
        <f t="shared" si="0"/>
        <v>117.45529082808865</v>
      </c>
      <c r="G32" s="240">
        <f t="shared" si="0"/>
        <v>160.0445958674045</v>
      </c>
      <c r="H32" s="239">
        <f t="shared" si="1"/>
        <v>-0.1285395557655955</v>
      </c>
      <c r="I32" s="239">
        <f t="shared" si="2"/>
        <v>-0.10749257991701541</v>
      </c>
      <c r="J32" s="241"/>
    </row>
    <row r="33" spans="1:13">
      <c r="A33" s="238">
        <v>1942</v>
      </c>
      <c r="B33" s="239">
        <f>('[1]S&amp;P 500 &amp; Raw Data'!B18-'[1]S&amp;P 500 &amp; Raw Data'!B17+'[1]S&amp;P 500 &amp; Raw Data'!C18)/'[1]S&amp;P 500 &amp; Raw Data'!B17</f>
        <v>0.19173762945914843</v>
      </c>
      <c r="C33" s="239">
        <f>'[1]T. Bill rates'!G21</f>
        <v>3.3750000000000004E-3</v>
      </c>
      <c r="D33" s="239">
        <f>'[1]S&amp;P 500 &amp; Raw Data'!F18</f>
        <v>2.2948682374484164E-2</v>
      </c>
      <c r="E33" s="240">
        <f t="shared" si="0"/>
        <v>111.61416273305268</v>
      </c>
      <c r="F33" s="240">
        <f t="shared" si="0"/>
        <v>117.85170243463344</v>
      </c>
      <c r="G33" s="240">
        <f t="shared" si="0"/>
        <v>163.71740846371824</v>
      </c>
      <c r="H33" s="239">
        <f t="shared" si="1"/>
        <v>0.18836262945914845</v>
      </c>
      <c r="I33" s="239">
        <f t="shared" si="2"/>
        <v>0.16878894708466427</v>
      </c>
      <c r="J33" s="241"/>
    </row>
    <row r="34" spans="1:13">
      <c r="A34" s="238">
        <v>1943</v>
      </c>
      <c r="B34" s="239">
        <f>('[1]S&amp;P 500 &amp; Raw Data'!B19-'[1]S&amp;P 500 &amp; Raw Data'!B18+'[1]S&amp;P 500 &amp; Raw Data'!C19)/'[1]S&amp;P 500 &amp; Raw Data'!B18</f>
        <v>0.25061310133060394</v>
      </c>
      <c r="C34" s="239">
        <f>'[1]T. Bill rates'!G22</f>
        <v>3.8E-3</v>
      </c>
      <c r="D34" s="239">
        <f>'[1]S&amp;P 500 &amp; Raw Data'!F19</f>
        <v>2.4899999999999999E-2</v>
      </c>
      <c r="E34" s="240">
        <f t="shared" si="0"/>
        <v>139.58613420800171</v>
      </c>
      <c r="F34" s="240">
        <f t="shared" si="0"/>
        <v>118.29953890388505</v>
      </c>
      <c r="G34" s="240">
        <f t="shared" si="0"/>
        <v>167.79397193446482</v>
      </c>
      <c r="H34" s="239">
        <f t="shared" si="1"/>
        <v>0.24681310133060394</v>
      </c>
      <c r="I34" s="239">
        <f t="shared" si="2"/>
        <v>0.22571310133060393</v>
      </c>
      <c r="J34" s="241"/>
    </row>
    <row r="35" spans="1:13">
      <c r="A35" s="238">
        <v>1944</v>
      </c>
      <c r="B35" s="239">
        <f>('[1]S&amp;P 500 &amp; Raw Data'!B20-'[1]S&amp;P 500 &amp; Raw Data'!B19+'[1]S&amp;P 500 &amp; Raw Data'!C20)/'[1]S&amp;P 500 &amp; Raw Data'!B19</f>
        <v>0.19030676949443009</v>
      </c>
      <c r="C35" s="239">
        <f>'[1]T. Bill rates'!G23</f>
        <v>3.8E-3</v>
      </c>
      <c r="D35" s="239">
        <f>'[1]S&amp;P 500 &amp; Raw Data'!F20</f>
        <v>2.5776111579070303E-2</v>
      </c>
      <c r="E35" s="240">
        <f t="shared" si="0"/>
        <v>166.15032047534245</v>
      </c>
      <c r="F35" s="240">
        <f t="shared" si="0"/>
        <v>118.74907715171982</v>
      </c>
      <c r="G35" s="240">
        <f t="shared" si="0"/>
        <v>172.11904807734297</v>
      </c>
      <c r="H35" s="239">
        <f t="shared" si="1"/>
        <v>0.1865067694944301</v>
      </c>
      <c r="I35" s="239">
        <f t="shared" si="2"/>
        <v>0.16453065791535978</v>
      </c>
      <c r="J35" s="241"/>
    </row>
    <row r="36" spans="1:13">
      <c r="A36" s="238">
        <v>1945</v>
      </c>
      <c r="B36" s="239">
        <f>('[1]S&amp;P 500 &amp; Raw Data'!B21-'[1]S&amp;P 500 &amp; Raw Data'!B20+'[1]S&amp;P 500 &amp; Raw Data'!C21)/'[1]S&amp;P 500 &amp; Raw Data'!B20</f>
        <v>0.35821084337349401</v>
      </c>
      <c r="C36" s="239">
        <f>'[1]T. Bill rates'!G24</f>
        <v>3.8E-3</v>
      </c>
      <c r="D36" s="239">
        <f>'[1]S&amp;P 500 &amp; Raw Data'!F21</f>
        <v>3.8044173419237229E-2</v>
      </c>
      <c r="E36" s="240">
        <f t="shared" ref="E36:G51" si="3">E35*(1+B36)</f>
        <v>225.66716689959119</v>
      </c>
      <c r="F36" s="240">
        <f t="shared" si="3"/>
        <v>119.20032364489636</v>
      </c>
      <c r="G36" s="240">
        <f t="shared" si="3"/>
        <v>178.66717499115143</v>
      </c>
      <c r="H36" s="239">
        <f t="shared" si="1"/>
        <v>0.35441084337349399</v>
      </c>
      <c r="I36" s="239">
        <f t="shared" si="2"/>
        <v>0.3201666699542568</v>
      </c>
      <c r="J36" s="241"/>
      <c r="M36" s="242"/>
    </row>
    <row r="37" spans="1:13">
      <c r="A37" s="238">
        <v>1946</v>
      </c>
      <c r="B37" s="239">
        <f>('[1]S&amp;P 500 &amp; Raw Data'!B22-'[1]S&amp;P 500 &amp; Raw Data'!B21+'[1]S&amp;P 500 &amp; Raw Data'!C22)/'[1]S&amp;P 500 &amp; Raw Data'!B21</f>
        <v>-8.4291474654377807E-2</v>
      </c>
      <c r="C37" s="239">
        <f>'[1]T. Bill rates'!G25</f>
        <v>3.8E-3</v>
      </c>
      <c r="D37" s="239">
        <f>'[1]S&amp;P 500 &amp; Raw Data'!F22</f>
        <v>3.1283745375695685E-2</v>
      </c>
      <c r="E37" s="240">
        <f t="shared" si="3"/>
        <v>206.64534862054904</v>
      </c>
      <c r="F37" s="240">
        <f t="shared" si="3"/>
        <v>119.65328487474697</v>
      </c>
      <c r="G37" s="240">
        <f t="shared" si="3"/>
        <v>184.25655340056949</v>
      </c>
      <c r="H37" s="239">
        <f t="shared" si="1"/>
        <v>-8.8091474654377805E-2</v>
      </c>
      <c r="I37" s="239">
        <f t="shared" si="2"/>
        <v>-0.11557522003007349</v>
      </c>
      <c r="J37" s="241"/>
    </row>
    <row r="38" spans="1:13">
      <c r="A38" s="238">
        <v>1947</v>
      </c>
      <c r="B38" s="239">
        <f>('[1]S&amp;P 500 &amp; Raw Data'!B23-'[1]S&amp;P 500 &amp; Raw Data'!B22+'[1]S&amp;P 500 &amp; Raw Data'!C23)/'[1]S&amp;P 500 &amp; Raw Data'!B22</f>
        <v>5.1999999999999998E-2</v>
      </c>
      <c r="C38" s="239">
        <f>'[1]T. Bill rates'!G26</f>
        <v>5.6750000000000004E-3</v>
      </c>
      <c r="D38" s="239">
        <f>'[1]S&amp;P 500 &amp; Raw Data'!F23</f>
        <v>9.1969680628322358E-3</v>
      </c>
      <c r="E38" s="240">
        <f t="shared" si="3"/>
        <v>217.3909067488176</v>
      </c>
      <c r="F38" s="240">
        <f t="shared" si="3"/>
        <v>120.33231726641117</v>
      </c>
      <c r="G38" s="240">
        <f t="shared" si="3"/>
        <v>185.95115503756207</v>
      </c>
      <c r="H38" s="239">
        <f t="shared" si="1"/>
        <v>4.6324999999999998E-2</v>
      </c>
      <c r="I38" s="239">
        <f t="shared" si="2"/>
        <v>4.2803031937167765E-2</v>
      </c>
      <c r="J38" s="241"/>
    </row>
    <row r="39" spans="1:13">
      <c r="A39" s="238">
        <v>1948</v>
      </c>
      <c r="B39" s="239">
        <f>('[1]S&amp;P 500 &amp; Raw Data'!B24-'[1]S&amp;P 500 &amp; Raw Data'!B23+'[1]S&amp;P 500 &amp; Raw Data'!C24)/'[1]S&amp;P 500 &amp; Raw Data'!B23</f>
        <v>5.7045751633986834E-2</v>
      </c>
      <c r="C39" s="239">
        <f>'[1]T. Bill rates'!G27</f>
        <v>1.0225E-2</v>
      </c>
      <c r="D39" s="239">
        <f>'[1]S&amp;P 500 &amp; Raw Data'!F24</f>
        <v>1.9510369413175046E-2</v>
      </c>
      <c r="E39" s="240">
        <f t="shared" si="3"/>
        <v>229.79213442269784</v>
      </c>
      <c r="F39" s="240">
        <f t="shared" si="3"/>
        <v>121.56271521046021</v>
      </c>
      <c r="G39" s="240">
        <f t="shared" si="3"/>
        <v>189.57913076515149</v>
      </c>
      <c r="H39" s="239">
        <f t="shared" si="1"/>
        <v>4.6820751633986836E-2</v>
      </c>
      <c r="I39" s="239">
        <f t="shared" si="2"/>
        <v>3.7535382220811792E-2</v>
      </c>
      <c r="J39" s="241"/>
    </row>
    <row r="40" spans="1:13">
      <c r="A40" s="238">
        <v>1949</v>
      </c>
      <c r="B40" s="239">
        <f>('[1]S&amp;P 500 &amp; Raw Data'!B25-'[1]S&amp;P 500 &amp; Raw Data'!B24+'[1]S&amp;P 500 &amp; Raw Data'!C25)/'[1]S&amp;P 500 &amp; Raw Data'!B24</f>
        <v>0.18303223684210526</v>
      </c>
      <c r="C40" s="239">
        <f>'[1]T. Bill rates'!G28</f>
        <v>1.1025E-2</v>
      </c>
      <c r="D40" s="239">
        <f>'[1]S&amp;P 500 &amp; Raw Data'!F25</f>
        <v>4.6634851827973139E-2</v>
      </c>
      <c r="E40" s="240">
        <f t="shared" si="3"/>
        <v>271.85150279480598</v>
      </c>
      <c r="F40" s="240">
        <f t="shared" si="3"/>
        <v>122.90294414565554</v>
      </c>
      <c r="G40" s="240">
        <f t="shared" si="3"/>
        <v>198.42012543806027</v>
      </c>
      <c r="H40" s="239">
        <f t="shared" si="1"/>
        <v>0.17200723684210525</v>
      </c>
      <c r="I40" s="239">
        <f t="shared" si="2"/>
        <v>0.13639738501413212</v>
      </c>
      <c r="J40" s="241"/>
    </row>
    <row r="41" spans="1:13">
      <c r="A41" s="238">
        <v>1950</v>
      </c>
      <c r="B41" s="239">
        <f>('[1]S&amp;P 500 &amp; Raw Data'!B26-'[1]S&amp;P 500 &amp; Raw Data'!B25+'[1]S&amp;P 500 &amp; Raw Data'!C26)/'[1]S&amp;P 500 &amp; Raw Data'!B25</f>
        <v>0.30805539011316263</v>
      </c>
      <c r="C41" s="239">
        <f>'[1]T. Bill rates'!G29</f>
        <v>1.1724999999999999E-2</v>
      </c>
      <c r="D41" s="239">
        <f>'[1]S&amp;P 500 &amp; Raw Data'!F26</f>
        <v>4.2959574171096103E-3</v>
      </c>
      <c r="E41" s="240">
        <f t="shared" si="3"/>
        <v>355.59682354110947</v>
      </c>
      <c r="F41" s="240">
        <f t="shared" si="3"/>
        <v>124.34398116576335</v>
      </c>
      <c r="G41" s="240">
        <f t="shared" si="3"/>
        <v>199.2725298476397</v>
      </c>
      <c r="H41" s="239">
        <f t="shared" si="1"/>
        <v>0.29633039011316264</v>
      </c>
      <c r="I41" s="239">
        <f t="shared" si="2"/>
        <v>0.30375943269605304</v>
      </c>
      <c r="J41" s="241"/>
    </row>
    <row r="42" spans="1:13">
      <c r="A42" s="238">
        <v>1951</v>
      </c>
      <c r="B42" s="239">
        <f>('[1]S&amp;P 500 &amp; Raw Data'!B27-'[1]S&amp;P 500 &amp; Raw Data'!B26+'[1]S&amp;P 500 &amp; Raw Data'!C27)/'[1]S&amp;P 500 &amp; Raw Data'!B26</f>
        <v>0.23678463044542339</v>
      </c>
      <c r="C42" s="239">
        <f>'[1]T. Bill rates'!G30</f>
        <v>1.4775E-2</v>
      </c>
      <c r="D42" s="239">
        <f>'[1]S&amp;P 500 &amp; Raw Data'!F27</f>
        <v>-2.9531392208319886E-3</v>
      </c>
      <c r="E42" s="240">
        <f t="shared" si="3"/>
        <v>439.7966859908575</v>
      </c>
      <c r="F42" s="240">
        <f t="shared" si="3"/>
        <v>126.18116348748751</v>
      </c>
      <c r="G42" s="240">
        <f t="shared" si="3"/>
        <v>198.68405032411223</v>
      </c>
      <c r="H42" s="239">
        <f t="shared" si="1"/>
        <v>0.22200963044542338</v>
      </c>
      <c r="I42" s="239">
        <f t="shared" si="2"/>
        <v>0.23973776966625537</v>
      </c>
      <c r="J42" s="241"/>
    </row>
    <row r="43" spans="1:13">
      <c r="A43" s="238">
        <v>1952</v>
      </c>
      <c r="B43" s="239">
        <f>('[1]S&amp;P 500 &amp; Raw Data'!B28-'[1]S&amp;P 500 &amp; Raw Data'!B27+'[1]S&amp;P 500 &amp; Raw Data'!C28)/'[1]S&amp;P 500 &amp; Raw Data'!B27</f>
        <v>0.18150988641144306</v>
      </c>
      <c r="C43" s="239">
        <f>'[1]T. Bill rates'!G31</f>
        <v>1.6725E-2</v>
      </c>
      <c r="D43" s="239">
        <f>'[1]S&amp;P 500 &amp; Raw Data'!F28</f>
        <v>2.2679961918305656E-2</v>
      </c>
      <c r="E43" s="240">
        <f t="shared" si="3"/>
        <v>519.62413250918712</v>
      </c>
      <c r="F43" s="240">
        <f t="shared" si="3"/>
        <v>128.29154344681575</v>
      </c>
      <c r="G43" s="240">
        <f t="shared" si="3"/>
        <v>203.19019701923781</v>
      </c>
      <c r="H43" s="239">
        <f t="shared" si="1"/>
        <v>0.16478488641144307</v>
      </c>
      <c r="I43" s="239">
        <f t="shared" si="2"/>
        <v>0.1588299244931374</v>
      </c>
      <c r="J43" s="241"/>
    </row>
    <row r="44" spans="1:13">
      <c r="A44" s="238">
        <v>1953</v>
      </c>
      <c r="B44" s="239">
        <f>('[1]S&amp;P 500 &amp; Raw Data'!B29-'[1]S&amp;P 500 &amp; Raw Data'!B28+'[1]S&amp;P 500 &amp; Raw Data'!C29)/'[1]S&amp;P 500 &amp; Raw Data'!B28</f>
        <v>-1.2082047421904465E-2</v>
      </c>
      <c r="C44" s="239">
        <f>'[1]T. Bill rates'!G32</f>
        <v>1.8925000000000001E-2</v>
      </c>
      <c r="D44" s="239">
        <f>'[1]S&amp;P 500 &amp; Raw Data'!F29</f>
        <v>4.1438402589088513E-2</v>
      </c>
      <c r="E44" s="240">
        <f t="shared" si="3"/>
        <v>513.34600909864514</v>
      </c>
      <c r="F44" s="240">
        <f t="shared" si="3"/>
        <v>130.71946090654674</v>
      </c>
      <c r="G44" s="240">
        <f t="shared" si="3"/>
        <v>211.61007420547722</v>
      </c>
      <c r="H44" s="239">
        <f t="shared" si="1"/>
        <v>-3.1007047421904466E-2</v>
      </c>
      <c r="I44" s="239">
        <f t="shared" si="2"/>
        <v>-5.3520450010992981E-2</v>
      </c>
      <c r="J44" s="241"/>
    </row>
    <row r="45" spans="1:13">
      <c r="A45" s="238">
        <v>1954</v>
      </c>
      <c r="B45" s="239">
        <f>('[1]S&amp;P 500 &amp; Raw Data'!B30-'[1]S&amp;P 500 &amp; Raw Data'!B29+'[1]S&amp;P 500 &amp; Raw Data'!C30)/'[1]S&amp;P 500 &amp; Raw Data'!B29</f>
        <v>0.52563321241434902</v>
      </c>
      <c r="C45" s="239">
        <f>'[1]T. Bill rates'!G33</f>
        <v>9.6249999999999999E-3</v>
      </c>
      <c r="D45" s="239">
        <f>'[1]S&amp;P 500 &amp; Raw Data'!F30</f>
        <v>3.2898034558095555E-2</v>
      </c>
      <c r="E45" s="240">
        <f t="shared" si="3"/>
        <v>783.17772094125166</v>
      </c>
      <c r="F45" s="240">
        <f t="shared" si="3"/>
        <v>131.97763571777224</v>
      </c>
      <c r="G45" s="240">
        <f t="shared" si="3"/>
        <v>218.57162973953018</v>
      </c>
      <c r="H45" s="239">
        <f t="shared" si="1"/>
        <v>0.51600821241434902</v>
      </c>
      <c r="I45" s="239">
        <f t="shared" si="2"/>
        <v>0.49273517785625348</v>
      </c>
      <c r="J45" s="241"/>
    </row>
    <row r="46" spans="1:13">
      <c r="A46" s="238">
        <v>1955</v>
      </c>
      <c r="B46" s="239">
        <f>('[1]S&amp;P 500 &amp; Raw Data'!B31-'[1]S&amp;P 500 &amp; Raw Data'!B30+'[1]S&amp;P 500 &amp; Raw Data'!C31)/'[1]S&amp;P 500 &amp; Raw Data'!B30</f>
        <v>0.32597331851028349</v>
      </c>
      <c r="C46" s="239">
        <f>'[1]T. Bill rates'!G34</f>
        <v>1.66E-2</v>
      </c>
      <c r="D46" s="239">
        <f>'[1]S&amp;P 500 &amp; Raw Data'!F31</f>
        <v>-1.3364391288618781E-2</v>
      </c>
      <c r="E46" s="240">
        <f t="shared" si="3"/>
        <v>1038.4727616197922</v>
      </c>
      <c r="F46" s="240">
        <f t="shared" si="3"/>
        <v>134.16846447068727</v>
      </c>
      <c r="G46" s="240">
        <f t="shared" si="3"/>
        <v>215.65055295509998</v>
      </c>
      <c r="H46" s="239">
        <f t="shared" si="1"/>
        <v>0.30937331851028349</v>
      </c>
      <c r="I46" s="239">
        <f t="shared" si="2"/>
        <v>0.33933770979890227</v>
      </c>
      <c r="J46" s="241"/>
    </row>
    <row r="47" spans="1:13">
      <c r="A47" s="238">
        <v>1956</v>
      </c>
      <c r="B47" s="239">
        <f>('[1]S&amp;P 500 &amp; Raw Data'!B32-'[1]S&amp;P 500 &amp; Raw Data'!B31+'[1]S&amp;P 500 &amp; Raw Data'!C32)/'[1]S&amp;P 500 &amp; Raw Data'!B31</f>
        <v>7.4395118733509347E-2</v>
      </c>
      <c r="C47" s="239">
        <f>'[1]T. Bill rates'!G35</f>
        <v>2.5550000000000003E-2</v>
      </c>
      <c r="D47" s="239">
        <f>'[1]S&amp;P 500 &amp; Raw Data'!F32</f>
        <v>-2.2557738173154165E-2</v>
      </c>
      <c r="E47" s="240">
        <f t="shared" si="3"/>
        <v>1115.7300660220119</v>
      </c>
      <c r="F47" s="240">
        <f t="shared" si="3"/>
        <v>137.59646873791331</v>
      </c>
      <c r="G47" s="240">
        <f t="shared" si="3"/>
        <v>210.78596424464291</v>
      </c>
      <c r="H47" s="239">
        <f t="shared" si="1"/>
        <v>4.8845118733509343E-2</v>
      </c>
      <c r="I47" s="239">
        <f t="shared" si="2"/>
        <v>9.6952856906663512E-2</v>
      </c>
      <c r="J47" s="241"/>
    </row>
    <row r="48" spans="1:13">
      <c r="A48" s="238">
        <v>1957</v>
      </c>
      <c r="B48" s="239">
        <f>('[1]S&amp;P 500 &amp; Raw Data'!B33-'[1]S&amp;P 500 &amp; Raw Data'!B32+'[1]S&amp;P 500 &amp; Raw Data'!C33)/'[1]S&amp;P 500 &amp; Raw Data'!B32</f>
        <v>-0.1045736018855796</v>
      </c>
      <c r="C48" s="239">
        <f>'[1]T. Bill rates'!G36</f>
        <v>3.2300000000000002E-2</v>
      </c>
      <c r="D48" s="239">
        <f>'[1]S&amp;P 500 &amp; Raw Data'!F33</f>
        <v>6.7970128466249904E-2</v>
      </c>
      <c r="E48" s="240">
        <f t="shared" si="3"/>
        <v>999.05415428605454</v>
      </c>
      <c r="F48" s="240">
        <f t="shared" si="3"/>
        <v>142.04083467814792</v>
      </c>
      <c r="G48" s="240">
        <f t="shared" si="3"/>
        <v>225.11311331323367</v>
      </c>
      <c r="H48" s="239">
        <f t="shared" si="1"/>
        <v>-0.13687360188557959</v>
      </c>
      <c r="I48" s="239">
        <f t="shared" si="2"/>
        <v>-0.17254373035182952</v>
      </c>
      <c r="J48" s="241"/>
    </row>
    <row r="49" spans="1:16">
      <c r="A49" s="238">
        <v>1958</v>
      </c>
      <c r="B49" s="239">
        <f>('[1]S&amp;P 500 &amp; Raw Data'!B34-'[1]S&amp;P 500 &amp; Raw Data'!B33+'[1]S&amp;P 500 &amp; Raw Data'!C34)/'[1]S&amp;P 500 &amp; Raw Data'!B33</f>
        <v>0.43719954988747184</v>
      </c>
      <c r="C49" s="239">
        <f>'[1]T. Bill rates'!G37</f>
        <v>1.7774999999999999E-2</v>
      </c>
      <c r="D49" s="239">
        <f>'[1]S&amp;P 500 &amp; Raw Data'!F34</f>
        <v>-2.0990181755274694E-2</v>
      </c>
      <c r="E49" s="240">
        <f t="shared" si="3"/>
        <v>1435.8401808531264</v>
      </c>
      <c r="F49" s="240">
        <f t="shared" si="3"/>
        <v>144.56561051455202</v>
      </c>
      <c r="G49" s="240">
        <f t="shared" si="3"/>
        <v>220.38794814929315</v>
      </c>
      <c r="H49" s="239">
        <f t="shared" si="1"/>
        <v>0.41942454988747185</v>
      </c>
      <c r="I49" s="239">
        <f t="shared" si="2"/>
        <v>0.45818973164274651</v>
      </c>
      <c r="J49" s="241"/>
    </row>
    <row r="50" spans="1:16">
      <c r="A50" s="238">
        <v>1959</v>
      </c>
      <c r="B50" s="239">
        <f>('[1]S&amp;P 500 &amp; Raw Data'!B35-'[1]S&amp;P 500 &amp; Raw Data'!B34+'[1]S&amp;P 500 &amp; Raw Data'!C35)/'[1]S&amp;P 500 &amp; Raw Data'!B34</f>
        <v>0.12056457163557326</v>
      </c>
      <c r="C50" s="239">
        <f>'[1]T. Bill rates'!G38</f>
        <v>3.2549999999999996E-2</v>
      </c>
      <c r="D50" s="239">
        <f>'[1]S&amp;P 500 &amp; Raw Data'!F35</f>
        <v>-2.6466312591385065E-2</v>
      </c>
      <c r="E50" s="240">
        <f t="shared" si="3"/>
        <v>1608.9516371948275</v>
      </c>
      <c r="F50" s="240">
        <f t="shared" si="3"/>
        <v>149.2712211368007</v>
      </c>
      <c r="G50" s="240">
        <f t="shared" si="3"/>
        <v>214.55509182219998</v>
      </c>
      <c r="H50" s="239">
        <f t="shared" si="1"/>
        <v>8.801457163557326E-2</v>
      </c>
      <c r="I50" s="239">
        <f t="shared" si="2"/>
        <v>0.14703088422695831</v>
      </c>
      <c r="J50" s="241"/>
    </row>
    <row r="51" spans="1:16">
      <c r="A51" s="238">
        <v>1960</v>
      </c>
      <c r="B51" s="239">
        <f>('[1]S&amp;P 500 &amp; Raw Data'!B36-'[1]S&amp;P 500 &amp; Raw Data'!B35+'[1]S&amp;P 500 &amp; Raw Data'!C36)/'[1]S&amp;P 500 &amp; Raw Data'!B35</f>
        <v>3.36535314743695E-3</v>
      </c>
      <c r="C51" s="239">
        <f>'[1]T. Bill rates'!G39</f>
        <v>3.0449999999999998E-2</v>
      </c>
      <c r="D51" s="239">
        <f>'[1]S&amp;P 500 &amp; Raw Data'!F36</f>
        <v>0.11639503690963365</v>
      </c>
      <c r="E51" s="240">
        <f t="shared" si="3"/>
        <v>1614.366327651135</v>
      </c>
      <c r="F51" s="240">
        <f t="shared" si="3"/>
        <v>153.81652982041629</v>
      </c>
      <c r="G51" s="240">
        <f t="shared" si="3"/>
        <v>239.52823965399477</v>
      </c>
      <c r="H51" s="239">
        <f t="shared" si="1"/>
        <v>-2.7084646852563048E-2</v>
      </c>
      <c r="I51" s="239">
        <f t="shared" si="2"/>
        <v>-0.1130296837621967</v>
      </c>
      <c r="J51" s="243">
        <f>((E51/100)^(1/(A51-$A$19+1)))-((G51/100)^(1/(A51-$A$19+1)))</f>
        <v>6.1119788031217315E-2</v>
      </c>
      <c r="L51" s="244">
        <f>(E51/E41)^(1/COUNT(A42:A51))-1</f>
        <v>0.16333400172590329</v>
      </c>
      <c r="M51" s="244">
        <f>(G51/G41)^(1/COUNT(A42:A51))-1</f>
        <v>1.8570112834956465E-2</v>
      </c>
      <c r="N51" s="245">
        <f>L51-M51</f>
        <v>0.14476388889094682</v>
      </c>
      <c r="P51" s="246">
        <f t="shared" ref="P51:P105" si="4">(E41*(1+L51)^10)-E51</f>
        <v>0</v>
      </c>
    </row>
    <row r="52" spans="1:16">
      <c r="A52" s="238">
        <v>1961</v>
      </c>
      <c r="B52" s="239">
        <f>('[1]S&amp;P 500 &amp; Raw Data'!B37-'[1]S&amp;P 500 &amp; Raw Data'!B36+'[1]S&amp;P 500 &amp; Raw Data'!C37)/'[1]S&amp;P 500 &amp; Raw Data'!B36</f>
        <v>0.26637712958182752</v>
      </c>
      <c r="C52" s="239">
        <f>'[1]T. Bill rates'!G40</f>
        <v>2.2675000000000001E-2</v>
      </c>
      <c r="D52" s="239">
        <f>'[1]S&amp;P 500 &amp; Raw Data'!F37</f>
        <v>2.0609208076323167E-2</v>
      </c>
      <c r="E52" s="240">
        <f t="shared" ref="E52:G67" si="5">E51*(1+B52)</f>
        <v>2044.3965961044005</v>
      </c>
      <c r="F52" s="240">
        <f t="shared" si="5"/>
        <v>157.30431963409424</v>
      </c>
      <c r="G52" s="240">
        <f t="shared" si="5"/>
        <v>244.46472698517934</v>
      </c>
      <c r="H52" s="239">
        <f t="shared" si="1"/>
        <v>0.24370212958182752</v>
      </c>
      <c r="I52" s="239">
        <f t="shared" si="2"/>
        <v>0.24576792150550436</v>
      </c>
      <c r="J52" s="243">
        <f>((E52/100)^(1/(A52-$A$19+1)))-((G52/100)^(1/(A52-$A$19+1)))</f>
        <v>6.6173591829972622E-2</v>
      </c>
      <c r="L52" s="244">
        <f t="shared" ref="L52:L106" si="6">(E52/E42)^(1/COUNT(A43:A52))-1</f>
        <v>0.16608798265954072</v>
      </c>
      <c r="M52" s="244">
        <f t="shared" ref="M52:M106" si="7">(G52/G42)^(1/COUNT(A43:A52))-1</f>
        <v>2.0951990091648387E-2</v>
      </c>
      <c r="N52" s="245">
        <f t="shared" ref="N52:N105" si="8">L52-M52</f>
        <v>0.14513599256789234</v>
      </c>
      <c r="P52" s="246">
        <f t="shared" si="4"/>
        <v>0</v>
      </c>
    </row>
    <row r="53" spans="1:16">
      <c r="A53" s="238">
        <v>1962</v>
      </c>
      <c r="B53" s="239">
        <f>('[1]S&amp;P 500 &amp; Raw Data'!B38-'[1]S&amp;P 500 &amp; Raw Data'!B37+'[1]S&amp;P 500 &amp; Raw Data'!C38)/'[1]S&amp;P 500 &amp; Raw Data'!B37</f>
        <v>-8.8114605171208879E-2</v>
      </c>
      <c r="C53" s="239">
        <f>'[1]T. Bill rates'!G41</f>
        <v>2.7775000000000005E-2</v>
      </c>
      <c r="D53" s="239">
        <f>'[1]S&amp;P 500 &amp; Raw Data'!F38</f>
        <v>5.693544054008462E-2</v>
      </c>
      <c r="E53" s="240">
        <f t="shared" si="5"/>
        <v>1864.2553972252979</v>
      </c>
      <c r="F53" s="240">
        <f t="shared" si="5"/>
        <v>161.67344711193124</v>
      </c>
      <c r="G53" s="240">
        <f t="shared" si="5"/>
        <v>258.38343391259201</v>
      </c>
      <c r="H53" s="239">
        <f t="shared" si="1"/>
        <v>-0.11588960517120889</v>
      </c>
      <c r="I53" s="239">
        <f t="shared" si="2"/>
        <v>-0.14505004571129348</v>
      </c>
      <c r="J53" s="243">
        <f t="shared" ref="J53:J106" si="9">((E53/100)^(1/(A53-$A$19+1)))-((G53/100)^(1/(A53-$A$19+1)))</f>
        <v>5.9683465378989942E-2</v>
      </c>
      <c r="L53" s="244">
        <f t="shared" si="6"/>
        <v>0.13627018092538434</v>
      </c>
      <c r="M53" s="244">
        <f t="shared" si="7"/>
        <v>2.4321271191052318E-2</v>
      </c>
      <c r="N53" s="245">
        <f t="shared" si="8"/>
        <v>0.11194890973433202</v>
      </c>
      <c r="P53" s="246">
        <f t="shared" si="4"/>
        <v>0</v>
      </c>
    </row>
    <row r="54" spans="1:16">
      <c r="A54" s="238">
        <v>1963</v>
      </c>
      <c r="B54" s="239">
        <f>('[1]S&amp;P 500 &amp; Raw Data'!B39-'[1]S&amp;P 500 &amp; Raw Data'!B38+'[1]S&amp;P 500 &amp; Raw Data'!C39)/'[1]S&amp;P 500 &amp; Raw Data'!B38</f>
        <v>0.22611927099841514</v>
      </c>
      <c r="C54" s="239">
        <f>'[1]T. Bill rates'!G42</f>
        <v>3.1100000000000003E-2</v>
      </c>
      <c r="D54" s="239">
        <f>'[1]S&amp;P 500 &amp; Raw Data'!F39</f>
        <v>1.6841620739546127E-2</v>
      </c>
      <c r="E54" s="240">
        <f t="shared" si="5"/>
        <v>2285.7994686007432</v>
      </c>
      <c r="F54" s="240">
        <f t="shared" si="5"/>
        <v>166.70149131711227</v>
      </c>
      <c r="G54" s="240">
        <f t="shared" si="5"/>
        <v>262.73502971192949</v>
      </c>
      <c r="H54" s="239">
        <f t="shared" si="1"/>
        <v>0.19501927099841515</v>
      </c>
      <c r="I54" s="239">
        <f t="shared" si="2"/>
        <v>0.20927765025886902</v>
      </c>
      <c r="J54" s="243">
        <f t="shared" si="9"/>
        <v>6.3618993911514821E-2</v>
      </c>
      <c r="L54" s="244">
        <f t="shared" si="6"/>
        <v>0.16108173638813206</v>
      </c>
      <c r="M54" s="244">
        <f t="shared" si="7"/>
        <v>2.1875916946730189E-2</v>
      </c>
      <c r="N54" s="245">
        <f t="shared" si="8"/>
        <v>0.13920581944140187</v>
      </c>
      <c r="P54" s="246">
        <f t="shared" si="4"/>
        <v>0</v>
      </c>
    </row>
    <row r="55" spans="1:16">
      <c r="A55" s="238">
        <v>1964</v>
      </c>
      <c r="B55" s="239">
        <f>('[1]S&amp;P 500 &amp; Raw Data'!B40-'[1]S&amp;P 500 &amp; Raw Data'!B39+'[1]S&amp;P 500 &amp; Raw Data'!C40)/'[1]S&amp;P 500 &amp; Raw Data'!B39</f>
        <v>0.16415455878432425</v>
      </c>
      <c r="C55" s="239">
        <f>'[1]T. Bill rates'!G43</f>
        <v>3.5049999999999998E-2</v>
      </c>
      <c r="D55" s="239">
        <f>'[1]S&amp;P 500 &amp; Raw Data'!F40</f>
        <v>3.7280648911540815E-2</v>
      </c>
      <c r="E55" s="240">
        <f t="shared" si="5"/>
        <v>2661.0238718383412</v>
      </c>
      <c r="F55" s="240">
        <f t="shared" si="5"/>
        <v>172.54437858777706</v>
      </c>
      <c r="G55" s="240">
        <f t="shared" si="5"/>
        <v>272.52996211138321</v>
      </c>
      <c r="H55" s="239">
        <f t="shared" si="1"/>
        <v>0.12910455878432425</v>
      </c>
      <c r="I55" s="239">
        <f t="shared" si="2"/>
        <v>0.12687390987278344</v>
      </c>
      <c r="J55" s="243">
        <f t="shared" si="9"/>
        <v>6.5267777442658215E-2</v>
      </c>
      <c r="L55" s="244">
        <f t="shared" si="6"/>
        <v>0.13010512540866048</v>
      </c>
      <c r="M55" s="244">
        <f t="shared" si="7"/>
        <v>2.2308676015299733E-2</v>
      </c>
      <c r="N55" s="245">
        <f t="shared" si="8"/>
        <v>0.10779644939336075</v>
      </c>
      <c r="P55" s="246">
        <f t="shared" si="4"/>
        <v>0</v>
      </c>
    </row>
    <row r="56" spans="1:16">
      <c r="A56" s="238">
        <v>1965</v>
      </c>
      <c r="B56" s="239">
        <f>('[1]S&amp;P 500 &amp; Raw Data'!B41-'[1]S&amp;P 500 &amp; Raw Data'!B40+'[1]S&amp;P 500 &amp; Raw Data'!C41)/'[1]S&amp;P 500 &amp; Raw Data'!B40</f>
        <v>0.12399242477876114</v>
      </c>
      <c r="C56" s="239">
        <f>'[1]T. Bill rates'!G44</f>
        <v>3.9024999999999997E-2</v>
      </c>
      <c r="D56" s="239">
        <f>'[1]S&amp;P 500 &amp; Raw Data'!F41</f>
        <v>7.1885509359262342E-3</v>
      </c>
      <c r="E56" s="240">
        <f t="shared" si="5"/>
        <v>2990.9706741017444</v>
      </c>
      <c r="F56" s="240">
        <f t="shared" si="5"/>
        <v>179.27792296216506</v>
      </c>
      <c r="G56" s="240">
        <f t="shared" si="5"/>
        <v>274.48905762558695</v>
      </c>
      <c r="H56" s="239">
        <f t="shared" si="1"/>
        <v>8.4967424778761153E-2</v>
      </c>
      <c r="I56" s="239">
        <f t="shared" si="2"/>
        <v>0.11680387384283492</v>
      </c>
      <c r="J56" s="243">
        <f t="shared" si="9"/>
        <v>6.6617941689874449E-2</v>
      </c>
      <c r="L56" s="244">
        <f t="shared" si="6"/>
        <v>0.11158250917984969</v>
      </c>
      <c r="M56" s="244">
        <f t="shared" si="7"/>
        <v>2.4418578335446028E-2</v>
      </c>
      <c r="N56" s="245">
        <f t="shared" si="8"/>
        <v>8.7163930844403659E-2</v>
      </c>
      <c r="P56" s="246">
        <f t="shared" si="4"/>
        <v>0</v>
      </c>
    </row>
    <row r="57" spans="1:16">
      <c r="A57" s="238">
        <v>1966</v>
      </c>
      <c r="B57" s="239">
        <f>('[1]S&amp;P 500 &amp; Raw Data'!B42-'[1]S&amp;P 500 &amp; Raw Data'!B41+'[1]S&amp;P 500 &amp; Raw Data'!C42)/'[1]S&amp;P 500 &amp; Raw Data'!B41</f>
        <v>-9.9709542356377898E-2</v>
      </c>
      <c r="C57" s="239">
        <f>'[1]T. Bill rates'!G45</f>
        <v>4.8399999999999999E-2</v>
      </c>
      <c r="D57" s="239">
        <f>'[1]S&amp;P 500 &amp; Raw Data'!F42</f>
        <v>2.9079409324299622E-2</v>
      </c>
      <c r="E57" s="240">
        <f t="shared" si="5"/>
        <v>2692.7423569857124</v>
      </c>
      <c r="F57" s="240">
        <f t="shared" si="5"/>
        <v>187.95497443353386</v>
      </c>
      <c r="G57" s="240">
        <f t="shared" si="5"/>
        <v>282.47103728732264</v>
      </c>
      <c r="H57" s="239">
        <f t="shared" si="1"/>
        <v>-0.14810954235637791</v>
      </c>
      <c r="I57" s="239">
        <f t="shared" si="2"/>
        <v>-0.12878895168067753</v>
      </c>
      <c r="J57" s="243">
        <f t="shared" si="9"/>
        <v>6.1123719679815336E-2</v>
      </c>
      <c r="L57" s="244">
        <f t="shared" si="6"/>
        <v>9.2102915614247216E-2</v>
      </c>
      <c r="M57" s="244">
        <f t="shared" si="7"/>
        <v>2.9705953173956301E-2</v>
      </c>
      <c r="N57" s="245">
        <f t="shared" si="8"/>
        <v>6.2396962440290915E-2</v>
      </c>
      <c r="P57" s="246">
        <f t="shared" si="4"/>
        <v>0</v>
      </c>
    </row>
    <row r="58" spans="1:16">
      <c r="A58" s="238">
        <v>1967</v>
      </c>
      <c r="B58" s="239">
        <f>('[1]S&amp;P 500 &amp; Raw Data'!B43-'[1]S&amp;P 500 &amp; Raw Data'!B42+'[1]S&amp;P 500 &amp; Raw Data'!C43)/'[1]S&amp;P 500 &amp; Raw Data'!B42</f>
        <v>0.23802966513133328</v>
      </c>
      <c r="C58" s="239">
        <f>'[1]T. Bill rates'!G46</f>
        <v>4.3324999999999995E-2</v>
      </c>
      <c r="D58" s="239">
        <f>'[1]S&amp;P 500 &amp; Raw Data'!F43</f>
        <v>-1.5806209932824666E-2</v>
      </c>
      <c r="E58" s="240">
        <f t="shared" si="5"/>
        <v>3333.6949185039784</v>
      </c>
      <c r="F58" s="240">
        <f t="shared" si="5"/>
        <v>196.09812370086672</v>
      </c>
      <c r="G58" s="240">
        <f t="shared" si="5"/>
        <v>278.0062407720165</v>
      </c>
      <c r="H58" s="239">
        <f t="shared" si="1"/>
        <v>0.19470466513133328</v>
      </c>
      <c r="I58" s="239">
        <f t="shared" si="2"/>
        <v>0.25383587506415795</v>
      </c>
      <c r="J58" s="243">
        <f t="shared" si="9"/>
        <v>6.5732838776739522E-2</v>
      </c>
      <c r="L58" s="244">
        <f t="shared" si="6"/>
        <v>0.12806385072920157</v>
      </c>
      <c r="M58" s="244">
        <f t="shared" si="7"/>
        <v>2.13283215036153E-2</v>
      </c>
      <c r="N58" s="245">
        <f t="shared" si="8"/>
        <v>0.10673552922558627</v>
      </c>
      <c r="P58" s="246">
        <f t="shared" si="4"/>
        <v>0</v>
      </c>
    </row>
    <row r="59" spans="1:16">
      <c r="A59" s="238">
        <v>1968</v>
      </c>
      <c r="B59" s="239">
        <f>('[1]S&amp;P 500 &amp; Raw Data'!B44-'[1]S&amp;P 500 &amp; Raw Data'!B43+'[1]S&amp;P 500 &amp; Raw Data'!C44)/'[1]S&amp;P 500 &amp; Raw Data'!B43</f>
        <v>0.10814862651601535</v>
      </c>
      <c r="C59" s="239">
        <f>'[1]T. Bill rates'!G47</f>
        <v>5.2600000000000001E-2</v>
      </c>
      <c r="D59" s="239">
        <f>'[1]S&amp;P 500 &amp; Raw Data'!F44</f>
        <v>3.2746196950768365E-2</v>
      </c>
      <c r="E59" s="240">
        <f t="shared" si="5"/>
        <v>3694.2294451636035</v>
      </c>
      <c r="F59" s="240">
        <f t="shared" si="5"/>
        <v>206.41288500753231</v>
      </c>
      <c r="G59" s="240">
        <f t="shared" si="5"/>
        <v>287.10988788587969</v>
      </c>
      <c r="H59" s="239">
        <f t="shared" si="1"/>
        <v>5.5548626516015352E-2</v>
      </c>
      <c r="I59" s="239">
        <f t="shared" si="2"/>
        <v>7.5402429565246981E-2</v>
      </c>
      <c r="J59" s="243">
        <f t="shared" si="9"/>
        <v>6.596627828748769E-2</v>
      </c>
      <c r="L59" s="244">
        <f t="shared" si="6"/>
        <v>9.9111561723333574E-2</v>
      </c>
      <c r="M59" s="244">
        <f t="shared" si="7"/>
        <v>2.680040382860116E-2</v>
      </c>
      <c r="N59" s="245">
        <f t="shared" si="8"/>
        <v>7.2311157894732414E-2</v>
      </c>
      <c r="P59" s="246">
        <f t="shared" si="4"/>
        <v>0</v>
      </c>
    </row>
    <row r="60" spans="1:16">
      <c r="A60" s="238">
        <v>1969</v>
      </c>
      <c r="B60" s="239">
        <f>('[1]S&amp;P 500 &amp; Raw Data'!B45-'[1]S&amp;P 500 &amp; Raw Data'!B44+'[1]S&amp;P 500 &amp; Raw Data'!C45)/'[1]S&amp;P 500 &amp; Raw Data'!B44</f>
        <v>-8.2413710764490639E-2</v>
      </c>
      <c r="C60" s="239">
        <f>'[1]T. Bill rates'!G48</f>
        <v>6.5625000000000003E-2</v>
      </c>
      <c r="D60" s="239">
        <f>'[1]S&amp;P 500 &amp; Raw Data'!F45</f>
        <v>-5.0140493209926106E-2</v>
      </c>
      <c r="E60" s="240">
        <f t="shared" si="5"/>
        <v>3389.7742881722256</v>
      </c>
      <c r="F60" s="240">
        <f t="shared" si="5"/>
        <v>219.95873058615163</v>
      </c>
      <c r="G60" s="240">
        <f t="shared" si="5"/>
        <v>272.7140565018351</v>
      </c>
      <c r="H60" s="239">
        <f t="shared" si="1"/>
        <v>-0.14803871076449066</v>
      </c>
      <c r="I60" s="239">
        <f t="shared" si="2"/>
        <v>-3.2273217554564533E-2</v>
      </c>
      <c r="J60" s="243">
        <f t="shared" si="9"/>
        <v>6.3333872734198771E-2</v>
      </c>
      <c r="L60" s="244">
        <f t="shared" si="6"/>
        <v>7.7364792758599421E-2</v>
      </c>
      <c r="M60" s="244">
        <f t="shared" si="7"/>
        <v>2.4275700395091304E-2</v>
      </c>
      <c r="N60" s="245">
        <f t="shared" si="8"/>
        <v>5.3089092363508117E-2</v>
      </c>
      <c r="P60" s="246">
        <f t="shared" si="4"/>
        <v>0</v>
      </c>
    </row>
    <row r="61" spans="1:16">
      <c r="A61" s="238">
        <v>1970</v>
      </c>
      <c r="B61" s="239">
        <f>('[1]S&amp;P 500 &amp; Raw Data'!B46-'[1]S&amp;P 500 &amp; Raw Data'!B45+'[1]S&amp;P 500 &amp; Raw Data'!C46)/'[1]S&amp;P 500 &amp; Raw Data'!B45</f>
        <v>3.5611449054964189E-2</v>
      </c>
      <c r="C61" s="239">
        <f>'[1]T. Bill rates'!G49</f>
        <v>6.6849999999999993E-2</v>
      </c>
      <c r="D61" s="239">
        <f>'[1]S&amp;P 500 &amp; Raw Data'!F46</f>
        <v>0.16754737183412338</v>
      </c>
      <c r="E61" s="240">
        <f t="shared" si="5"/>
        <v>3510.4890625432981</v>
      </c>
      <c r="F61" s="240">
        <f t="shared" si="5"/>
        <v>234.66297172583589</v>
      </c>
      <c r="G61" s="240">
        <f t="shared" si="5"/>
        <v>318.40657993094021</v>
      </c>
      <c r="H61" s="239">
        <f t="shared" si="1"/>
        <v>-3.1238550945035803E-2</v>
      </c>
      <c r="I61" s="239">
        <f t="shared" si="2"/>
        <v>-0.13193592277915919</v>
      </c>
      <c r="J61" s="243">
        <f t="shared" si="9"/>
        <v>5.8972566666315007E-2</v>
      </c>
      <c r="L61" s="244">
        <f t="shared" si="6"/>
        <v>8.0778143450312978E-2</v>
      </c>
      <c r="M61" s="244">
        <f t="shared" si="7"/>
        <v>2.8874801991952914E-2</v>
      </c>
      <c r="N61" s="245">
        <f t="shared" si="8"/>
        <v>5.1903341458360064E-2</v>
      </c>
      <c r="P61" s="246">
        <f t="shared" si="4"/>
        <v>0</v>
      </c>
    </row>
    <row r="62" spans="1:16">
      <c r="A62" s="238">
        <v>1971</v>
      </c>
      <c r="B62" s="239">
        <f>('[1]S&amp;P 500 &amp; Raw Data'!B47-'[1]S&amp;P 500 &amp; Raw Data'!B46+'[1]S&amp;P 500 &amp; Raw Data'!C47)/'[1]S&amp;P 500 &amp; Raw Data'!B46</f>
        <v>0.14221150298426474</v>
      </c>
      <c r="C62" s="239">
        <f>'[1]T. Bill rates'!G50</f>
        <v>4.5400000000000003E-2</v>
      </c>
      <c r="D62" s="239">
        <f>'[1]S&amp;P 500 &amp; Raw Data'!F47</f>
        <v>9.7868966197122972E-2</v>
      </c>
      <c r="E62" s="240">
        <f t="shared" si="5"/>
        <v>4009.720988337403</v>
      </c>
      <c r="F62" s="240">
        <f t="shared" si="5"/>
        <v>245.31667064218885</v>
      </c>
      <c r="G62" s="240">
        <f t="shared" si="5"/>
        <v>349.56870273914296</v>
      </c>
      <c r="H62" s="239">
        <f t="shared" si="1"/>
        <v>9.6811502984264747E-2</v>
      </c>
      <c r="I62" s="239">
        <f t="shared" si="2"/>
        <v>4.434253678714177E-2</v>
      </c>
      <c r="J62" s="243">
        <f t="shared" si="9"/>
        <v>5.8660636809878541E-2</v>
      </c>
      <c r="L62" s="244">
        <f t="shared" si="6"/>
        <v>6.9682523780437933E-2</v>
      </c>
      <c r="M62" s="244">
        <f t="shared" si="7"/>
        <v>3.6410093244055197E-2</v>
      </c>
      <c r="N62" s="245">
        <f t="shared" si="8"/>
        <v>3.3272430536382736E-2</v>
      </c>
      <c r="P62" s="246">
        <f t="shared" si="4"/>
        <v>-4.5474735088646412E-12</v>
      </c>
    </row>
    <row r="63" spans="1:16">
      <c r="A63" s="238">
        <v>1972</v>
      </c>
      <c r="B63" s="239">
        <f>('[1]S&amp;P 500 &amp; Raw Data'!B48-'[1]S&amp;P 500 &amp; Raw Data'!B47+'[1]S&amp;P 500 &amp; Raw Data'!C48)/'[1]S&amp;P 500 &amp; Raw Data'!B47</f>
        <v>0.18755362915074925</v>
      </c>
      <c r="C63" s="239">
        <f>'[1]T. Bill rates'!G51</f>
        <v>3.9525000000000005E-2</v>
      </c>
      <c r="D63" s="239">
        <f>'[1]S&amp;P 500 &amp; Raw Data'!F48</f>
        <v>2.818449050444969E-2</v>
      </c>
      <c r="E63" s="240">
        <f t="shared" si="5"/>
        <v>4761.7587115820115</v>
      </c>
      <c r="F63" s="240">
        <f t="shared" si="5"/>
        <v>255.01281204932138</v>
      </c>
      <c r="G63" s="240">
        <f t="shared" si="5"/>
        <v>359.42111852214714</v>
      </c>
      <c r="H63" s="239">
        <f t="shared" si="1"/>
        <v>0.14802862915074924</v>
      </c>
      <c r="I63" s="239">
        <f t="shared" si="2"/>
        <v>0.15936913864629956</v>
      </c>
      <c r="J63" s="243">
        <f t="shared" si="9"/>
        <v>6.0804303728189568E-2</v>
      </c>
      <c r="L63" s="244">
        <f t="shared" si="6"/>
        <v>9.8313185889873145E-2</v>
      </c>
      <c r="M63" s="244">
        <f t="shared" si="7"/>
        <v>3.3555714604681874E-2</v>
      </c>
      <c r="N63" s="245">
        <f t="shared" si="8"/>
        <v>6.475747128519127E-2</v>
      </c>
      <c r="P63" s="246">
        <f t="shared" si="4"/>
        <v>0</v>
      </c>
    </row>
    <row r="64" spans="1:16">
      <c r="A64" s="238">
        <v>1973</v>
      </c>
      <c r="B64" s="239">
        <f>('[1]S&amp;P 500 &amp; Raw Data'!B49-'[1]S&amp;P 500 &amp; Raw Data'!B48+'[1]S&amp;P 500 &amp; Raw Data'!C49)/'[1]S&amp;P 500 &amp; Raw Data'!B48</f>
        <v>-0.14308047437526472</v>
      </c>
      <c r="C64" s="239">
        <f>'[1]T. Bill rates'!G52</f>
        <v>6.724999999999999E-2</v>
      </c>
      <c r="D64" s="239">
        <f>'[1]S&amp;P 500 &amp; Raw Data'!F49</f>
        <v>3.6586646024150085E-2</v>
      </c>
      <c r="E64" s="240">
        <f t="shared" si="5"/>
        <v>4080.4440162683081</v>
      </c>
      <c r="F64" s="240">
        <f t="shared" si="5"/>
        <v>272.16242365963825</v>
      </c>
      <c r="G64" s="240">
        <f t="shared" si="5"/>
        <v>372.57113175912104</v>
      </c>
      <c r="H64" s="239">
        <f t="shared" si="1"/>
        <v>-0.2103304743752647</v>
      </c>
      <c r="I64" s="239">
        <f t="shared" si="2"/>
        <v>-0.17966712039941479</v>
      </c>
      <c r="J64" s="243">
        <f t="shared" si="9"/>
        <v>5.4960045718843054E-2</v>
      </c>
      <c r="L64" s="244">
        <f t="shared" si="6"/>
        <v>5.9660948445576123E-2</v>
      </c>
      <c r="M64" s="244">
        <f t="shared" si="7"/>
        <v>3.554534823747324E-2</v>
      </c>
      <c r="N64" s="245">
        <f t="shared" si="8"/>
        <v>2.4115600208102883E-2</v>
      </c>
      <c r="P64" s="246">
        <f t="shared" si="4"/>
        <v>0</v>
      </c>
    </row>
    <row r="65" spans="1:16">
      <c r="A65" s="238">
        <v>1974</v>
      </c>
      <c r="B65" s="239">
        <f>('[1]S&amp;P 500 &amp; Raw Data'!B50-'[1]S&amp;P 500 &amp; Raw Data'!B49+'[1]S&amp;P 500 &amp; Raw Data'!C50)/'[1]S&amp;P 500 &amp; Raw Data'!B49</f>
        <v>-0.25901785750896972</v>
      </c>
      <c r="C65" s="239">
        <f>'[1]T. Bill rates'!G53</f>
        <v>7.7775000000000011E-2</v>
      </c>
      <c r="D65" s="239">
        <f>'[1]S&amp;P 500 &amp; Raw Data'!F50</f>
        <v>1.9886086932378574E-2</v>
      </c>
      <c r="E65" s="240">
        <f t="shared" si="5"/>
        <v>3023.5361494891954</v>
      </c>
      <c r="F65" s="240">
        <f t="shared" si="5"/>
        <v>293.32985615976662</v>
      </c>
      <c r="G65" s="240">
        <f t="shared" si="5"/>
        <v>379.98011367377757</v>
      </c>
      <c r="H65" s="239">
        <f t="shared" si="1"/>
        <v>-0.3367928575089697</v>
      </c>
      <c r="I65" s="239">
        <f t="shared" si="2"/>
        <v>-0.27890394444134831</v>
      </c>
      <c r="J65" s="243">
        <f t="shared" si="9"/>
        <v>4.6417018581159875E-2</v>
      </c>
      <c r="L65" s="244">
        <f t="shared" si="6"/>
        <v>1.2853514706793412E-2</v>
      </c>
      <c r="M65" s="244">
        <f t="shared" si="7"/>
        <v>3.3795556773778879E-2</v>
      </c>
      <c r="N65" s="245">
        <f t="shared" si="8"/>
        <v>-2.0942042066985467E-2</v>
      </c>
      <c r="P65" s="246">
        <f t="shared" si="4"/>
        <v>0</v>
      </c>
    </row>
    <row r="66" spans="1:16">
      <c r="A66" s="238">
        <v>1975</v>
      </c>
      <c r="B66" s="239">
        <f>('[1]S&amp;P 500 &amp; Raw Data'!B51-'[1]S&amp;P 500 &amp; Raw Data'!B50+'[1]S&amp;P 500 &amp; Raw Data'!C51)/'[1]S&amp;P 500 &amp; Raw Data'!B50</f>
        <v>0.36995137106184356</v>
      </c>
      <c r="C66" s="239">
        <f>'[1]T. Bill rates'!G54</f>
        <v>5.9900000000000002E-2</v>
      </c>
      <c r="D66" s="239">
        <f>'[1]S&amp;P 500 &amp; Raw Data'!F51</f>
        <v>3.6052536026033838E-2</v>
      </c>
      <c r="E66" s="240">
        <f t="shared" si="5"/>
        <v>4142.0974934477708</v>
      </c>
      <c r="F66" s="240">
        <f t="shared" si="5"/>
        <v>310.90031454373667</v>
      </c>
      <c r="G66" s="240">
        <f t="shared" si="5"/>
        <v>393.67936041117781</v>
      </c>
      <c r="H66" s="239">
        <f t="shared" si="1"/>
        <v>0.31005137106184355</v>
      </c>
      <c r="I66" s="239">
        <f t="shared" si="2"/>
        <v>0.33389883503580975</v>
      </c>
      <c r="J66" s="243">
        <f t="shared" si="9"/>
        <v>5.1706756781676244E-2</v>
      </c>
      <c r="L66" s="244">
        <f t="shared" si="6"/>
        <v>3.3096323911173453E-2</v>
      </c>
      <c r="M66" s="244">
        <f t="shared" si="7"/>
        <v>3.6720678351022329E-2</v>
      </c>
      <c r="N66" s="245">
        <f t="shared" si="8"/>
        <v>-3.6243544398488758E-3</v>
      </c>
      <c r="P66" s="246">
        <f t="shared" si="4"/>
        <v>0</v>
      </c>
    </row>
    <row r="67" spans="1:16">
      <c r="A67" s="238">
        <v>1976</v>
      </c>
      <c r="B67" s="239">
        <f>('[1]S&amp;P 500 &amp; Raw Data'!B52-'[1]S&amp;P 500 &amp; Raw Data'!B51+'[1]S&amp;P 500 &amp; Raw Data'!C52)/'[1]S&amp;P 500 &amp; Raw Data'!B51</f>
        <v>0.23830999002106662</v>
      </c>
      <c r="C67" s="239">
        <f>'[1]T. Bill rates'!G55</f>
        <v>4.9700000000000008E-2</v>
      </c>
      <c r="D67" s="239">
        <f>'[1]S&amp;P 500 &amp; Raw Data'!F52</f>
        <v>0.1598456074290921</v>
      </c>
      <c r="E67" s="240">
        <f t="shared" si="5"/>
        <v>5129.2007057775936</v>
      </c>
      <c r="F67" s="240">
        <f t="shared" si="5"/>
        <v>326.35206017656043</v>
      </c>
      <c r="G67" s="240">
        <f t="shared" si="5"/>
        <v>456.607276908399</v>
      </c>
      <c r="H67" s="239">
        <f t="shared" si="1"/>
        <v>0.1886099900210666</v>
      </c>
      <c r="I67" s="239">
        <f t="shared" si="2"/>
        <v>7.8464382591974524E-2</v>
      </c>
      <c r="J67" s="243">
        <f t="shared" si="9"/>
        <v>5.2196588038950109E-2</v>
      </c>
      <c r="L67" s="244">
        <f t="shared" si="6"/>
        <v>6.6560484213362026E-2</v>
      </c>
      <c r="M67" s="244">
        <f t="shared" si="7"/>
        <v>4.9196638218703015E-2</v>
      </c>
      <c r="N67" s="245">
        <f t="shared" si="8"/>
        <v>1.7363845994659011E-2</v>
      </c>
      <c r="P67" s="246">
        <f t="shared" si="4"/>
        <v>0</v>
      </c>
    </row>
    <row r="68" spans="1:16">
      <c r="A68" s="238">
        <v>1977</v>
      </c>
      <c r="B68" s="239">
        <f>('[1]S&amp;P 500 &amp; Raw Data'!B53-'[1]S&amp;P 500 &amp; Raw Data'!B52+'[1]S&amp;P 500 &amp; Raw Data'!C53)/'[1]S&amp;P 500 &amp; Raw Data'!B52</f>
        <v>-6.9797040759352322E-2</v>
      </c>
      <c r="C68" s="239">
        <f>'[1]T. Bill rates'!G56</f>
        <v>5.1275000000000001E-2</v>
      </c>
      <c r="D68" s="239">
        <f>'[1]S&amp;P 500 &amp; Raw Data'!F53</f>
        <v>1.2899606071070449E-2</v>
      </c>
      <c r="E68" s="240">
        <f t="shared" ref="E68:G83" si="10">E67*(1+B68)</f>
        <v>4771.1976750535359</v>
      </c>
      <c r="F68" s="240">
        <f t="shared" si="10"/>
        <v>343.08576206211353</v>
      </c>
      <c r="G68" s="240">
        <f t="shared" si="10"/>
        <v>462.49733090970153</v>
      </c>
      <c r="H68" s="239">
        <f t="shared" si="1"/>
        <v>-0.12107204075935232</v>
      </c>
      <c r="I68" s="239">
        <f t="shared" si="2"/>
        <v>-8.2696646830422771E-2</v>
      </c>
      <c r="J68" s="243">
        <f t="shared" si="9"/>
        <v>4.9266761357046551E-2</v>
      </c>
      <c r="L68" s="244">
        <f t="shared" si="6"/>
        <v>3.6502026916034325E-2</v>
      </c>
      <c r="M68" s="244">
        <f t="shared" si="7"/>
        <v>5.22173741251033E-2</v>
      </c>
      <c r="N68" s="245">
        <f t="shared" si="8"/>
        <v>-1.5715347209068975E-2</v>
      </c>
      <c r="P68" s="246">
        <f t="shared" si="4"/>
        <v>0</v>
      </c>
    </row>
    <row r="69" spans="1:16">
      <c r="A69" s="238">
        <v>1978</v>
      </c>
      <c r="B69" s="239">
        <f>('[1]S&amp;P 500 &amp; Raw Data'!B54-'[1]S&amp;P 500 &amp; Raw Data'!B53+'[1]S&amp;P 500 &amp; Raw Data'!C54)/'[1]S&amp;P 500 &amp; Raw Data'!B53</f>
        <v>6.50928391167193E-2</v>
      </c>
      <c r="C69" s="239">
        <f>'[1]T. Bill rates'!G57</f>
        <v>6.9325000000000012E-2</v>
      </c>
      <c r="D69" s="239">
        <f>'[1]S&amp;P 500 &amp; Raw Data'!F54</f>
        <v>-7.7758069075086478E-3</v>
      </c>
      <c r="E69" s="240">
        <f t="shared" si="10"/>
        <v>5081.7684777098611</v>
      </c>
      <c r="F69" s="240">
        <f t="shared" si="10"/>
        <v>366.87018251706957</v>
      </c>
      <c r="G69" s="240">
        <f t="shared" si="10"/>
        <v>458.90104096930958</v>
      </c>
      <c r="H69" s="239">
        <f t="shared" si="1"/>
        <v>-4.2321608832807112E-3</v>
      </c>
      <c r="I69" s="239">
        <f t="shared" si="2"/>
        <v>7.2868646024227948E-2</v>
      </c>
      <c r="J69" s="243">
        <f t="shared" si="9"/>
        <v>4.9741898913203242E-2</v>
      </c>
      <c r="L69" s="244">
        <f t="shared" si="6"/>
        <v>3.2402626959679104E-2</v>
      </c>
      <c r="M69" s="244">
        <f t="shared" si="7"/>
        <v>4.8014012242808102E-2</v>
      </c>
      <c r="N69" s="245">
        <f t="shared" si="8"/>
        <v>-1.5611385283128998E-2</v>
      </c>
      <c r="P69" s="246">
        <f t="shared" si="4"/>
        <v>0</v>
      </c>
    </row>
    <row r="70" spans="1:16">
      <c r="A70" s="238">
        <v>1979</v>
      </c>
      <c r="B70" s="239">
        <f>('[1]S&amp;P 500 &amp; Raw Data'!B55-'[1]S&amp;P 500 &amp; Raw Data'!B54+'[1]S&amp;P 500 &amp; Raw Data'!C55)/'[1]S&amp;P 500 &amp; Raw Data'!B54</f>
        <v>0.18519490167516386</v>
      </c>
      <c r="C70" s="239">
        <f>'[1]T. Bill rates'!G58</f>
        <v>9.9375000000000005E-2</v>
      </c>
      <c r="D70" s="239">
        <f>'[1]S&amp;P 500 &amp; Raw Data'!F55</f>
        <v>6.7072031247235459E-3</v>
      </c>
      <c r="E70" s="240">
        <f t="shared" si="10"/>
        <v>6022.8860912752862</v>
      </c>
      <c r="F70" s="240">
        <f t="shared" si="10"/>
        <v>403.32790690470335</v>
      </c>
      <c r="G70" s="240">
        <f t="shared" si="10"/>
        <v>461.97898346523777</v>
      </c>
      <c r="H70" s="239">
        <f t="shared" si="1"/>
        <v>8.5819901675163859E-2</v>
      </c>
      <c r="I70" s="239">
        <f t="shared" si="2"/>
        <v>0.17848769855044033</v>
      </c>
      <c r="J70" s="243">
        <f t="shared" si="9"/>
        <v>5.2132252828986925E-2</v>
      </c>
      <c r="L70" s="244">
        <f t="shared" si="6"/>
        <v>5.91644286438473E-2</v>
      </c>
      <c r="M70" s="244">
        <f t="shared" si="7"/>
        <v>5.4123437408523101E-2</v>
      </c>
      <c r="N70" s="245">
        <f t="shared" si="8"/>
        <v>5.0409912353241992E-3</v>
      </c>
      <c r="P70" s="246">
        <f t="shared" si="4"/>
        <v>0</v>
      </c>
    </row>
    <row r="71" spans="1:16">
      <c r="A71" s="238">
        <v>1980</v>
      </c>
      <c r="B71" s="239">
        <f>('[1]S&amp;P 500 &amp; Raw Data'!B56-'[1]S&amp;P 500 &amp; Raw Data'!B55+'[1]S&amp;P 500 &amp; Raw Data'!C56)/'[1]S&amp;P 500 &amp; Raw Data'!B55</f>
        <v>0.3173524550676301</v>
      </c>
      <c r="C71" s="239">
        <f>'[1]T. Bill rates'!G59</f>
        <v>0.11219999999999999</v>
      </c>
      <c r="D71" s="239">
        <f>'[1]S&amp;P 500 &amp; Raw Data'!F56</f>
        <v>-2.989744251999403E-2</v>
      </c>
      <c r="E71" s="240">
        <f t="shared" si="10"/>
        <v>7934.2637789341807</v>
      </c>
      <c r="F71" s="240">
        <f t="shared" si="10"/>
        <v>448.5812980594111</v>
      </c>
      <c r="G71" s="240">
        <f t="shared" si="10"/>
        <v>448.16699336164055</v>
      </c>
      <c r="H71" s="239">
        <f t="shared" si="1"/>
        <v>0.20515245506763011</v>
      </c>
      <c r="I71" s="239">
        <f t="shared" si="2"/>
        <v>0.34724989758762415</v>
      </c>
      <c r="J71" s="243">
        <f t="shared" si="9"/>
        <v>5.7318705257589642E-2</v>
      </c>
      <c r="L71" s="244">
        <f t="shared" si="6"/>
        <v>8.4960434724851597E-2</v>
      </c>
      <c r="M71" s="244">
        <f t="shared" si="7"/>
        <v>3.4774656333643073E-2</v>
      </c>
      <c r="N71" s="245">
        <f t="shared" si="8"/>
        <v>5.0185778391208524E-2</v>
      </c>
      <c r="P71" s="246">
        <f t="shared" si="4"/>
        <v>0</v>
      </c>
    </row>
    <row r="72" spans="1:16">
      <c r="A72" s="238">
        <v>1981</v>
      </c>
      <c r="B72" s="239">
        <f>('[1]S&amp;P 500 &amp; Raw Data'!B57-'[1]S&amp;P 500 &amp; Raw Data'!B56+'[1]S&amp;P 500 &amp; Raw Data'!C57)/'[1]S&amp;P 500 &amp; Raw Data'!B56</f>
        <v>-4.7023902474955762E-2</v>
      </c>
      <c r="C72" s="239">
        <f>'[1]T. Bill rates'!G60</f>
        <v>0.14299999999999999</v>
      </c>
      <c r="D72" s="239">
        <f>'[1]S&amp;P 500 &amp; Raw Data'!F57</f>
        <v>8.1992153358923542E-2</v>
      </c>
      <c r="E72" s="240">
        <f t="shared" si="10"/>
        <v>7561.1637327830058</v>
      </c>
      <c r="F72" s="240">
        <f t="shared" si="10"/>
        <v>512.72842368190686</v>
      </c>
      <c r="G72" s="240">
        <f t="shared" si="10"/>
        <v>484.91317021175587</v>
      </c>
      <c r="H72" s="239">
        <f t="shared" si="1"/>
        <v>-0.19002390247495576</v>
      </c>
      <c r="I72" s="239">
        <f t="shared" si="2"/>
        <v>-0.12901605583387932</v>
      </c>
      <c r="J72" s="243">
        <f t="shared" si="9"/>
        <v>5.3730990468644491E-2</v>
      </c>
      <c r="L72" s="244">
        <f t="shared" si="6"/>
        <v>6.5485266981366808E-2</v>
      </c>
      <c r="M72" s="244">
        <f t="shared" si="7"/>
        <v>3.3268390319620034E-2</v>
      </c>
      <c r="N72" s="245">
        <f t="shared" si="8"/>
        <v>3.2216876661746774E-2</v>
      </c>
      <c r="P72" s="246">
        <f t="shared" si="4"/>
        <v>-8.1854523159563541E-12</v>
      </c>
    </row>
    <row r="73" spans="1:16">
      <c r="A73" s="238">
        <v>1982</v>
      </c>
      <c r="B73" s="239">
        <f>('[1]S&amp;P 500 &amp; Raw Data'!B58-'[1]S&amp;P 500 &amp; Raw Data'!B57+'[1]S&amp;P 500 &amp; Raw Data'!C58)/'[1]S&amp;P 500 &amp; Raw Data'!B57</f>
        <v>0.20419055079559353</v>
      </c>
      <c r="C73" s="239">
        <f>'[1]T. Bill rates'!G61</f>
        <v>0.1101</v>
      </c>
      <c r="D73" s="239">
        <f>'[1]S&amp;P 500 &amp; Raw Data'!F58</f>
        <v>0.32814549486295586</v>
      </c>
      <c r="E73" s="240">
        <f t="shared" si="10"/>
        <v>9105.0819200356327</v>
      </c>
      <c r="F73" s="240">
        <f t="shared" si="10"/>
        <v>569.17982312928484</v>
      </c>
      <c r="G73" s="240">
        <f t="shared" si="10"/>
        <v>644.03524241645721</v>
      </c>
      <c r="H73" s="239">
        <f t="shared" si="1"/>
        <v>9.4090550795593531E-2</v>
      </c>
      <c r="I73" s="239">
        <f t="shared" si="2"/>
        <v>-0.12395494406736232</v>
      </c>
      <c r="J73" s="243">
        <f t="shared" si="9"/>
        <v>5.1038688692139678E-2</v>
      </c>
      <c r="L73" s="244">
        <f t="shared" si="6"/>
        <v>6.6968621055699895E-2</v>
      </c>
      <c r="M73" s="244">
        <f t="shared" si="7"/>
        <v>6.0060382976543591E-2</v>
      </c>
      <c r="N73" s="245">
        <f t="shared" si="8"/>
        <v>6.9082380791563036E-3</v>
      </c>
      <c r="P73" s="246">
        <f t="shared" si="4"/>
        <v>0</v>
      </c>
    </row>
    <row r="74" spans="1:16">
      <c r="A74" s="238">
        <v>1983</v>
      </c>
      <c r="B74" s="239">
        <f>('[1]S&amp;P 500 &amp; Raw Data'!B59-'[1]S&amp;P 500 &amp; Raw Data'!B58+'[1]S&amp;P 500 &amp; Raw Data'!C59)/'[1]S&amp;P 500 &amp; Raw Data'!B58</f>
        <v>0.22337155858930619</v>
      </c>
      <c r="C74" s="239">
        <f>'[1]T. Bill rates'!G62</f>
        <v>8.4474999999999995E-2</v>
      </c>
      <c r="D74" s="239">
        <f>'[1]S&amp;P 500 &amp; Raw Data'!F59</f>
        <v>3.2002094451429264E-2</v>
      </c>
      <c r="E74" s="240">
        <f t="shared" si="10"/>
        <v>11138.898259597305</v>
      </c>
      <c r="F74" s="240">
        <f t="shared" si="10"/>
        <v>617.26128868813123</v>
      </c>
      <c r="G74" s="240">
        <f t="shared" si="10"/>
        <v>664.64571907431775</v>
      </c>
      <c r="H74" s="239">
        <f t="shared" si="1"/>
        <v>0.13889655858930619</v>
      </c>
      <c r="I74" s="239">
        <f t="shared" si="2"/>
        <v>0.19136946413787692</v>
      </c>
      <c r="J74" s="243">
        <f t="shared" si="9"/>
        <v>5.3402830654563971E-2</v>
      </c>
      <c r="L74" s="244">
        <f t="shared" si="6"/>
        <v>0.10563933571293371</v>
      </c>
      <c r="M74" s="244">
        <f t="shared" si="7"/>
        <v>5.9590610282913348E-2</v>
      </c>
      <c r="N74" s="245">
        <f t="shared" si="8"/>
        <v>4.6048725430020365E-2</v>
      </c>
      <c r="P74" s="246">
        <f t="shared" si="4"/>
        <v>0</v>
      </c>
    </row>
    <row r="75" spans="1:16">
      <c r="A75" s="238">
        <v>1984</v>
      </c>
      <c r="B75" s="239">
        <f>('[1]S&amp;P 500 &amp; Raw Data'!B60-'[1]S&amp;P 500 &amp; Raw Data'!B59+'[1]S&amp;P 500 &amp; Raw Data'!C60)/'[1]S&amp;P 500 &amp; Raw Data'!B59</f>
        <v>6.14614199963621E-2</v>
      </c>
      <c r="C75" s="239">
        <f>'[1]T. Bill rates'!G63</f>
        <v>9.6125000000000002E-2</v>
      </c>
      <c r="D75" s="239">
        <f>'[1]S&amp;P 500 &amp; Raw Data'!F60</f>
        <v>0.13733364344102345</v>
      </c>
      <c r="E75" s="240">
        <f t="shared" si="10"/>
        <v>11823.510763827162</v>
      </c>
      <c r="F75" s="240">
        <f t="shared" si="10"/>
        <v>676.59553006327781</v>
      </c>
      <c r="G75" s="240">
        <f t="shared" si="10"/>
        <v>755.92393727227272</v>
      </c>
      <c r="H75" s="239">
        <f t="shared" si="1"/>
        <v>-3.4663580003637902E-2</v>
      </c>
      <c r="I75" s="239">
        <f t="shared" si="2"/>
        <v>-7.5872223444661352E-2</v>
      </c>
      <c r="J75" s="243">
        <f t="shared" si="9"/>
        <v>5.1212126318051387E-2</v>
      </c>
      <c r="L75" s="244">
        <f t="shared" si="6"/>
        <v>0.14610162571821639</v>
      </c>
      <c r="M75" s="244">
        <f t="shared" si="7"/>
        <v>7.1202858627653187E-2</v>
      </c>
      <c r="N75" s="245">
        <f t="shared" si="8"/>
        <v>7.4898767090563201E-2</v>
      </c>
      <c r="P75" s="246">
        <f t="shared" si="4"/>
        <v>0</v>
      </c>
    </row>
    <row r="76" spans="1:16">
      <c r="A76" s="238">
        <v>1985</v>
      </c>
      <c r="B76" s="239">
        <f>('[1]S&amp;P 500 &amp; Raw Data'!B61-'[1]S&amp;P 500 &amp; Raw Data'!B60+'[1]S&amp;P 500 &amp; Raw Data'!C61)/'[1]S&amp;P 500 &amp; Raw Data'!B60</f>
        <v>0.31235149485768948</v>
      </c>
      <c r="C76" s="239">
        <f>'[1]T. Bill rates'!G64</f>
        <v>7.4874999999999997E-2</v>
      </c>
      <c r="D76" s="239">
        <f>'[1]S&amp;P 500 &amp; Raw Data'!F61</f>
        <v>0.2571248821260641</v>
      </c>
      <c r="E76" s="240">
        <f t="shared" si="10"/>
        <v>15516.602025374559</v>
      </c>
      <c r="F76" s="240">
        <f t="shared" si="10"/>
        <v>727.25562037676571</v>
      </c>
      <c r="G76" s="240">
        <f t="shared" si="10"/>
        <v>950.2907905396761</v>
      </c>
      <c r="H76" s="239">
        <f t="shared" si="1"/>
        <v>0.23747649485768949</v>
      </c>
      <c r="I76" s="239">
        <f t="shared" si="2"/>
        <v>5.522661273162538E-2</v>
      </c>
      <c r="J76" s="243">
        <f t="shared" si="9"/>
        <v>5.1284365102581608E-2</v>
      </c>
      <c r="L76" s="244">
        <f t="shared" si="6"/>
        <v>0.14118914097222901</v>
      </c>
      <c r="M76" s="244">
        <f t="shared" si="7"/>
        <v>9.2122582560580257E-2</v>
      </c>
      <c r="N76" s="245">
        <f t="shared" si="8"/>
        <v>4.9066558411648753E-2</v>
      </c>
      <c r="P76" s="246">
        <f t="shared" si="4"/>
        <v>0</v>
      </c>
    </row>
    <row r="77" spans="1:16">
      <c r="A77" s="238">
        <v>1986</v>
      </c>
      <c r="B77" s="239">
        <f>('[1]S&amp;P 500 &amp; Raw Data'!B62-'[1]S&amp;P 500 &amp; Raw Data'!B61+'[1]S&amp;P 500 &amp; Raw Data'!C62)/'[1]S&amp;P 500 &amp; Raw Data'!B61</f>
        <v>0.18494578758046187</v>
      </c>
      <c r="C77" s="239">
        <f>'[1]T. Bill rates'!G65</f>
        <v>6.0350000000000001E-2</v>
      </c>
      <c r="D77" s="239">
        <f>'[1]S&amp;P 500 &amp; Raw Data'!F62</f>
        <v>0.24284215141767618</v>
      </c>
      <c r="E77" s="240">
        <f t="shared" si="10"/>
        <v>18386.332207530046</v>
      </c>
      <c r="F77" s="240">
        <f t="shared" si="10"/>
        <v>771.14549706650348</v>
      </c>
      <c r="G77" s="240">
        <f t="shared" si="10"/>
        <v>1181.0614505867354</v>
      </c>
      <c r="H77" s="239">
        <f t="shared" si="1"/>
        <v>0.12459578758046187</v>
      </c>
      <c r="I77" s="239">
        <f t="shared" si="2"/>
        <v>-5.7896363837214304E-2</v>
      </c>
      <c r="J77" s="243">
        <f t="shared" si="9"/>
        <v>4.9663565599739057E-2</v>
      </c>
      <c r="L77" s="244">
        <f t="shared" si="6"/>
        <v>0.13617319999082533</v>
      </c>
      <c r="M77" s="244">
        <f t="shared" si="7"/>
        <v>9.9696813408097329E-2</v>
      </c>
      <c r="N77" s="245">
        <f t="shared" si="8"/>
        <v>3.6476386582728004E-2</v>
      </c>
      <c r="P77" s="246">
        <f t="shared" si="4"/>
        <v>0</v>
      </c>
    </row>
    <row r="78" spans="1:16">
      <c r="A78" s="238">
        <v>1987</v>
      </c>
      <c r="B78" s="239">
        <f>('[1]S&amp;P 500 &amp; Raw Data'!B63-'[1]S&amp;P 500 &amp; Raw Data'!B62+'[1]S&amp;P 500 &amp; Raw Data'!C63)/'[1]S&amp;P 500 &amp; Raw Data'!B62</f>
        <v>5.8127216418218712E-2</v>
      </c>
      <c r="C78" s="239">
        <f>'[1]T. Bill rates'!G66</f>
        <v>5.7224999999999998E-2</v>
      </c>
      <c r="D78" s="239">
        <f>'[1]S&amp;P 500 &amp; Raw Data'!F63</f>
        <v>-4.9605089379262279E-2</v>
      </c>
      <c r="E78" s="240">
        <f t="shared" si="10"/>
        <v>19455.07851889441</v>
      </c>
      <c r="F78" s="240">
        <f t="shared" si="10"/>
        <v>815.27429813613423</v>
      </c>
      <c r="G78" s="240">
        <f t="shared" si="10"/>
        <v>1122.4747917679792</v>
      </c>
      <c r="H78" s="239">
        <f t="shared" si="1"/>
        <v>9.0221641821871396E-4</v>
      </c>
      <c r="I78" s="239">
        <f t="shared" si="2"/>
        <v>0.107732305797481</v>
      </c>
      <c r="J78" s="243">
        <f t="shared" si="9"/>
        <v>5.0693590437507208E-2</v>
      </c>
      <c r="L78" s="244">
        <f t="shared" si="6"/>
        <v>0.15090786460170147</v>
      </c>
      <c r="M78" s="244">
        <f t="shared" si="7"/>
        <v>9.2714576744352684E-2</v>
      </c>
      <c r="N78" s="245">
        <f t="shared" si="8"/>
        <v>5.8193287857348786E-2</v>
      </c>
      <c r="P78" s="246">
        <f t="shared" si="4"/>
        <v>0</v>
      </c>
    </row>
    <row r="79" spans="1:16">
      <c r="A79" s="238">
        <v>1988</v>
      </c>
      <c r="B79" s="239">
        <f>('[1]S&amp;P 500 &amp; Raw Data'!B64-'[1]S&amp;P 500 &amp; Raw Data'!B63+'[1]S&amp;P 500 &amp; Raw Data'!C64)/'[1]S&amp;P 500 &amp; Raw Data'!B63</f>
        <v>0.16537192812044688</v>
      </c>
      <c r="C79" s="239">
        <f>'[1]T. Bill rates'!G67</f>
        <v>6.4499999999999988E-2</v>
      </c>
      <c r="D79" s="239">
        <f>'[1]S&amp;P 500 &amp; Raw Data'!F64</f>
        <v>8.2235958434841674E-2</v>
      </c>
      <c r="E79" s="240">
        <f t="shared" si="10"/>
        <v>22672.402365298665</v>
      </c>
      <c r="F79" s="240">
        <f t="shared" si="10"/>
        <v>867.85949036591489</v>
      </c>
      <c r="G79" s="240">
        <f t="shared" si="10"/>
        <v>1214.7825820879684</v>
      </c>
      <c r="H79" s="239">
        <f t="shared" si="1"/>
        <v>0.10087192812044689</v>
      </c>
      <c r="I79" s="239">
        <f t="shared" si="2"/>
        <v>8.3135969685605202E-2</v>
      </c>
      <c r="J79" s="243">
        <f t="shared" si="9"/>
        <v>5.1199933578993884E-2</v>
      </c>
      <c r="L79" s="244">
        <f t="shared" si="6"/>
        <v>0.16131026951273797</v>
      </c>
      <c r="M79" s="244">
        <f t="shared" si="7"/>
        <v>0.10224452763112879</v>
      </c>
      <c r="N79" s="245">
        <f t="shared" si="8"/>
        <v>5.9065741881609179E-2</v>
      </c>
      <c r="P79" s="246">
        <f t="shared" si="4"/>
        <v>0</v>
      </c>
    </row>
    <row r="80" spans="1:16">
      <c r="A80" s="238">
        <v>1989</v>
      </c>
      <c r="B80" s="239">
        <f>('[1]S&amp;P 500 &amp; Raw Data'!B65-'[1]S&amp;P 500 &amp; Raw Data'!B64+'[1]S&amp;P 500 &amp; Raw Data'!C65)/'[1]S&amp;P 500 &amp; Raw Data'!B64</f>
        <v>0.31475183638196724</v>
      </c>
      <c r="C80" s="239">
        <f>'[1]T. Bill rates'!G68</f>
        <v>8.1099999999999992E-2</v>
      </c>
      <c r="D80" s="239">
        <f>'[1]S&amp;P 500 &amp; Raw Data'!F65</f>
        <v>0.17693647159446219</v>
      </c>
      <c r="E80" s="240">
        <f t="shared" si="10"/>
        <v>29808.582644967279</v>
      </c>
      <c r="F80" s="240">
        <f t="shared" si="10"/>
        <v>938.24289503459056</v>
      </c>
      <c r="G80" s="240">
        <f t="shared" si="10"/>
        <v>1429.7219259170236</v>
      </c>
      <c r="H80" s="239">
        <f t="shared" si="1"/>
        <v>0.23365183638196724</v>
      </c>
      <c r="I80" s="239">
        <f t="shared" si="2"/>
        <v>0.13781536478750506</v>
      </c>
      <c r="J80" s="243">
        <f t="shared" si="9"/>
        <v>5.240982169336883E-2</v>
      </c>
      <c r="L80" s="244">
        <f t="shared" si="6"/>
        <v>0.1734204905093959</v>
      </c>
      <c r="M80" s="244">
        <f t="shared" si="7"/>
        <v>0.11960011874929721</v>
      </c>
      <c r="N80" s="245">
        <f t="shared" si="8"/>
        <v>5.3820371760098684E-2</v>
      </c>
      <c r="P80" s="246">
        <f t="shared" si="4"/>
        <v>0</v>
      </c>
    </row>
    <row r="81" spans="1:16">
      <c r="A81" s="238">
        <v>1990</v>
      </c>
      <c r="B81" s="239">
        <f>('[1]S&amp;P 500 &amp; Raw Data'!B66-'[1]S&amp;P 500 &amp; Raw Data'!B65+'[1]S&amp;P 500 &amp; Raw Data'!C66)/'[1]S&amp;P 500 &amp; Raw Data'!B65</f>
        <v>-3.0644516129032118E-2</v>
      </c>
      <c r="C81" s="239">
        <f>'[1]T. Bill rates'!G69</f>
        <v>7.5500000000000012E-2</v>
      </c>
      <c r="D81" s="239">
        <f>'[1]S&amp;P 500 &amp; Raw Data'!F66</f>
        <v>6.2353753335533363E-2</v>
      </c>
      <c r="E81" s="240">
        <f t="shared" si="10"/>
        <v>28895.113053319994</v>
      </c>
      <c r="F81" s="240">
        <f t="shared" si="10"/>
        <v>1009.0802336097021</v>
      </c>
      <c r="G81" s="240">
        <f t="shared" si="10"/>
        <v>1518.8704542240573</v>
      </c>
      <c r="H81" s="239">
        <f t="shared" si="1"/>
        <v>-0.10614451612903213</v>
      </c>
      <c r="I81" s="239">
        <f t="shared" si="2"/>
        <v>-9.2998269464565478E-2</v>
      </c>
      <c r="J81" s="243">
        <f t="shared" si="9"/>
        <v>4.9979953137364364E-2</v>
      </c>
      <c r="L81" s="244">
        <f t="shared" si="6"/>
        <v>0.13797252412808803</v>
      </c>
      <c r="M81" s="244">
        <f t="shared" si="7"/>
        <v>0.12981695167774232</v>
      </c>
      <c r="N81" s="245">
        <f t="shared" si="8"/>
        <v>8.155572450345705E-3</v>
      </c>
      <c r="P81" s="246">
        <f t="shared" si="4"/>
        <v>0</v>
      </c>
    </row>
    <row r="82" spans="1:16">
      <c r="A82" s="238">
        <v>1991</v>
      </c>
      <c r="B82" s="239">
        <f>('[1]S&amp;P 500 &amp; Raw Data'!B67-'[1]S&amp;P 500 &amp; Raw Data'!B66+'[1]S&amp;P 500 &amp; Raw Data'!C67)/'[1]S&amp;P 500 &amp; Raw Data'!B66</f>
        <v>0.30234843134879757</v>
      </c>
      <c r="C82" s="239">
        <f>'[1]T. Bill rates'!G70</f>
        <v>5.6100000000000011E-2</v>
      </c>
      <c r="D82" s="239">
        <f>'[1]S&amp;P 500 &amp; Raw Data'!F67</f>
        <v>0.15004510019517303</v>
      </c>
      <c r="E82" s="240">
        <f t="shared" si="10"/>
        <v>37631.505158637461</v>
      </c>
      <c r="F82" s="240">
        <f t="shared" si="10"/>
        <v>1065.6896347152065</v>
      </c>
      <c r="G82" s="240">
        <f t="shared" si="10"/>
        <v>1746.769523711594</v>
      </c>
      <c r="H82" s="239">
        <f t="shared" si="1"/>
        <v>0.24624843134879756</v>
      </c>
      <c r="I82" s="239">
        <f t="shared" si="2"/>
        <v>0.15230333115362454</v>
      </c>
      <c r="J82" s="243">
        <f t="shared" si="9"/>
        <v>5.13850639844049E-2</v>
      </c>
      <c r="L82" s="244">
        <f t="shared" si="6"/>
        <v>0.17407622764071773</v>
      </c>
      <c r="M82" s="244">
        <f t="shared" si="7"/>
        <v>0.13672958334467644</v>
      </c>
      <c r="N82" s="245">
        <f t="shared" si="8"/>
        <v>3.7346644296041287E-2</v>
      </c>
      <c r="P82" s="246">
        <f t="shared" si="4"/>
        <v>0</v>
      </c>
    </row>
    <row r="83" spans="1:16">
      <c r="A83" s="238">
        <v>1992</v>
      </c>
      <c r="B83" s="239">
        <f>('[1]S&amp;P 500 &amp; Raw Data'!B68-'[1]S&amp;P 500 &amp; Raw Data'!B67+'[1]S&amp;P 500 &amp; Raw Data'!C68)/'[1]S&amp;P 500 &amp; Raw Data'!B67</f>
        <v>7.493727972380064E-2</v>
      </c>
      <c r="C83" s="239">
        <f>'[1]T. Bill rates'!G71</f>
        <v>3.4049999999999997E-2</v>
      </c>
      <c r="D83" s="239">
        <f>'[1]S&amp;P 500 &amp; Raw Data'!F68</f>
        <v>9.3616373162079422E-2</v>
      </c>
      <c r="E83" s="240">
        <f t="shared" si="10"/>
        <v>40451.507787137925</v>
      </c>
      <c r="F83" s="240">
        <f t="shared" si="10"/>
        <v>1101.976366777259</v>
      </c>
      <c r="G83" s="240">
        <f t="shared" si="10"/>
        <v>1910.2957512715263</v>
      </c>
      <c r="H83" s="239">
        <f t="shared" si="1"/>
        <v>4.0887279723800643E-2</v>
      </c>
      <c r="I83" s="239">
        <f t="shared" si="2"/>
        <v>-1.8679093438278782E-2</v>
      </c>
      <c r="J83" s="243">
        <f>((E83/100)^(1/(A83-$A$19+1)))-((G83/100)^(1/(A83-$A$19+1)))</f>
        <v>5.0319857010869606E-2</v>
      </c>
      <c r="L83" s="244">
        <f t="shared" si="6"/>
        <v>0.16082054423669723</v>
      </c>
      <c r="M83" s="244">
        <f t="shared" si="7"/>
        <v>0.11485682698912725</v>
      </c>
      <c r="N83" s="245">
        <f t="shared" si="8"/>
        <v>4.596371724756998E-2</v>
      </c>
      <c r="P83" s="246">
        <f t="shared" si="4"/>
        <v>0</v>
      </c>
    </row>
    <row r="84" spans="1:16">
      <c r="A84" s="238">
        <v>1993</v>
      </c>
      <c r="B84" s="239">
        <f>('[1]S&amp;P 500 &amp; Raw Data'!B69-'[1]S&amp;P 500 &amp; Raw Data'!B68+'[1]S&amp;P 500 &amp; Raw Data'!C69)/'[1]S&amp;P 500 &amp; Raw Data'!B68</f>
        <v>9.96705147919488E-2</v>
      </c>
      <c r="C84" s="239">
        <f>'[1]T. Bill rates'!G72</f>
        <v>2.9825000000000001E-2</v>
      </c>
      <c r="D84" s="239">
        <f>'[1]S&amp;P 500 &amp; Raw Data'!F69</f>
        <v>0.14210957589263107</v>
      </c>
      <c r="E84" s="240">
        <f t="shared" ref="E84:G99" si="11">E83*(1+B84)</f>
        <v>44483.33039239249</v>
      </c>
      <c r="F84" s="240">
        <f t="shared" si="11"/>
        <v>1134.8428119163907</v>
      </c>
      <c r="G84" s="240">
        <f t="shared" si="11"/>
        <v>2181.7670703142176</v>
      </c>
      <c r="H84" s="239">
        <f t="shared" ref="H84:H105" si="12">B84-C84</f>
        <v>6.9845514791948796E-2</v>
      </c>
      <c r="I84" s="239">
        <f t="shared" ref="I84:I105" si="13">B84-D84</f>
        <v>-4.2439061100682268E-2</v>
      </c>
      <c r="J84" s="243">
        <f t="shared" si="9"/>
        <v>4.8975937931758473E-2</v>
      </c>
      <c r="L84" s="244">
        <f>(E84/E74)^(1/COUNT(A75:A84))-1</f>
        <v>0.14851191683904763</v>
      </c>
      <c r="M84" s="244">
        <f t="shared" si="7"/>
        <v>0.12621632172345087</v>
      </c>
      <c r="N84" s="245">
        <f t="shared" si="8"/>
        <v>2.2295595115596756E-2</v>
      </c>
      <c r="P84" s="246">
        <f t="shared" si="4"/>
        <v>6.5483618527650833E-11</v>
      </c>
    </row>
    <row r="85" spans="1:16">
      <c r="A85" s="238">
        <v>1994</v>
      </c>
      <c r="B85" s="239">
        <f>('[1]S&amp;P 500 &amp; Raw Data'!B70-'[1]S&amp;P 500 &amp; Raw Data'!B69+'[1]S&amp;P 500 &amp; Raw Data'!C70)/'[1]S&amp;P 500 &amp; Raw Data'!B69</f>
        <v>1.3259206774573897E-2</v>
      </c>
      <c r="C85" s="239">
        <f>'[1]T. Bill rates'!G73</f>
        <v>3.9850000000000003E-2</v>
      </c>
      <c r="D85" s="239">
        <f>'[1]S&amp;P 500 &amp; Raw Data'!F70</f>
        <v>-8.0366555509985921E-2</v>
      </c>
      <c r="E85" s="240">
        <f t="shared" si="11"/>
        <v>45073.144068086905</v>
      </c>
      <c r="F85" s="240">
        <f t="shared" si="11"/>
        <v>1180.0662979712588</v>
      </c>
      <c r="G85" s="240">
        <f t="shared" si="11"/>
        <v>2006.4259659479505</v>
      </c>
      <c r="H85" s="239">
        <f t="shared" si="12"/>
        <v>-2.6590793225426106E-2</v>
      </c>
      <c r="I85" s="239">
        <f t="shared" si="13"/>
        <v>9.3625762284559821E-2</v>
      </c>
      <c r="J85" s="243">
        <f t="shared" si="9"/>
        <v>4.9718636171719899E-2</v>
      </c>
      <c r="L85" s="244">
        <f t="shared" si="6"/>
        <v>0.14318663958953426</v>
      </c>
      <c r="M85" s="244">
        <f t="shared" si="7"/>
        <v>0.102540379744962</v>
      </c>
      <c r="N85" s="245">
        <f t="shared" si="8"/>
        <v>4.0646259844572263E-2</v>
      </c>
      <c r="P85" s="246">
        <f t="shared" si="4"/>
        <v>0</v>
      </c>
    </row>
    <row r="86" spans="1:16">
      <c r="A86" s="238">
        <v>1995</v>
      </c>
      <c r="B86" s="239">
        <f>('[1]S&amp;P 500 &amp; Raw Data'!B71-'[1]S&amp;P 500 &amp; Raw Data'!B70+'[1]S&amp;P 500 &amp; Raw Data'!C71)/'[1]S&amp;P 500 &amp; Raw Data'!B70</f>
        <v>0.37195198902606308</v>
      </c>
      <c r="C86" s="239">
        <f>'[1]T. Bill rates'!G74</f>
        <v>5.5150000000000005E-2</v>
      </c>
      <c r="D86" s="239">
        <f>'[1]S&amp;P 500 &amp; Raw Data'!F71</f>
        <v>0.23480780112538907</v>
      </c>
      <c r="E86" s="240">
        <f t="shared" si="11"/>
        <v>61838.189655870119</v>
      </c>
      <c r="F86" s="240">
        <f t="shared" si="11"/>
        <v>1245.1469543043738</v>
      </c>
      <c r="G86" s="240">
        <f t="shared" si="11"/>
        <v>2477.5504351330737</v>
      </c>
      <c r="H86" s="239">
        <f t="shared" si="12"/>
        <v>0.31680198902606305</v>
      </c>
      <c r="I86" s="239">
        <f t="shared" si="13"/>
        <v>0.13714418790067401</v>
      </c>
      <c r="J86" s="243">
        <f t="shared" si="9"/>
        <v>5.0791451119413633E-2</v>
      </c>
      <c r="L86" s="244">
        <f t="shared" si="6"/>
        <v>0.14827527760648773</v>
      </c>
      <c r="M86" s="244">
        <f t="shared" si="7"/>
        <v>0.10056728336483789</v>
      </c>
      <c r="N86" s="245">
        <f t="shared" si="8"/>
        <v>4.7707994241649843E-2</v>
      </c>
      <c r="P86" s="246">
        <f t="shared" si="4"/>
        <v>0</v>
      </c>
    </row>
    <row r="87" spans="1:16">
      <c r="A87" s="238">
        <v>1996</v>
      </c>
      <c r="B87" s="239">
        <f>('[1]S&amp;P 500 &amp; Raw Data'!B72-'[1]S&amp;P 500 &amp; Raw Data'!B71+'[1]S&amp;P 500 &amp; Raw Data'!C72)/'[1]S&amp;P 500 &amp; Raw Data'!B71</f>
        <v>0.22680966018865789</v>
      </c>
      <c r="C87" s="239">
        <f>'[1]T. Bill rates'!G75</f>
        <v>5.0224999999999999E-2</v>
      </c>
      <c r="D87" s="239">
        <f>'[1]S&amp;P 500 &amp; Raw Data'!F72</f>
        <v>1.428607793401844E-2</v>
      </c>
      <c r="E87" s="240">
        <f t="shared" si="11"/>
        <v>75863.688438399797</v>
      </c>
      <c r="F87" s="240">
        <f t="shared" si="11"/>
        <v>1307.684460084311</v>
      </c>
      <c r="G87" s="240">
        <f t="shared" si="11"/>
        <v>2512.9449137348461</v>
      </c>
      <c r="H87" s="239">
        <f t="shared" si="12"/>
        <v>0.1765846601886579</v>
      </c>
      <c r="I87" s="239">
        <f t="shared" si="13"/>
        <v>0.21252358225463946</v>
      </c>
      <c r="J87" s="243">
        <f t="shared" si="9"/>
        <v>5.304503967737495E-2</v>
      </c>
      <c r="L87" s="244">
        <f t="shared" si="6"/>
        <v>0.15226901882226662</v>
      </c>
      <c r="M87" s="244">
        <f t="shared" si="7"/>
        <v>7.8427732222268176E-2</v>
      </c>
      <c r="N87" s="245">
        <f t="shared" si="8"/>
        <v>7.3841286599998446E-2</v>
      </c>
      <c r="P87" s="246">
        <f t="shared" si="4"/>
        <v>0</v>
      </c>
    </row>
    <row r="88" spans="1:16">
      <c r="A88" s="238">
        <v>1997</v>
      </c>
      <c r="B88" s="239">
        <f>('[1]S&amp;P 500 &amp; Raw Data'!B73-'[1]S&amp;P 500 &amp; Raw Data'!B72+'[1]S&amp;P 500 &amp; Raw Data'!C73)/'[1]S&amp;P 500 &amp; Raw Data'!B72</f>
        <v>0.33103653103653097</v>
      </c>
      <c r="C88" s="239">
        <f>'[1]T. Bill rates'!G76</f>
        <v>5.0525E-2</v>
      </c>
      <c r="D88" s="239">
        <f>'[1]S&amp;P 500 &amp; Raw Data'!F73</f>
        <v>9.939130272977531E-2</v>
      </c>
      <c r="E88" s="240">
        <f t="shared" si="11"/>
        <v>100977.34069068384</v>
      </c>
      <c r="F88" s="240">
        <f t="shared" si="11"/>
        <v>1373.7552174300708</v>
      </c>
      <c r="G88" s="240">
        <f t="shared" si="11"/>
        <v>2762.7097823991153</v>
      </c>
      <c r="H88" s="239">
        <f t="shared" si="12"/>
        <v>0.28051153103653098</v>
      </c>
      <c r="I88" s="239">
        <f t="shared" si="13"/>
        <v>0.23164522830675566</v>
      </c>
      <c r="J88" s="243">
        <f t="shared" si="9"/>
        <v>5.5315584903303572E-2</v>
      </c>
      <c r="L88" s="244">
        <f t="shared" si="6"/>
        <v>0.17901435844102531</v>
      </c>
      <c r="M88" s="244">
        <f t="shared" si="7"/>
        <v>9.4248265532194786E-2</v>
      </c>
      <c r="N88" s="245">
        <f t="shared" si="8"/>
        <v>8.4766092908830526E-2</v>
      </c>
      <c r="P88" s="246">
        <f t="shared" si="4"/>
        <v>0</v>
      </c>
    </row>
    <row r="89" spans="1:16">
      <c r="A89" s="238">
        <v>1998</v>
      </c>
      <c r="B89" s="239">
        <f>('[1]S&amp;P 500 &amp; Raw Data'!B74-'[1]S&amp;P 500 &amp; Raw Data'!B73+'[1]S&amp;P 500 &amp; Raw Data'!C74)/'[1]S&amp;P 500 &amp; Raw Data'!B73</f>
        <v>0.28337953278443584</v>
      </c>
      <c r="C89" s="239">
        <f>'[1]T. Bill rates'!G77</f>
        <v>4.7274999999999998E-2</v>
      </c>
      <c r="D89" s="239">
        <f>'[1]S&amp;P 500 &amp; Raw Data'!F74</f>
        <v>0.14921431922606215</v>
      </c>
      <c r="E89" s="240">
        <f t="shared" si="11"/>
        <v>129592.25231742462</v>
      </c>
      <c r="F89" s="240">
        <f t="shared" si="11"/>
        <v>1438.6994953340775</v>
      </c>
      <c r="G89" s="240">
        <f t="shared" si="11"/>
        <v>3174.9456417989818</v>
      </c>
      <c r="H89" s="239">
        <f t="shared" si="12"/>
        <v>0.23610453278443583</v>
      </c>
      <c r="I89" s="239">
        <f t="shared" si="13"/>
        <v>0.13416521355837369</v>
      </c>
      <c r="J89" s="243">
        <f t="shared" si="9"/>
        <v>5.6306048135548625E-2</v>
      </c>
      <c r="L89" s="244">
        <f t="shared" si="6"/>
        <v>0.19044175039779843</v>
      </c>
      <c r="M89" s="244">
        <f t="shared" si="7"/>
        <v>0.10083891545822832</v>
      </c>
      <c r="N89" s="245">
        <f t="shared" si="8"/>
        <v>8.9602834939570108E-2</v>
      </c>
      <c r="P89" s="246">
        <f t="shared" si="4"/>
        <v>0</v>
      </c>
    </row>
    <row r="90" spans="1:16">
      <c r="A90" s="238">
        <v>1999</v>
      </c>
      <c r="B90" s="239">
        <f>('[1]S&amp;P 500 &amp; Raw Data'!B75-'[1]S&amp;P 500 &amp; Raw Data'!B74+'[1]S&amp;P 500 &amp; Raw Data'!C75)/'[1]S&amp;P 500 &amp; Raw Data'!B74</f>
        <v>0.20885350992084475</v>
      </c>
      <c r="C90" s="239">
        <f>'[1]T. Bill rates'!G78</f>
        <v>4.5100000000000001E-2</v>
      </c>
      <c r="D90" s="239">
        <f>'[1]S&amp;P 500 &amp; Raw Data'!F75</f>
        <v>-8.2542147962685761E-2</v>
      </c>
      <c r="E90" s="240">
        <f t="shared" si="11"/>
        <v>156658.0490724665</v>
      </c>
      <c r="F90" s="240">
        <f t="shared" si="11"/>
        <v>1503.5848425736442</v>
      </c>
      <c r="G90" s="240">
        <f t="shared" si="11"/>
        <v>2912.8788088601259</v>
      </c>
      <c r="H90" s="239">
        <f t="shared" si="12"/>
        <v>0.16375350992084475</v>
      </c>
      <c r="I90" s="239">
        <f t="shared" si="13"/>
        <v>0.2913956578835305</v>
      </c>
      <c r="J90" s="243">
        <f t="shared" si="9"/>
        <v>5.9634694818320177E-2</v>
      </c>
      <c r="L90" s="244">
        <f t="shared" si="6"/>
        <v>0.18048680950939855</v>
      </c>
      <c r="M90" s="244">
        <f t="shared" si="7"/>
        <v>7.3759659760140872E-2</v>
      </c>
      <c r="N90" s="245">
        <f t="shared" si="8"/>
        <v>0.10672714974925768</v>
      </c>
      <c r="P90" s="246">
        <f t="shared" si="4"/>
        <v>0</v>
      </c>
    </row>
    <row r="91" spans="1:16">
      <c r="A91" s="238">
        <v>2000</v>
      </c>
      <c r="B91" s="239">
        <f>('[1]S&amp;P 500 &amp; Raw Data'!B76-'[1]S&amp;P 500 &amp; Raw Data'!B75+'[1]S&amp;P 500 &amp; Raw Data'!C76)/'[1]S&amp;P 500 &amp; Raw Data'!B75</f>
        <v>-9.0318189552492781E-2</v>
      </c>
      <c r="C91" s="239">
        <f>'[1]T. Bill rates'!G79</f>
        <v>5.7625000000000003E-2</v>
      </c>
      <c r="D91" s="239">
        <f>'[1]S&amp;P 500 &amp; Raw Data'!F76</f>
        <v>0.16655267125397488</v>
      </c>
      <c r="E91" s="240">
        <f t="shared" si="11"/>
        <v>142508.97770141574</v>
      </c>
      <c r="F91" s="240">
        <f t="shared" si="11"/>
        <v>1590.2289191269506</v>
      </c>
      <c r="G91" s="240">
        <f t="shared" si="11"/>
        <v>3398.0265555148762</v>
      </c>
      <c r="H91" s="239">
        <f t="shared" si="12"/>
        <v>-0.14794318955249278</v>
      </c>
      <c r="I91" s="239">
        <f t="shared" si="13"/>
        <v>-0.25687086080646765</v>
      </c>
      <c r="J91" s="243">
        <f t="shared" si="9"/>
        <v>5.5111895842923087E-2</v>
      </c>
      <c r="L91" s="244">
        <f t="shared" si="6"/>
        <v>0.1730101840426046</v>
      </c>
      <c r="M91" s="244">
        <f t="shared" si="7"/>
        <v>8.3853547586553168E-2</v>
      </c>
      <c r="N91" s="245">
        <f t="shared" si="8"/>
        <v>8.915663645605143E-2</v>
      </c>
      <c r="P91" s="246">
        <f t="shared" si="4"/>
        <v>0</v>
      </c>
    </row>
    <row r="92" spans="1:16">
      <c r="A92" s="238">
        <v>2001</v>
      </c>
      <c r="B92" s="239">
        <f>('[1]S&amp;P 500 &amp; Raw Data'!B77-'[1]S&amp;P 500 &amp; Raw Data'!B76+'[1]S&amp;P 500 &amp; Raw Data'!C77)/'[1]S&amp;P 500 &amp; Raw Data'!B76</f>
        <v>-0.11849759142000185</v>
      </c>
      <c r="C92" s="239">
        <f>'[1]T. Bill rates'!G80</f>
        <v>3.6725000000000001E-2</v>
      </c>
      <c r="D92" s="239">
        <f>'[1]S&amp;P 500 &amp; Raw Data'!F77</f>
        <v>5.5721811892492555E-2</v>
      </c>
      <c r="E92" s="240">
        <f t="shared" si="11"/>
        <v>125622.00708807123</v>
      </c>
      <c r="F92" s="240">
        <f t="shared" si="11"/>
        <v>1648.6300761818877</v>
      </c>
      <c r="G92" s="240">
        <f t="shared" si="11"/>
        <v>3587.3707520469702</v>
      </c>
      <c r="H92" s="239">
        <f t="shared" si="12"/>
        <v>-0.15522259142000186</v>
      </c>
      <c r="I92" s="239">
        <f t="shared" si="13"/>
        <v>-0.17421940331249441</v>
      </c>
      <c r="J92" s="243">
        <f t="shared" si="9"/>
        <v>5.1665345512908356E-2</v>
      </c>
      <c r="L92" s="244">
        <f t="shared" si="6"/>
        <v>0.12810990875063477</v>
      </c>
      <c r="M92" s="244">
        <f t="shared" si="7"/>
        <v>7.4617888419195699E-2</v>
      </c>
      <c r="N92" s="245">
        <f t="shared" si="8"/>
        <v>5.3492020331439072E-2</v>
      </c>
      <c r="P92" s="246">
        <f t="shared" si="4"/>
        <v>-1.3096723705530167E-10</v>
      </c>
    </row>
    <row r="93" spans="1:16">
      <c r="A93" s="238">
        <v>2002</v>
      </c>
      <c r="B93" s="239">
        <f>('[1]S&amp;P 500 &amp; Raw Data'!B78-'[1]S&amp;P 500 &amp; Raw Data'!B77+'[1]S&amp;P 500 &amp; Raw Data'!C78)/'[1]S&amp;P 500 &amp; Raw Data'!B77</f>
        <v>-0.21966047957912699</v>
      </c>
      <c r="C93" s="239">
        <f>'[1]T. Bill rates'!G81</f>
        <v>1.6574999999999999E-2</v>
      </c>
      <c r="D93" s="239">
        <f>'[1]S&amp;P 500 &amp; Raw Data'!F78</f>
        <v>0.15116400378109285</v>
      </c>
      <c r="E93" s="240">
        <f t="shared" si="11"/>
        <v>98027.816765413008</v>
      </c>
      <c r="F93" s="240">
        <f t="shared" si="11"/>
        <v>1675.9561196946024</v>
      </c>
      <c r="G93" s="240">
        <f t="shared" si="11"/>
        <v>4129.6520779735802</v>
      </c>
      <c r="H93" s="239">
        <f t="shared" si="12"/>
        <v>-0.23623547957912699</v>
      </c>
      <c r="I93" s="239">
        <f t="shared" si="13"/>
        <v>-0.37082448336021984</v>
      </c>
      <c r="J93" s="243">
        <f t="shared" si="9"/>
        <v>4.5325449773477855E-2</v>
      </c>
      <c r="L93" s="244">
        <f t="shared" si="6"/>
        <v>9.2550352838118632E-2</v>
      </c>
      <c r="M93" s="244">
        <f t="shared" si="7"/>
        <v>8.0143074459581687E-2</v>
      </c>
      <c r="N93" s="245">
        <f t="shared" si="8"/>
        <v>1.2407278378536946E-2</v>
      </c>
      <c r="P93" s="246">
        <f t="shared" si="4"/>
        <v>0</v>
      </c>
    </row>
    <row r="94" spans="1:16">
      <c r="A94" s="238">
        <v>2003</v>
      </c>
      <c r="B94" s="239">
        <f>('[1]S&amp;P 500 &amp; Raw Data'!B79-'[1]S&amp;P 500 &amp; Raw Data'!B78+'[1]S&amp;P 500 &amp; Raw Data'!C79)/'[1]S&amp;P 500 &amp; Raw Data'!B78</f>
        <v>0.28355800050010233</v>
      </c>
      <c r="C94" s="239">
        <f>'[1]T. Bill rates'!G82</f>
        <v>1.03E-2</v>
      </c>
      <c r="D94" s="239">
        <f>'[1]S&amp;P 500 &amp; Raw Data'!F79</f>
        <v>3.7531858817758529E-3</v>
      </c>
      <c r="E94" s="240">
        <f t="shared" si="11"/>
        <v>125824.38848080393</v>
      </c>
      <c r="F94" s="240">
        <f t="shared" si="11"/>
        <v>1693.2184677274568</v>
      </c>
      <c r="G94" s="240">
        <f t="shared" si="11"/>
        <v>4145.1514298492766</v>
      </c>
      <c r="H94" s="239">
        <f t="shared" si="12"/>
        <v>0.27325800050010235</v>
      </c>
      <c r="I94" s="239">
        <f t="shared" si="13"/>
        <v>0.27980481461832646</v>
      </c>
      <c r="J94" s="243">
        <f t="shared" si="9"/>
        <v>4.8237796117156506E-2</v>
      </c>
      <c r="L94" s="244">
        <f t="shared" si="6"/>
        <v>0.10957523082208387</v>
      </c>
      <c r="M94" s="244">
        <f t="shared" si="7"/>
        <v>6.6284759426173956E-2</v>
      </c>
      <c r="N94" s="245">
        <f t="shared" si="8"/>
        <v>4.3290471395909913E-2</v>
      </c>
      <c r="P94" s="246">
        <f t="shared" si="4"/>
        <v>0</v>
      </c>
    </row>
    <row r="95" spans="1:16">
      <c r="A95" s="238">
        <v>2004</v>
      </c>
      <c r="B95" s="239">
        <f>('[1]S&amp;P 500 &amp; Raw Data'!B80-'[1]S&amp;P 500 &amp; Raw Data'!B79+'[1]S&amp;P 500 &amp; Raw Data'!C80)/'[1]S&amp;P 500 &amp; Raw Data'!B79</f>
        <v>0.10742775944096193</v>
      </c>
      <c r="C95" s="239">
        <f>'[1]T. Bill rates'!G83</f>
        <v>1.2275000000000001E-2</v>
      </c>
      <c r="D95" s="239">
        <f>'[1]S&amp;P 500 &amp; Raw Data'!F80</f>
        <v>4.490683702274547E-2</v>
      </c>
      <c r="E95" s="240">
        <f t="shared" si="11"/>
        <v>139341.42061832585</v>
      </c>
      <c r="F95" s="240">
        <f t="shared" si="11"/>
        <v>1714.0027244188113</v>
      </c>
      <c r="G95" s="240">
        <f t="shared" si="11"/>
        <v>4331.2970695441181</v>
      </c>
      <c r="H95" s="239">
        <f t="shared" si="12"/>
        <v>9.5152759440961937E-2</v>
      </c>
      <c r="I95" s="239">
        <f t="shared" si="13"/>
        <v>6.2520922418216468E-2</v>
      </c>
      <c r="J95" s="243">
        <f t="shared" si="9"/>
        <v>4.842299846885445E-2</v>
      </c>
      <c r="L95" s="244">
        <f t="shared" si="6"/>
        <v>0.11947973951562019</v>
      </c>
      <c r="M95" s="244">
        <f t="shared" si="7"/>
        <v>7.9989375771416293E-2</v>
      </c>
      <c r="N95" s="245">
        <f t="shared" si="8"/>
        <v>3.9490363744203894E-2</v>
      </c>
      <c r="P95" s="246">
        <f t="shared" si="4"/>
        <v>0</v>
      </c>
    </row>
    <row r="96" spans="1:16">
      <c r="A96" s="238">
        <v>2005</v>
      </c>
      <c r="B96" s="239">
        <f>('[1]S&amp;P 500 &amp; Raw Data'!B81-'[1]S&amp;P 500 &amp; Raw Data'!B80+'[1]S&amp;P 500 &amp; Raw Data'!C81)/'[1]S&amp;P 500 &amp; Raw Data'!B80</f>
        <v>4.8344775232688535E-2</v>
      </c>
      <c r="C96" s="239">
        <f>'[1]T. Bill rates'!G84</f>
        <v>3.0099999999999998E-2</v>
      </c>
      <c r="D96" s="239">
        <f>'[1]S&amp;P 500 &amp; Raw Data'!F81</f>
        <v>2.8675329597779506E-2</v>
      </c>
      <c r="E96" s="240">
        <f t="shared" si="11"/>
        <v>146077.8502787223</v>
      </c>
      <c r="F96" s="240">
        <f t="shared" si="11"/>
        <v>1765.5942064238177</v>
      </c>
      <c r="G96" s="240">
        <f t="shared" si="11"/>
        <v>4455.4984405991927</v>
      </c>
      <c r="H96" s="239">
        <f t="shared" si="12"/>
        <v>1.8244775232688536E-2</v>
      </c>
      <c r="I96" s="239">
        <f t="shared" si="13"/>
        <v>1.9669445634909029E-2</v>
      </c>
      <c r="J96" s="243">
        <f t="shared" si="9"/>
        <v>4.8042189402255131E-2</v>
      </c>
      <c r="L96" s="244">
        <f t="shared" si="6"/>
        <v>8.9764760776321895E-2</v>
      </c>
      <c r="M96" s="244">
        <f t="shared" si="7"/>
        <v>6.0443120925619986E-2</v>
      </c>
      <c r="N96" s="245">
        <f t="shared" si="8"/>
        <v>2.9321639850701908E-2</v>
      </c>
      <c r="P96" s="246">
        <f t="shared" si="4"/>
        <v>0</v>
      </c>
    </row>
    <row r="97" spans="1:16">
      <c r="A97" s="238">
        <v>2006</v>
      </c>
      <c r="B97" s="239">
        <f>('[1]S&amp;P 500 &amp; Raw Data'!B82-'[1]S&amp;P 500 &amp; Raw Data'!B81+'[1]S&amp;P 500 &amp; Raw Data'!C82)/'[1]S&amp;P 500 &amp; Raw Data'!B81</f>
        <v>0.15612557979315703</v>
      </c>
      <c r="C97" s="239">
        <f>'[1]T. Bill rates'!G85</f>
        <v>4.6775000000000004E-2</v>
      </c>
      <c r="D97" s="239">
        <f>'[1]S&amp;P 500 &amp; Raw Data'!F82</f>
        <v>1.9610012417568386E-2</v>
      </c>
      <c r="E97" s="240">
        <f t="shared" si="11"/>
        <v>168884.33934842583</v>
      </c>
      <c r="F97" s="240">
        <f t="shared" si="11"/>
        <v>1848.1798754292918</v>
      </c>
      <c r="G97" s="240">
        <f t="shared" si="11"/>
        <v>4542.8708203458</v>
      </c>
      <c r="H97" s="239">
        <f t="shared" si="12"/>
        <v>0.10935057979315702</v>
      </c>
      <c r="I97" s="239">
        <f t="shared" si="13"/>
        <v>0.13651556737558865</v>
      </c>
      <c r="J97" s="243">
        <f t="shared" si="9"/>
        <v>4.9149036004805913E-2</v>
      </c>
      <c r="L97" s="244">
        <f t="shared" si="6"/>
        <v>8.3316960456282008E-2</v>
      </c>
      <c r="M97" s="244">
        <f t="shared" si="7"/>
        <v>6.0998431564533551E-2</v>
      </c>
      <c r="N97" s="245">
        <f t="shared" si="8"/>
        <v>2.2318528891748457E-2</v>
      </c>
      <c r="P97" s="246">
        <f t="shared" si="4"/>
        <v>0</v>
      </c>
    </row>
    <row r="98" spans="1:16">
      <c r="A98" s="238">
        <v>2007</v>
      </c>
      <c r="B98" s="239">
        <f>('[1]S&amp;P 500 &amp; Raw Data'!B83-'[1]S&amp;P 500 &amp; Raw Data'!B82+'[1]S&amp;P 500 &amp; Raw Data'!C83)/'[1]S&amp;P 500 &amp; Raw Data'!B82</f>
        <v>5.4847352464217694E-2</v>
      </c>
      <c r="C98" s="239">
        <f>'[1]T. Bill rates'!G86</f>
        <v>4.6425000000000001E-2</v>
      </c>
      <c r="D98" s="239">
        <f>'[1]S&amp;P 500 &amp; Raw Data'!F83</f>
        <v>0.10209921930012807</v>
      </c>
      <c r="E98" s="240">
        <f t="shared" si="11"/>
        <v>178147.19823435548</v>
      </c>
      <c r="F98" s="240">
        <f t="shared" si="11"/>
        <v>1933.9816261460965</v>
      </c>
      <c r="G98" s="240">
        <f t="shared" si="11"/>
        <v>5006.6943844844382</v>
      </c>
      <c r="H98" s="239">
        <f t="shared" si="12"/>
        <v>8.4223524642176931E-3</v>
      </c>
      <c r="I98" s="239">
        <f t="shared" si="13"/>
        <v>-4.7251866835910372E-2</v>
      </c>
      <c r="J98" s="243">
        <f t="shared" si="9"/>
        <v>4.7948712238125024E-2</v>
      </c>
      <c r="L98" s="244">
        <f t="shared" si="6"/>
        <v>5.8413831755303569E-2</v>
      </c>
      <c r="M98" s="244">
        <f t="shared" si="7"/>
        <v>6.1259477440961607E-2</v>
      </c>
      <c r="N98" s="245">
        <f t="shared" si="8"/>
        <v>-2.8456456856580381E-3</v>
      </c>
      <c r="P98" s="246">
        <f t="shared" si="4"/>
        <v>0</v>
      </c>
    </row>
    <row r="99" spans="1:16">
      <c r="A99" s="238">
        <v>2008</v>
      </c>
      <c r="B99" s="239">
        <f>('[1]S&amp;P 500 &amp; Raw Data'!B84-'[1]S&amp;P 500 &amp; Raw Data'!B83+'[1]S&amp;P 500 &amp; Raw Data'!C84)/'[1]S&amp;P 500 &amp; Raw Data'!B83</f>
        <v>-0.36552344111798191</v>
      </c>
      <c r="C99" s="239">
        <f>'[1]T. Bill rates'!G87</f>
        <v>1.585E-2</v>
      </c>
      <c r="D99" s="239">
        <f>'[1]S&amp;P 500 &amp; Raw Data'!F84</f>
        <v>0.20101279926977011</v>
      </c>
      <c r="E99" s="240">
        <f t="shared" si="11"/>
        <v>113030.22131020659</v>
      </c>
      <c r="F99" s="240">
        <f t="shared" si="11"/>
        <v>1964.6352349205119</v>
      </c>
      <c r="G99" s="240">
        <f t="shared" si="11"/>
        <v>6013.1040377978934</v>
      </c>
      <c r="H99" s="239">
        <f t="shared" si="12"/>
        <v>-0.38137344111798188</v>
      </c>
      <c r="I99" s="239">
        <f t="shared" si="13"/>
        <v>-0.56653624038775208</v>
      </c>
      <c r="J99" s="243">
        <f t="shared" si="9"/>
        <v>3.8795868868689798E-2</v>
      </c>
      <c r="L99" s="244">
        <f t="shared" si="6"/>
        <v>-1.3580715803110044E-2</v>
      </c>
      <c r="M99" s="244">
        <f t="shared" si="7"/>
        <v>6.5948548098608395E-2</v>
      </c>
      <c r="N99" s="245">
        <f t="shared" si="8"/>
        <v>-7.9529263901718439E-2</v>
      </c>
      <c r="P99" s="246">
        <f t="shared" si="4"/>
        <v>0</v>
      </c>
    </row>
    <row r="100" spans="1:16">
      <c r="A100" s="238">
        <v>2009</v>
      </c>
      <c r="B100" s="239">
        <f>('[1]S&amp;P 500 &amp; Raw Data'!B85-'[1]S&amp;P 500 &amp; Raw Data'!B84+'[1]S&amp;P 500 &amp; Raw Data'!C85)/'[1]S&amp;P 500 &amp; Raw Data'!B84</f>
        <v>0.25935233877663982</v>
      </c>
      <c r="C100" s="239">
        <f>'[1]T. Bill rates'!G88</f>
        <v>1.3500000000000001E-3</v>
      </c>
      <c r="D100" s="239">
        <f>'[1]S&amp;P 500 &amp; Raw Data'!F85</f>
        <v>-0.11116695313259162</v>
      </c>
      <c r="E100" s="240">
        <f t="shared" ref="E100:G106" si="14">E99*(1+B100)</f>
        <v>142344.87355944986</v>
      </c>
      <c r="F100" s="240">
        <f t="shared" si="14"/>
        <v>1967.2874924876546</v>
      </c>
      <c r="G100" s="240">
        <f t="shared" si="14"/>
        <v>5344.6455830466175</v>
      </c>
      <c r="H100" s="239">
        <f t="shared" si="12"/>
        <v>0.25800233877663981</v>
      </c>
      <c r="I100" s="239">
        <f t="shared" si="13"/>
        <v>0.37051929190923144</v>
      </c>
      <c r="J100" s="243">
        <f t="shared" si="9"/>
        <v>4.2868506133348472E-2</v>
      </c>
      <c r="L100" s="244">
        <f t="shared" si="6"/>
        <v>-9.5355058192430064E-3</v>
      </c>
      <c r="M100" s="244">
        <f t="shared" si="7"/>
        <v>6.2575136538935983E-2</v>
      </c>
      <c r="N100" s="245">
        <f t="shared" si="8"/>
        <v>-7.2110642358178989E-2</v>
      </c>
      <c r="P100" s="246">
        <f t="shared" si="4"/>
        <v>0</v>
      </c>
    </row>
    <row r="101" spans="1:16">
      <c r="A101" s="238">
        <v>2010</v>
      </c>
      <c r="B101" s="239">
        <f>('[1]S&amp;P 500 &amp; Raw Data'!B86-'[1]S&amp;P 500 &amp; Raw Data'!B85+'[1]S&amp;P 500 &amp; Raw Data'!C86)/'[1]S&amp;P 500 &amp; Raw Data'!B85</f>
        <v>0.14821092278719414</v>
      </c>
      <c r="C101" s="239">
        <v>1.2999999999999999E-3</v>
      </c>
      <c r="D101" s="239">
        <f>'[1]S&amp;P 500 &amp; Raw Data'!F86</f>
        <v>8.4629338803557719E-2</v>
      </c>
      <c r="E101" s="240">
        <f t="shared" si="14"/>
        <v>163441.93862372241</v>
      </c>
      <c r="F101" s="240">
        <f t="shared" si="14"/>
        <v>1969.8449662278888</v>
      </c>
      <c r="G101" s="240">
        <f t="shared" si="14"/>
        <v>5796.9594048792078</v>
      </c>
      <c r="H101" s="239">
        <f t="shared" si="12"/>
        <v>0.14691092278719414</v>
      </c>
      <c r="I101" s="239">
        <f t="shared" si="13"/>
        <v>6.3581583983636419E-2</v>
      </c>
      <c r="J101" s="243">
        <f t="shared" si="9"/>
        <v>4.3108516433475463E-2</v>
      </c>
      <c r="L101" s="244">
        <f t="shared" si="6"/>
        <v>1.3799629164080285E-2</v>
      </c>
      <c r="M101" s="244">
        <f t="shared" si="7"/>
        <v>5.486613237092719E-2</v>
      </c>
      <c r="N101" s="245">
        <f t="shared" si="8"/>
        <v>-4.1066503206846905E-2</v>
      </c>
      <c r="P101" s="246">
        <f t="shared" si="4"/>
        <v>0</v>
      </c>
    </row>
    <row r="102" spans="1:16">
      <c r="A102" s="238">
        <v>2011</v>
      </c>
      <c r="B102" s="239">
        <f>('[1]S&amp;P 500 &amp; Raw Data'!B87-'[1]S&amp;P 500 &amp; Raw Data'!B86+'[1]S&amp;P 500 &amp; Raw Data'!C87)/'[1]S&amp;P 500 &amp; Raw Data'!B86</f>
        <v>2.09837473362805E-2</v>
      </c>
      <c r="C102" s="239">
        <v>2.9999999999999997E-4</v>
      </c>
      <c r="D102" s="239">
        <f>'[1]S&amp;P 500 &amp; Raw Data'!F87</f>
        <v>0.16035334999461354</v>
      </c>
      <c r="E102" s="240">
        <f t="shared" si="14"/>
        <v>166871.56296795449</v>
      </c>
      <c r="F102" s="240">
        <f t="shared" si="14"/>
        <v>1970.4359197177571</v>
      </c>
      <c r="G102" s="240">
        <f t="shared" si="14"/>
        <v>6726.5212652343698</v>
      </c>
      <c r="H102" s="239">
        <f t="shared" si="12"/>
        <v>2.0683747336280499E-2</v>
      </c>
      <c r="I102" s="239">
        <f t="shared" si="13"/>
        <v>-0.13936960265833304</v>
      </c>
      <c r="J102" s="243">
        <f t="shared" si="9"/>
        <v>4.0970429004248521E-2</v>
      </c>
      <c r="L102" s="244">
        <f t="shared" si="6"/>
        <v>2.8801670065618401E-2</v>
      </c>
      <c r="M102" s="244">
        <f t="shared" si="7"/>
        <v>6.4881851790757672E-2</v>
      </c>
      <c r="N102" s="245">
        <f t="shared" si="8"/>
        <v>-3.6080181725139271E-2</v>
      </c>
      <c r="P102" s="246">
        <f t="shared" si="4"/>
        <v>0</v>
      </c>
    </row>
    <row r="103" spans="1:16">
      <c r="A103" s="238">
        <v>2012</v>
      </c>
      <c r="B103" s="239">
        <f>('[1]S&amp;P 500 &amp; Raw Data'!B88-'[1]S&amp;P 500 &amp; Raw Data'!B87+'[1]S&amp;P 500 &amp; Raw Data'!C88)/'[1]S&amp;P 500 &amp; Raw Data'!B87</f>
        <v>0.15890585241730293</v>
      </c>
      <c r="C103" s="239">
        <v>5.0000000000000001E-4</v>
      </c>
      <c r="D103" s="239">
        <f>'[1]S&amp;P 500 &amp; Raw Data'!F88</f>
        <v>2.971571978018946E-2</v>
      </c>
      <c r="E103" s="240">
        <f t="shared" si="14"/>
        <v>193388.43092558492</v>
      </c>
      <c r="F103" s="240">
        <f t="shared" si="14"/>
        <v>1971.4211376776159</v>
      </c>
      <c r="G103" s="240">
        <f t="shared" si="14"/>
        <v>6926.4046862475598</v>
      </c>
      <c r="H103" s="239">
        <f t="shared" si="12"/>
        <v>0.15840585241730293</v>
      </c>
      <c r="I103" s="239">
        <f t="shared" si="13"/>
        <v>0.12919013263711346</v>
      </c>
      <c r="J103" s="243">
        <f t="shared" si="9"/>
        <v>4.1988275684727405E-2</v>
      </c>
      <c r="L103" s="244">
        <f t="shared" si="6"/>
        <v>7.0306384229671837E-2</v>
      </c>
      <c r="M103" s="244">
        <f t="shared" si="7"/>
        <v>5.3075332415108534E-2</v>
      </c>
      <c r="N103" s="245">
        <f t="shared" si="8"/>
        <v>1.7231051814563303E-2</v>
      </c>
      <c r="P103" s="246">
        <f t="shared" si="4"/>
        <v>0</v>
      </c>
    </row>
    <row r="104" spans="1:16">
      <c r="A104" s="238">
        <v>2013</v>
      </c>
      <c r="B104" s="239">
        <f>('[1]S&amp;P 500 &amp; Raw Data'!B89-'[1]S&amp;P 500 &amp; Raw Data'!B88+'[1]S&amp;P 500 &amp; Raw Data'!C89)/'[1]S&amp;P 500 &amp; Raw Data'!B88</f>
        <v>0.32145085858125483</v>
      </c>
      <c r="C104" s="239">
        <v>6.6E-4</v>
      </c>
      <c r="D104" s="239">
        <f>'[1]S&amp;P 500 &amp; Raw Data'!F89</f>
        <v>-9.104568794347262E-2</v>
      </c>
      <c r="E104" s="240">
        <f t="shared" si="14"/>
        <v>255553.30808629587</v>
      </c>
      <c r="F104" s="240">
        <f t="shared" si="14"/>
        <v>1972.7222756284834</v>
      </c>
      <c r="G104" s="240">
        <f t="shared" si="14"/>
        <v>6295.7854066132577</v>
      </c>
      <c r="H104" s="239">
        <f t="shared" si="12"/>
        <v>0.32079085858125483</v>
      </c>
      <c r="I104" s="239">
        <f t="shared" si="13"/>
        <v>0.41249654652472745</v>
      </c>
      <c r="J104" s="243">
        <f t="shared" si="9"/>
        <v>4.6176809418723153E-2</v>
      </c>
      <c r="L104" s="244">
        <f t="shared" si="6"/>
        <v>7.3424906380343158E-2</v>
      </c>
      <c r="M104" s="244">
        <f t="shared" si="7"/>
        <v>4.2679779872064394E-2</v>
      </c>
      <c r="N104" s="245">
        <f t="shared" si="8"/>
        <v>3.0745126508278764E-2</v>
      </c>
      <c r="P104" s="246">
        <f t="shared" si="4"/>
        <v>-3.4924596548080444E-10</v>
      </c>
    </row>
    <row r="105" spans="1:16">
      <c r="A105" s="238">
        <v>2014</v>
      </c>
      <c r="B105" s="239">
        <f>('[1]S&amp;P 500 &amp; Raw Data'!B90-'[1]S&amp;P 500 &amp; Raw Data'!B89+'[1]S&amp;P 500 &amp; Raw Data'!C90)/'[1]S&amp;P 500 &amp; Raw Data'!B89</f>
        <v>0.13524421649462237</v>
      </c>
      <c r="C105" s="239">
        <v>5.2999999999999998E-4</v>
      </c>
      <c r="D105" s="239">
        <f>'[1]S&amp;P 500 &amp; Raw Data'!F90</f>
        <v>0.10746180452004755</v>
      </c>
      <c r="E105" s="240">
        <f t="shared" si="14"/>
        <v>290115.4150110358</v>
      </c>
      <c r="F105" s="240">
        <f t="shared" si="14"/>
        <v>1973.7678184345664</v>
      </c>
      <c r="G105" s="240">
        <f t="shared" si="14"/>
        <v>6972.3418672788994</v>
      </c>
      <c r="H105" s="239">
        <f t="shared" si="12"/>
        <v>0.13471421649462237</v>
      </c>
      <c r="I105" s="239">
        <f t="shared" si="13"/>
        <v>2.7782411974574817E-2</v>
      </c>
      <c r="J105" s="243">
        <f>((E105/100)^(1/(A105-$A$19+1)))-((G105/100)^(1/(A105-$A$19+1)))</f>
        <v>4.5975029375833421E-2</v>
      </c>
      <c r="L105" s="244">
        <f t="shared" si="6"/>
        <v>7.6091143676783268E-2</v>
      </c>
      <c r="M105" s="244">
        <f t="shared" si="7"/>
        <v>4.8759892009620165E-2</v>
      </c>
      <c r="N105" s="245">
        <f t="shared" si="8"/>
        <v>2.7331251667163103E-2</v>
      </c>
      <c r="P105" s="246">
        <f t="shared" si="4"/>
        <v>0</v>
      </c>
    </row>
    <row r="106" spans="1:16">
      <c r="A106" s="247">
        <v>2015</v>
      </c>
      <c r="B106" s="239">
        <f>('[1]S&amp;P 500 &amp; Raw Data'!B91-'[1]S&amp;P 500 &amp; Raw Data'!B90+'[1]S&amp;P 500 &amp; Raw Data'!C91)/'[1]S&amp;P 500 &amp; Raw Data'!B90</f>
        <v>1.3599494875904609E-2</v>
      </c>
      <c r="C106" s="248">
        <v>2.0999999999999999E-3</v>
      </c>
      <c r="D106" s="239">
        <f>'[1]S&amp;P 500 &amp; Raw Data'!F91</f>
        <v>1.2842996709792224E-2</v>
      </c>
      <c r="E106" s="240">
        <f>E105*(1+B106)</f>
        <v>294060.83811089932</v>
      </c>
      <c r="F106" s="240">
        <f>F105*(1+C106)</f>
        <v>1977.9127308532788</v>
      </c>
      <c r="G106" s="240">
        <f t="shared" si="14"/>
        <v>7061.8876309399093</v>
      </c>
      <c r="H106" s="239">
        <f>B106-C106</f>
        <v>1.149949487590461E-2</v>
      </c>
      <c r="I106" s="239">
        <f>B106-D106</f>
        <v>7.5649816611238554E-4</v>
      </c>
      <c r="J106" s="243">
        <f t="shared" si="9"/>
        <v>4.543213214629449E-2</v>
      </c>
      <c r="L106" s="244">
        <f t="shared" si="6"/>
        <v>7.2470319981030373E-2</v>
      </c>
      <c r="M106" s="244">
        <f t="shared" si="7"/>
        <v>4.7134456900344901E-2</v>
      </c>
      <c r="N106" s="245">
        <f>L106-M106</f>
        <v>2.5335863080685472E-2</v>
      </c>
      <c r="P106" s="246">
        <f>(E96*(1+L106)^10)-E106</f>
        <v>0</v>
      </c>
    </row>
    <row r="107" spans="1:16">
      <c r="F107" s="249" t="s">
        <v>225</v>
      </c>
      <c r="G107" s="250"/>
      <c r="H107" s="251" t="s">
        <v>226</v>
      </c>
      <c r="I107" s="251"/>
    </row>
    <row r="108" spans="1:16">
      <c r="A108" s="252" t="s">
        <v>227</v>
      </c>
      <c r="B108" s="253"/>
      <c r="C108" s="253"/>
      <c r="D108" s="253"/>
      <c r="F108" s="254" t="s">
        <v>228</v>
      </c>
      <c r="G108" s="254" t="s">
        <v>229</v>
      </c>
      <c r="H108" s="254" t="s">
        <v>228</v>
      </c>
      <c r="I108" s="254" t="s">
        <v>229</v>
      </c>
    </row>
    <row r="109" spans="1:16">
      <c r="A109" s="255" t="s">
        <v>230</v>
      </c>
      <c r="B109" s="256">
        <f>AVERAGE(B19:B106)</f>
        <v>0.11411999847221134</v>
      </c>
      <c r="C109" s="256">
        <f>AVERAGE(C19:C106)</f>
        <v>3.4938806818181817E-2</v>
      </c>
      <c r="D109" s="256">
        <f>AVERAGE(D19:D106)</f>
        <v>5.2312982394253658E-2</v>
      </c>
      <c r="F109" s="257">
        <f>B109-C109</f>
        <v>7.9181191654029523E-2</v>
      </c>
      <c r="G109" s="257">
        <f>B109-D109</f>
        <v>6.1807016077957681E-2</v>
      </c>
      <c r="H109" s="257">
        <f>STDEV(H19:H106)/(($A$106-$A$19+1)^0.5)</f>
        <v>2.145837352247254E-2</v>
      </c>
      <c r="I109" s="257">
        <f>STDEV(I19:I106)/(($A$106-$A$19+1)^0.5)</f>
        <v>2.2896640567021138E-2</v>
      </c>
      <c r="M109" s="258"/>
    </row>
    <row r="110" spans="1:16">
      <c r="A110" s="255" t="s">
        <v>231</v>
      </c>
      <c r="B110" s="256">
        <f>AVERAGE(B57:B106)</f>
        <v>0.11013278061555459</v>
      </c>
      <c r="C110" s="256">
        <f>AVERAGE(C57:C106)</f>
        <v>4.9665299999999996E-2</v>
      </c>
      <c r="D110" s="256">
        <f>AVERAGE(D57:D106)</f>
        <v>7.1239879348670557E-2</v>
      </c>
      <c r="F110" s="257">
        <f>B110-C110</f>
        <v>6.0467480615554597E-2</v>
      </c>
      <c r="G110" s="257">
        <f>B110-D110</f>
        <v>3.8892901266884036E-2</v>
      </c>
      <c r="H110" s="257">
        <f>STDEV(H57:H106)/(($A$106-$A$57+1)^0.5)</f>
        <v>2.4244244738585108E-2</v>
      </c>
      <c r="I110" s="257">
        <f>STDEV(I57:I106)/(($A$106-$A$57+1)^0.5)</f>
        <v>2.7385586705666348E-2</v>
      </c>
      <c r="M110" s="258"/>
    </row>
    <row r="111" spans="1:16">
      <c r="A111" s="255" t="s">
        <v>232</v>
      </c>
      <c r="B111" s="256">
        <f>AVERAGE(B97:B106)</f>
        <v>9.0319692240859201E-2</v>
      </c>
      <c r="C111" s="256">
        <f>AVERAGE(C97:C106)</f>
        <v>1.1579000000000001E-2</v>
      </c>
      <c r="D111" s="256">
        <f>AVERAGE(D97:D106)</f>
        <v>5.1551259971960285E-2</v>
      </c>
      <c r="F111" s="257">
        <f>B111-C111</f>
        <v>7.8740692240859195E-2</v>
      </c>
      <c r="G111" s="257">
        <f>B111-D111</f>
        <v>3.8768432268898916E-2</v>
      </c>
      <c r="H111" s="257">
        <f>STDEV(H97:H106)/(($A$106-$A$97+1)^0.5)</f>
        <v>6.0583130376220221E-2</v>
      </c>
      <c r="I111" s="257">
        <f>STDEV(I97:I106)/(($A$106-$A$97+1)^0.5)</f>
        <v>8.6613420369947694E-2</v>
      </c>
      <c r="M111" s="258"/>
    </row>
    <row r="112" spans="1:16">
      <c r="F112" s="259" t="s">
        <v>225</v>
      </c>
      <c r="M112" s="258"/>
    </row>
    <row r="113" spans="1:7">
      <c r="A113" s="260" t="s">
        <v>233</v>
      </c>
      <c r="F113" s="254" t="s">
        <v>228</v>
      </c>
      <c r="G113" s="254" t="s">
        <v>229</v>
      </c>
    </row>
    <row r="114" spans="1:7">
      <c r="A114" s="255" t="s">
        <v>230</v>
      </c>
      <c r="B114" s="261">
        <f>(E106/100)^(1/(A106-A19+1))-1</f>
        <v>9.4999848238614071E-2</v>
      </c>
      <c r="C114" s="261">
        <f>(F106/100)^(1/(A106-A19+1))-1</f>
        <v>3.449793104232679E-2</v>
      </c>
      <c r="D114" s="261">
        <f>(G106/100)^(1/(A106-A19+1))-1</f>
        <v>4.956771609231958E-2</v>
      </c>
      <c r="F114" s="257">
        <f>B114-C114</f>
        <v>6.050191719628728E-2</v>
      </c>
      <c r="G114" s="262">
        <f>B114-D114</f>
        <v>4.543213214629449E-2</v>
      </c>
    </row>
    <row r="115" spans="1:7">
      <c r="A115" s="255" t="s">
        <v>231</v>
      </c>
      <c r="B115" s="261">
        <f>(E106/E56)^(1/($A$106-$A$56))-1</f>
        <v>9.6105862866443292E-2</v>
      </c>
      <c r="C115" s="261">
        <f>(F106/F56)^(1/($A$106-$A$56))-1</f>
        <v>4.9188704306527331E-2</v>
      </c>
      <c r="D115" s="261">
        <f>(G106/G56)^(1/($A$106-$A$56))-1</f>
        <v>6.7106868631679806E-2</v>
      </c>
      <c r="F115" s="257">
        <f>B115-C115</f>
        <v>4.6917158559915961E-2</v>
      </c>
      <c r="G115" s="262">
        <f>B115-D115</f>
        <v>2.8998994234763487E-2</v>
      </c>
    </row>
    <row r="116" spans="1:7">
      <c r="A116" s="255" t="s">
        <v>232</v>
      </c>
      <c r="B116" s="261">
        <f>(E106/E96)^(1/($A$106-$A$96))-1</f>
        <v>7.2470319981030373E-2</v>
      </c>
      <c r="C116" s="261">
        <f>(F106/F96)^(1/($A$106-$A$96))-1</f>
        <v>1.142019999443078E-2</v>
      </c>
      <c r="D116" s="261">
        <f>(G106/G96)^(1/($A$106-$A$96))-1</f>
        <v>4.7134456900344901E-2</v>
      </c>
      <c r="F116" s="257">
        <f>B116-C116</f>
        <v>6.1050119986599594E-2</v>
      </c>
      <c r="G116" s="262">
        <f>B116-D116</f>
        <v>2.5335863080685472E-2</v>
      </c>
    </row>
  </sheetData>
  <mergeCells count="10">
    <mergeCell ref="B6:G6"/>
    <mergeCell ref="B7:G7"/>
    <mergeCell ref="F107:G107"/>
    <mergeCell ref="H107:I107"/>
    <mergeCell ref="B1:G1"/>
    <mergeCell ref="B2:G2"/>
    <mergeCell ref="B3:E3"/>
    <mergeCell ref="F3:G3"/>
    <mergeCell ref="B4:G4"/>
    <mergeCell ref="B5:G5"/>
  </mergeCells>
  <hyperlinks>
    <hyperlink ref="B2" r:id="rId1"/>
    <hyperlink ref="B4" r:id="rId2"/>
    <hyperlink ref="B5" r:id="rId3"/>
    <hyperlink ref="B6" r:id="rId4"/>
    <hyperlink ref="B7" r:id="rId5"/>
  </hyperlinks>
  <printOptions gridLinesSet="0"/>
  <pageMargins left="0.78740157499999996" right="0.78740157499999996" top="0.984251969" bottom="0.984251969" header="0.5" footer="0.5"/>
  <pageSetup orientation="portrait" horizontalDpi="4294967292" verticalDpi="4294967292"/>
  <headerFooter alignWithMargins="0">
    <oddHeader>&amp;A</oddHeader>
    <oddFooter>Page &amp;P</oddFooter>
  </headerFooter>
  <drawing r:id="rId6"/>
  <legacyDrawing r:id="rId7"/>
  <tableParts count="1"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workbookViewId="0">
      <selection activeCell="H23" sqref="H23"/>
    </sheetView>
  </sheetViews>
  <sheetFormatPr baseColWidth="10" defaultColWidth="10.7109375" defaultRowHeight="12.75"/>
  <cols>
    <col min="1" max="1" width="15.42578125" style="13" bestFit="1" customWidth="1"/>
    <col min="2" max="2" width="15.85546875" style="13" bestFit="1" customWidth="1"/>
    <col min="3" max="5" width="10.7109375" style="13"/>
    <col min="6" max="6" width="11.7109375" style="13" bestFit="1" customWidth="1"/>
    <col min="7" max="16384" width="10.7109375" style="13"/>
  </cols>
  <sheetData>
    <row r="1" spans="1:10" ht="25.5">
      <c r="A1" s="17" t="s">
        <v>9</v>
      </c>
      <c r="B1" s="13" t="s">
        <v>7</v>
      </c>
      <c r="C1" s="13" t="s">
        <v>8</v>
      </c>
      <c r="D1" s="53" t="s">
        <v>150</v>
      </c>
      <c r="E1" s="18" t="s">
        <v>51</v>
      </c>
      <c r="F1" s="18" t="s">
        <v>54</v>
      </c>
      <c r="G1" s="18" t="s">
        <v>55</v>
      </c>
    </row>
    <row r="2" spans="1:10">
      <c r="A2" s="18">
        <v>2001</v>
      </c>
      <c r="B2" s="14">
        <f t="shared" ref="B2:B14" si="0">I22</f>
        <v>1.3709726589378883E-2</v>
      </c>
      <c r="C2" s="14">
        <f t="shared" ref="C2:C14" si="1">J22</f>
        <v>1.2490273410621118E-2</v>
      </c>
      <c r="D2" s="55">
        <f t="shared" ref="D2:D14" si="2">K22</f>
        <v>2.6200000000000001E-2</v>
      </c>
      <c r="E2" s="58">
        <f>(D22+E22)/C22</f>
        <v>0.77425889317889307</v>
      </c>
      <c r="F2" s="58">
        <f t="shared" ref="F2:F14" si="3">C22/M22</f>
        <v>0.11924493554327809</v>
      </c>
      <c r="G2" s="58">
        <f t="shared" ref="G2:G15" si="4">C22/O22</f>
        <v>5.2722288568016501E-2</v>
      </c>
      <c r="I2" s="100"/>
      <c r="J2" s="38" t="s">
        <v>181</v>
      </c>
    </row>
    <row r="3" spans="1:10">
      <c r="A3" s="18">
        <v>2002</v>
      </c>
      <c r="B3" s="14">
        <f t="shared" si="0"/>
        <v>1.8140074106067151E-2</v>
      </c>
      <c r="C3" s="14">
        <f t="shared" si="1"/>
        <v>1.5759925893932849E-2</v>
      </c>
      <c r="D3" s="55">
        <f t="shared" si="2"/>
        <v>3.39E-2</v>
      </c>
      <c r="E3" s="58">
        <f t="shared" ref="E3:E13" si="5">(D23+E23)/C23</f>
        <v>0.64782576020851435</v>
      </c>
      <c r="F3" s="58">
        <f t="shared" si="3"/>
        <v>0.13606407187398409</v>
      </c>
      <c r="G3" s="58">
        <f t="shared" si="4"/>
        <v>6.8248862271898483E-2</v>
      </c>
      <c r="I3" s="98"/>
      <c r="J3" s="38" t="s">
        <v>182</v>
      </c>
    </row>
    <row r="4" spans="1:10">
      <c r="A4" s="18">
        <v>2003</v>
      </c>
      <c r="B4" s="14">
        <f t="shared" si="0"/>
        <v>1.6080438164959392E-2</v>
      </c>
      <c r="C4" s="14">
        <f t="shared" si="1"/>
        <v>1.2319561835040609E-2</v>
      </c>
      <c r="D4" s="55">
        <f t="shared" si="2"/>
        <v>2.8400000000000002E-2</v>
      </c>
      <c r="E4" s="58">
        <f t="shared" si="5"/>
        <v>0.57740435180106064</v>
      </c>
      <c r="F4" s="58">
        <f t="shared" si="3"/>
        <v>0.1679049490359818</v>
      </c>
      <c r="G4" s="58">
        <f t="shared" si="4"/>
        <v>7.694039194721515E-2</v>
      </c>
    </row>
    <row r="5" spans="1:10">
      <c r="A5" s="18">
        <v>2004</v>
      </c>
      <c r="B5" s="14">
        <f t="shared" si="0"/>
        <v>1.568585385173939E-2</v>
      </c>
      <c r="C5" s="14">
        <f t="shared" si="1"/>
        <v>1.7814146148260612E-2</v>
      </c>
      <c r="D5" s="55">
        <f t="shared" si="2"/>
        <v>3.3500000000000002E-2</v>
      </c>
      <c r="E5" s="58">
        <f t="shared" si="5"/>
        <v>0.59987174940898347</v>
      </c>
      <c r="F5" s="58">
        <f t="shared" si="3"/>
        <v>0.18432878503145683</v>
      </c>
      <c r="G5" s="58">
        <f t="shared" si="4"/>
        <v>8.5869799662509363E-2</v>
      </c>
    </row>
    <row r="6" spans="1:10">
      <c r="A6" s="18">
        <v>2005</v>
      </c>
      <c r="B6" s="14">
        <f t="shared" si="0"/>
        <v>1.7899999999999999E-2</v>
      </c>
      <c r="C6" s="14">
        <f t="shared" si="1"/>
        <v>3.1099999999999999E-2</v>
      </c>
      <c r="D6" s="55">
        <f t="shared" si="2"/>
        <v>4.9000000000000002E-2</v>
      </c>
      <c r="E6" s="58">
        <f t="shared" si="5"/>
        <v>0.80008122956180494</v>
      </c>
      <c r="F6" s="58">
        <f t="shared" si="3"/>
        <v>0.18432790837854129</v>
      </c>
      <c r="G6" s="58">
        <f t="shared" si="4"/>
        <v>8.7439381462164886E-2</v>
      </c>
    </row>
    <row r="7" spans="1:10">
      <c r="A7" s="18">
        <v>2006</v>
      </c>
      <c r="B7" s="14">
        <f t="shared" si="0"/>
        <v>1.765653232775552E-2</v>
      </c>
      <c r="C7" s="14">
        <f t="shared" si="1"/>
        <v>3.3924895906984054E-2</v>
      </c>
      <c r="D7" s="55">
        <f t="shared" si="2"/>
        <v>5.16E-2</v>
      </c>
      <c r="E7" s="58">
        <f t="shared" si="5"/>
        <v>0.83399384023405299</v>
      </c>
      <c r="F7" s="58">
        <f t="shared" si="3"/>
        <v>0.19361673950470137</v>
      </c>
      <c r="G7" s="58">
        <f t="shared" si="4"/>
        <v>9.209352132786007E-2</v>
      </c>
    </row>
    <row r="8" spans="1:10">
      <c r="A8" s="19">
        <v>2007</v>
      </c>
      <c r="B8" s="14">
        <f t="shared" si="0"/>
        <v>1.9163040099471559E-2</v>
      </c>
      <c r="C8" s="14">
        <f t="shared" si="1"/>
        <v>4.5781784271059993E-2</v>
      </c>
      <c r="D8" s="55">
        <f t="shared" si="2"/>
        <v>6.4944824370531548E-2</v>
      </c>
      <c r="E8" s="58">
        <f t="shared" si="5"/>
        <v>1.1553474959136625</v>
      </c>
      <c r="F8" s="58">
        <f t="shared" si="3"/>
        <v>0.1636432125934297</v>
      </c>
      <c r="G8" s="58">
        <f t="shared" si="4"/>
        <v>8.0520544737971683E-2</v>
      </c>
    </row>
    <row r="9" spans="1:10">
      <c r="A9" s="13">
        <v>2008</v>
      </c>
      <c r="B9" s="14">
        <f t="shared" si="0"/>
        <v>3.1493886907794193E-2</v>
      </c>
      <c r="C9" s="14">
        <f t="shared" si="1"/>
        <v>4.3255221599592462E-2</v>
      </c>
      <c r="D9" s="55">
        <f t="shared" si="2"/>
        <v>7.4749108507386655E-2</v>
      </c>
      <c r="E9" s="58">
        <f t="shared" si="5"/>
        <v>1.3637069735264997</v>
      </c>
      <c r="F9" s="58">
        <f t="shared" si="3"/>
        <v>9.3487414792575385E-2</v>
      </c>
      <c r="G9" s="58">
        <f t="shared" si="4"/>
        <v>4.7493429004470192E-2</v>
      </c>
    </row>
    <row r="10" spans="1:10">
      <c r="A10" s="13">
        <v>2009</v>
      </c>
      <c r="B10" s="14">
        <f t="shared" si="0"/>
        <v>1.9702860596293312E-2</v>
      </c>
      <c r="C10" s="14">
        <f t="shared" si="1"/>
        <v>1.3864826752618856E-2</v>
      </c>
      <c r="D10" s="55">
        <f t="shared" si="2"/>
        <v>3.3567687348912169E-2</v>
      </c>
      <c r="E10" s="58">
        <f t="shared" si="5"/>
        <v>0.65824782613501698</v>
      </c>
      <c r="F10" s="58">
        <f t="shared" si="3"/>
        <v>0.12597204067616369</v>
      </c>
      <c r="G10" s="58">
        <f t="shared" si="4"/>
        <v>6.2593571114046676E-2</v>
      </c>
    </row>
    <row r="11" spans="1:10">
      <c r="A11" s="13">
        <v>2010</v>
      </c>
      <c r="B11" s="14">
        <f t="shared" si="0"/>
        <v>1.8007874015748031E-2</v>
      </c>
      <c r="C11" s="14">
        <f t="shared" si="1"/>
        <v>2.6143482064741905E-2</v>
      </c>
      <c r="D11" s="55">
        <f t="shared" si="2"/>
        <v>4.4151356080489937E-2</v>
      </c>
      <c r="E11" s="58">
        <f t="shared" si="5"/>
        <v>0.66284483062035782</v>
      </c>
      <c r="F11" s="58">
        <f t="shared" si="3"/>
        <v>0.16310993418746833</v>
      </c>
      <c r="G11" s="58">
        <f t="shared" si="4"/>
        <v>8.7014781190597371E-2</v>
      </c>
    </row>
    <row r="12" spans="1:10">
      <c r="A12" s="13">
        <v>2011</v>
      </c>
      <c r="B12" s="14">
        <f t="shared" si="0"/>
        <v>2.1097935880544576E-2</v>
      </c>
      <c r="C12" s="14">
        <f t="shared" si="1"/>
        <v>3.5580149319279761E-2</v>
      </c>
      <c r="D12" s="55">
        <f t="shared" si="2"/>
        <v>5.6678085199824341E-2</v>
      </c>
      <c r="E12" s="58">
        <f t="shared" si="5"/>
        <v>0.73909539555473958</v>
      </c>
      <c r="F12" s="58">
        <f t="shared" si="3"/>
        <v>0.1665227751493594</v>
      </c>
      <c r="G12" s="58">
        <f t="shared" si="4"/>
        <v>9.1600733261780157E-2</v>
      </c>
    </row>
    <row r="13" spans="1:10">
      <c r="A13" s="13">
        <v>2012</v>
      </c>
      <c r="B13" s="41">
        <f t="shared" si="0"/>
        <v>2.1911526514700005E-2</v>
      </c>
      <c r="C13" s="42">
        <f t="shared" si="1"/>
        <v>3.1306702244545591E-2</v>
      </c>
      <c r="D13" s="43">
        <f t="shared" si="2"/>
        <v>5.3218228759245596E-2</v>
      </c>
      <c r="E13" s="58">
        <f t="shared" si="5"/>
        <v>0.78392176899554311</v>
      </c>
      <c r="F13" s="58">
        <f t="shared" si="3"/>
        <v>0.1579084711485142</v>
      </c>
      <c r="G13" s="58">
        <f t="shared" si="4"/>
        <v>8.863297234453528E-2</v>
      </c>
    </row>
    <row r="14" spans="1:10">
      <c r="A14" s="13">
        <v>2013</v>
      </c>
      <c r="B14" s="41">
        <f t="shared" si="0"/>
        <v>1.888160315090134E-2</v>
      </c>
      <c r="C14" s="41">
        <f t="shared" si="1"/>
        <v>2.8798502456231469E-2</v>
      </c>
      <c r="D14" s="43">
        <f t="shared" si="2"/>
        <v>4.768010560713281E-2</v>
      </c>
      <c r="E14" s="58">
        <f>(D34+E34)/C34</f>
        <v>0.83997331300038114</v>
      </c>
      <c r="F14" s="58">
        <f t="shared" si="3"/>
        <v>0.15730842466677661</v>
      </c>
      <c r="G14" s="58">
        <f t="shared" si="4"/>
        <v>9.3946150195646533E-2</v>
      </c>
    </row>
    <row r="15" spans="1:10" ht="13.5" thickBot="1">
      <c r="A15" s="13">
        <v>2014</v>
      </c>
      <c r="B15" s="41">
        <f>I35</f>
        <v>1.9206906001644285E-2</v>
      </c>
      <c r="C15" s="41">
        <f>J35</f>
        <v>3.0324472458207727E-2</v>
      </c>
      <c r="D15" s="43">
        <f>K35</f>
        <v>4.9531378459852012E-2</v>
      </c>
      <c r="E15" s="58">
        <f>(D35+E35)/C35</f>
        <v>0.87792833256705682</v>
      </c>
      <c r="F15" s="58">
        <f>C35/M35</f>
        <v>0.16227089852481</v>
      </c>
      <c r="G15" s="58">
        <f t="shared" si="4"/>
        <v>9.9639732372619666E-2</v>
      </c>
    </row>
    <row r="16" spans="1:10" ht="13.5" thickBot="1">
      <c r="A16" s="16" t="s">
        <v>29</v>
      </c>
      <c r="B16" s="15"/>
      <c r="C16" s="54"/>
      <c r="D16" s="56">
        <f>AVERAGE(D6:D15)</f>
        <v>5.2512077433337502E-2</v>
      </c>
      <c r="E16" s="14">
        <f>AVERAGE(E5:E14)</f>
        <v>0.84370844229510422</v>
      </c>
      <c r="F16" s="14">
        <f>AVERAGE(F6:F15)</f>
        <v>0.15681678196223398</v>
      </c>
      <c r="G16" s="14">
        <f>AVERAGE(G6:G15)</f>
        <v>8.3097481701169248E-2</v>
      </c>
    </row>
    <row r="17" spans="1:19" ht="13.5" thickBot="1">
      <c r="A17" s="19" t="s">
        <v>31</v>
      </c>
      <c r="B17" s="15"/>
      <c r="C17" s="15"/>
      <c r="D17" s="57">
        <f>AVERAGE(D11:D15)</f>
        <v>5.0251830821308942E-2</v>
      </c>
      <c r="E17" s="14">
        <f>AVERAGE(E10:E14)</f>
        <v>0.73681662686120775</v>
      </c>
      <c r="F17" s="14">
        <f>AVERAGE(F11:F15)</f>
        <v>0.16142410073538571</v>
      </c>
      <c r="G17" s="58">
        <f>AVERAGE(G10:G14)</f>
        <v>8.4757641621321198E-2</v>
      </c>
    </row>
    <row r="18" spans="1:19" ht="13.5" thickBot="1">
      <c r="A18" s="32"/>
      <c r="B18" s="32"/>
      <c r="C18" s="32"/>
      <c r="D18" s="32"/>
    </row>
    <row r="19" spans="1:19" ht="13.5" thickBot="1">
      <c r="A19" s="47" t="s">
        <v>39</v>
      </c>
      <c r="B19" s="32"/>
      <c r="C19" s="32"/>
      <c r="D19" s="102">
        <v>2043.94</v>
      </c>
      <c r="E19" s="38" t="s">
        <v>40</v>
      </c>
      <c r="J19" s="48" t="s">
        <v>48</v>
      </c>
      <c r="M19" s="13" t="s">
        <v>49</v>
      </c>
      <c r="N19" s="49">
        <v>40908</v>
      </c>
    </row>
    <row r="20" spans="1:19">
      <c r="A20" s="32"/>
      <c r="B20" s="32"/>
      <c r="C20" s="32"/>
      <c r="D20" s="32"/>
    </row>
    <row r="21" spans="1:19" s="130" customFormat="1" ht="63.75">
      <c r="A21" s="129" t="s">
        <v>10</v>
      </c>
      <c r="B21" s="129" t="s">
        <v>16</v>
      </c>
      <c r="C21" s="129" t="s">
        <v>50</v>
      </c>
      <c r="D21" s="129" t="s">
        <v>13</v>
      </c>
      <c r="E21" s="129" t="s">
        <v>14</v>
      </c>
      <c r="F21" s="129" t="s">
        <v>149</v>
      </c>
      <c r="G21" s="129" t="s">
        <v>15</v>
      </c>
      <c r="H21" s="129" t="s">
        <v>180</v>
      </c>
      <c r="I21" s="129" t="s">
        <v>11</v>
      </c>
      <c r="J21" s="129" t="s">
        <v>12</v>
      </c>
      <c r="K21" s="129" t="s">
        <v>150</v>
      </c>
      <c r="L21" s="129" t="s">
        <v>151</v>
      </c>
      <c r="M21" s="129" t="s">
        <v>52</v>
      </c>
      <c r="N21" s="129" t="s">
        <v>54</v>
      </c>
      <c r="O21" s="129" t="s">
        <v>53</v>
      </c>
      <c r="P21" s="130" t="s">
        <v>105</v>
      </c>
      <c r="Q21" s="130" t="s">
        <v>106</v>
      </c>
    </row>
    <row r="22" spans="1:19" ht="15.75">
      <c r="A22" s="18">
        <v>2001</v>
      </c>
      <c r="B22" s="20">
        <v>1148.0899999999999</v>
      </c>
      <c r="C22" s="50">
        <v>38.85</v>
      </c>
      <c r="D22" s="21">
        <f t="shared" ref="D22:D28" si="6">I22*B22</f>
        <v>15.74</v>
      </c>
      <c r="E22" s="21">
        <f t="shared" ref="E22:E28" si="7">J22*B22</f>
        <v>14.339957999999999</v>
      </c>
      <c r="F22" s="21"/>
      <c r="G22" s="21">
        <f t="shared" ref="G22:G33" si="8">D22+E22</f>
        <v>30.079957999999998</v>
      </c>
      <c r="H22" s="21"/>
      <c r="I22" s="14">
        <v>1.3709726589378883E-2</v>
      </c>
      <c r="J22" s="14">
        <v>1.2490273410621118E-2</v>
      </c>
      <c r="K22" s="14">
        <v>2.6200000000000001E-2</v>
      </c>
      <c r="L22" s="14"/>
      <c r="M22" s="18">
        <v>325.8</v>
      </c>
      <c r="N22" s="58">
        <f>C22/M22</f>
        <v>0.11924493554327809</v>
      </c>
      <c r="O22" s="18">
        <v>736.88</v>
      </c>
      <c r="P22" s="86">
        <v>1.6036700000000001E-2</v>
      </c>
      <c r="Q22" s="79">
        <f>C22*(1+P23)*(1+P24)*(1+P25)*(1+P26)*(1+P27)*(1+P28)*(1+P29)*(1+P30)*(1+P31)*(1+P32)*(1+P33)*(1+P34)</f>
        <v>51.397840583731494</v>
      </c>
      <c r="S22"/>
    </row>
    <row r="23" spans="1:19" ht="15.75">
      <c r="A23" s="18">
        <v>2002</v>
      </c>
      <c r="B23" s="20">
        <v>879.82</v>
      </c>
      <c r="C23" s="51">
        <v>46.04</v>
      </c>
      <c r="D23" s="21">
        <f t="shared" si="6"/>
        <v>15.96</v>
      </c>
      <c r="E23" s="21">
        <f t="shared" si="7"/>
        <v>13.865898</v>
      </c>
      <c r="F23" s="21"/>
      <c r="G23" s="21">
        <f t="shared" si="8"/>
        <v>29.825898000000002</v>
      </c>
      <c r="H23" s="21"/>
      <c r="I23" s="14">
        <v>1.8140074106067151E-2</v>
      </c>
      <c r="J23" s="14">
        <v>1.5759925893932849E-2</v>
      </c>
      <c r="K23" s="14">
        <v>3.39E-2</v>
      </c>
      <c r="L23" s="14"/>
      <c r="M23" s="18">
        <v>338.37</v>
      </c>
      <c r="N23" s="58">
        <f t="shared" ref="N23:N36" si="9">C23/M23</f>
        <v>0.13606407187398409</v>
      </c>
      <c r="O23" s="18">
        <v>674.59</v>
      </c>
      <c r="P23" s="86">
        <v>2.48027E-2</v>
      </c>
      <c r="Q23" s="79">
        <f>C23*(1+P24)*(1+P25)*(1+P26)*(1+P27)*(1+P28)*(1+P29)*(1+P30)*(1+P31)*(1+P32)*(1+P33)*(1+P34)</f>
        <v>59.435908288986489</v>
      </c>
      <c r="S23"/>
    </row>
    <row r="24" spans="1:19" ht="15.75">
      <c r="A24" s="18">
        <v>2003</v>
      </c>
      <c r="B24" s="20">
        <v>1111.9100000000001</v>
      </c>
      <c r="C24" s="51">
        <v>54.69</v>
      </c>
      <c r="D24" s="21">
        <f t="shared" si="6"/>
        <v>17.88</v>
      </c>
      <c r="E24" s="21">
        <f t="shared" si="7"/>
        <v>13.698244000000004</v>
      </c>
      <c r="F24" s="21"/>
      <c r="G24" s="21">
        <f t="shared" si="8"/>
        <v>31.578244000000005</v>
      </c>
      <c r="H24" s="21"/>
      <c r="I24" s="14">
        <v>1.6080438164959392E-2</v>
      </c>
      <c r="J24" s="14">
        <v>1.2319561835040609E-2</v>
      </c>
      <c r="K24" s="14">
        <v>2.8400000000000002E-2</v>
      </c>
      <c r="L24" s="14"/>
      <c r="M24" s="18">
        <v>325.72000000000003</v>
      </c>
      <c r="N24" s="58">
        <f t="shared" si="9"/>
        <v>0.1679049490359818</v>
      </c>
      <c r="O24" s="18">
        <v>710.81</v>
      </c>
      <c r="P24" s="86">
        <v>2.0352000000000002E-2</v>
      </c>
      <c r="Q24" s="79">
        <f>C24*(1+P25)*(1+P26)*(1+P27)*(1+P28)*(1+P29)*(1+P30)*(1+P31)*(1+P32)*(1+P33)*(1+P34)</f>
        <v>69.194486740792115</v>
      </c>
      <c r="S24"/>
    </row>
    <row r="25" spans="1:19" ht="15.75">
      <c r="A25" s="18">
        <v>2004</v>
      </c>
      <c r="B25" s="20">
        <v>1211.92</v>
      </c>
      <c r="C25" s="51">
        <v>67.680000000000007</v>
      </c>
      <c r="D25" s="21">
        <f t="shared" si="6"/>
        <v>19.010000000000002</v>
      </c>
      <c r="E25" s="21">
        <f t="shared" si="7"/>
        <v>21.589320000000001</v>
      </c>
      <c r="F25" s="21"/>
      <c r="G25" s="21">
        <f t="shared" si="8"/>
        <v>40.599320000000006</v>
      </c>
      <c r="H25" s="21"/>
      <c r="I25" s="14">
        <v>1.568585385173939E-2</v>
      </c>
      <c r="J25" s="14">
        <v>1.7814146148260612E-2</v>
      </c>
      <c r="K25" s="14">
        <v>3.3500000000000002E-2</v>
      </c>
      <c r="L25" s="14"/>
      <c r="M25" s="18">
        <v>367.17</v>
      </c>
      <c r="N25" s="58">
        <f t="shared" si="9"/>
        <v>0.18432878503145683</v>
      </c>
      <c r="O25" s="18">
        <v>788.17</v>
      </c>
      <c r="P25" s="86">
        <v>3.34232E-2</v>
      </c>
      <c r="Q25" s="79">
        <f>C25*(1+P26)*(1+P27)*(1+P28)*(1+P29)*(1+P30)*(1+P31)*(1+P32)*(1+P33)*(1+P34)</f>
        <v>82.860149361949425</v>
      </c>
      <c r="S25"/>
    </row>
    <row r="26" spans="1:19" ht="15.75">
      <c r="A26" s="18">
        <v>2005</v>
      </c>
      <c r="B26" s="20">
        <v>1248.29</v>
      </c>
      <c r="C26" s="51">
        <v>76.45</v>
      </c>
      <c r="D26" s="21">
        <f t="shared" si="6"/>
        <v>22.344390999999998</v>
      </c>
      <c r="E26" s="21">
        <f t="shared" si="7"/>
        <v>38.821818999999998</v>
      </c>
      <c r="F26" s="21"/>
      <c r="G26" s="21">
        <f t="shared" si="8"/>
        <v>61.166209999999992</v>
      </c>
      <c r="H26" s="21"/>
      <c r="I26" s="14">
        <v>1.7899999999999999E-2</v>
      </c>
      <c r="J26" s="14">
        <v>3.1099999999999999E-2</v>
      </c>
      <c r="K26" s="14">
        <v>4.9000000000000002E-2</v>
      </c>
      <c r="L26" s="14"/>
      <c r="M26" s="18">
        <v>414.75</v>
      </c>
      <c r="N26" s="58">
        <f t="shared" si="9"/>
        <v>0.18432790837854129</v>
      </c>
      <c r="O26" s="18">
        <v>874.32</v>
      </c>
      <c r="P26" s="86">
        <v>3.3385499999999999E-2</v>
      </c>
      <c r="Q26" s="79">
        <f>C26*(1+P27)*(1+P28)*(1+P29)*(1+P30)*(1+P31)*(1+P32)*(1+P33)*(1+P34)</f>
        <v>90.573361884960875</v>
      </c>
      <c r="S26"/>
    </row>
    <row r="27" spans="1:19" ht="15.75">
      <c r="A27" s="18">
        <v>2006</v>
      </c>
      <c r="B27" s="20">
        <v>1418.3</v>
      </c>
      <c r="C27" s="51">
        <v>87.72</v>
      </c>
      <c r="D27" s="21">
        <f t="shared" si="6"/>
        <v>25.042259800455653</v>
      </c>
      <c r="E27" s="21">
        <f t="shared" si="7"/>
        <v>48.115679864875482</v>
      </c>
      <c r="F27" s="21"/>
      <c r="G27" s="21">
        <f t="shared" si="8"/>
        <v>73.157939665331128</v>
      </c>
      <c r="H27" s="21"/>
      <c r="I27" s="14">
        <v>1.765653232775552E-2</v>
      </c>
      <c r="J27" s="14">
        <v>3.3924895906984054E-2</v>
      </c>
      <c r="K27" s="14">
        <v>5.16E-2</v>
      </c>
      <c r="L27" s="14"/>
      <c r="M27" s="18">
        <v>453.06</v>
      </c>
      <c r="N27" s="58">
        <f t="shared" si="9"/>
        <v>0.19361673950470137</v>
      </c>
      <c r="O27" s="18">
        <v>952.51</v>
      </c>
      <c r="P27" s="86">
        <v>2.52398E-2</v>
      </c>
      <c r="Q27" s="79">
        <f>C27*(1+P28)*(1+P29)*(1+P30)*(1+P31)*(1+P32)*(1+P33)*(1+P34)</f>
        <v>101.36689976961435</v>
      </c>
      <c r="S27"/>
    </row>
    <row r="28" spans="1:19" ht="15.75">
      <c r="A28" s="18">
        <v>2007</v>
      </c>
      <c r="B28" s="25">
        <v>1468.36</v>
      </c>
      <c r="C28" s="51">
        <v>82.54</v>
      </c>
      <c r="D28" s="21">
        <f t="shared" si="6"/>
        <v>28.138241560460056</v>
      </c>
      <c r="E28" s="21">
        <f t="shared" si="7"/>
        <v>67.224140752253646</v>
      </c>
      <c r="F28" s="21"/>
      <c r="G28" s="21">
        <f t="shared" si="8"/>
        <v>95.362382312713706</v>
      </c>
      <c r="H28" s="21"/>
      <c r="I28" s="14">
        <v>1.9163040099471559E-2</v>
      </c>
      <c r="J28" s="14">
        <v>4.5781784271059993E-2</v>
      </c>
      <c r="K28" s="14">
        <f>G28/B28</f>
        <v>6.4944824370531548E-2</v>
      </c>
      <c r="L28" s="14"/>
      <c r="M28" s="18">
        <v>504.39</v>
      </c>
      <c r="N28" s="58">
        <f t="shared" si="9"/>
        <v>0.1636432125934297</v>
      </c>
      <c r="O28" s="18">
        <v>1025.08</v>
      </c>
      <c r="P28" s="86">
        <v>4.1088100000000002E-2</v>
      </c>
      <c r="Q28" s="79">
        <f>C28*(1+P29)*(1+P30)*(1+P31)*(1+P32)*(1+P33)*(1+P34)</f>
        <v>91.616674411494387</v>
      </c>
      <c r="S28"/>
    </row>
    <row r="29" spans="1:19" ht="15.75">
      <c r="A29" s="18">
        <v>2008</v>
      </c>
      <c r="B29" s="22">
        <v>903.25</v>
      </c>
      <c r="C29" s="50">
        <v>49.51</v>
      </c>
      <c r="D29" s="21">
        <f>F46*E46</f>
        <v>28.446853349465105</v>
      </c>
      <c r="E29" s="21">
        <f>G46*E46</f>
        <v>39.070278909831892</v>
      </c>
      <c r="F29" s="21"/>
      <c r="G29" s="21">
        <f t="shared" si="8"/>
        <v>67.517132259297</v>
      </c>
      <c r="H29" s="21"/>
      <c r="I29" s="14">
        <f t="shared" ref="I29:I34" si="10">D29/B29</f>
        <v>3.1493886907794193E-2</v>
      </c>
      <c r="J29" s="14">
        <f t="shared" ref="J29:J34" si="11">E29/B29</f>
        <v>4.3255221599592462E-2</v>
      </c>
      <c r="K29" s="14">
        <f t="shared" ref="K29:K34" si="12">I29+J29</f>
        <v>7.4749108507386655E-2</v>
      </c>
      <c r="L29" s="14"/>
      <c r="M29" s="18">
        <v>529.59</v>
      </c>
      <c r="N29" s="58">
        <f t="shared" si="9"/>
        <v>9.3487414792575385E-2</v>
      </c>
      <c r="O29" s="18">
        <v>1042.46</v>
      </c>
      <c r="P29" s="86">
        <v>-2.2230000000000001E-4</v>
      </c>
      <c r="Q29" s="79">
        <f>C29*(1+P30)*(1+P31)*(1+P32)*(1+P33)*(1+P34)</f>
        <v>54.966684203094943</v>
      </c>
      <c r="S29"/>
    </row>
    <row r="30" spans="1:19" ht="15.75">
      <c r="A30" s="18">
        <v>2009</v>
      </c>
      <c r="B30" s="22">
        <v>1115</v>
      </c>
      <c r="C30" s="52">
        <v>56.86</v>
      </c>
      <c r="D30" s="21">
        <f>F45*E45</f>
        <v>21.968689564867041</v>
      </c>
      <c r="E30" s="21">
        <f>G45*E45</f>
        <v>15.459281829170026</v>
      </c>
      <c r="F30" s="21"/>
      <c r="G30" s="21">
        <f t="shared" si="8"/>
        <v>37.427971394037066</v>
      </c>
      <c r="H30" s="21"/>
      <c r="I30" s="14">
        <f t="shared" si="10"/>
        <v>1.9702860596293312E-2</v>
      </c>
      <c r="J30" s="14">
        <f t="shared" si="11"/>
        <v>1.3864826752618856E-2</v>
      </c>
      <c r="K30" s="14">
        <f t="shared" si="12"/>
        <v>3.3567687348912169E-2</v>
      </c>
      <c r="L30" s="14"/>
      <c r="M30" s="18">
        <v>451.37</v>
      </c>
      <c r="N30" s="58">
        <f t="shared" si="9"/>
        <v>0.12597204067616369</v>
      </c>
      <c r="O30" s="18">
        <v>908.4</v>
      </c>
      <c r="P30" s="86">
        <v>2.8141199999999998E-2</v>
      </c>
      <c r="Q30" s="79">
        <f>C30*(1+P31)*(1+P32)*(1+P33)*(1+P34)</f>
        <v>61.398916296184076</v>
      </c>
      <c r="S30"/>
    </row>
    <row r="31" spans="1:19" ht="15.75">
      <c r="A31" s="18">
        <v>2010</v>
      </c>
      <c r="B31" s="23">
        <v>1257.6400000000001</v>
      </c>
      <c r="C31" s="52">
        <v>83.77</v>
      </c>
      <c r="D31" s="23">
        <f>F44*E44</f>
        <v>22.647422677165356</v>
      </c>
      <c r="E31" s="23">
        <f>G44*E44</f>
        <v>32.879088783902013</v>
      </c>
      <c r="F31" s="23"/>
      <c r="G31" s="21">
        <f t="shared" si="8"/>
        <v>55.526511461067372</v>
      </c>
      <c r="H31" s="21"/>
      <c r="I31" s="14">
        <f t="shared" si="10"/>
        <v>1.8007874015748031E-2</v>
      </c>
      <c r="J31" s="14">
        <f t="shared" si="11"/>
        <v>2.6143482064741905E-2</v>
      </c>
      <c r="K31" s="14">
        <f t="shared" si="12"/>
        <v>4.4151356080489937E-2</v>
      </c>
      <c r="L31" s="14"/>
      <c r="M31" s="18">
        <v>513.58000000000004</v>
      </c>
      <c r="N31" s="58">
        <f t="shared" si="9"/>
        <v>0.16310993418746833</v>
      </c>
      <c r="O31" s="18">
        <v>962.71</v>
      </c>
      <c r="P31" s="86">
        <v>1.4377899999999999E-2</v>
      </c>
      <c r="Q31" s="79">
        <f>C31*(1+P32)*(1+P33)*(1+P34)</f>
        <v>89.17489099344418</v>
      </c>
      <c r="S31"/>
    </row>
    <row r="32" spans="1:19" ht="15.75">
      <c r="A32" s="18">
        <v>2011</v>
      </c>
      <c r="B32" s="23">
        <v>1257.5999999999999</v>
      </c>
      <c r="C32" s="50">
        <v>96.44</v>
      </c>
      <c r="D32" s="23">
        <f>F43*E43</f>
        <v>26.532764163372857</v>
      </c>
      <c r="E32" s="23">
        <f>G43*E43</f>
        <v>44.74559578392622</v>
      </c>
      <c r="F32" s="23"/>
      <c r="G32" s="23">
        <f t="shared" si="8"/>
        <v>71.27835994729908</v>
      </c>
      <c r="H32" s="23"/>
      <c r="I32" s="14">
        <f t="shared" si="10"/>
        <v>2.1097935880544576E-2</v>
      </c>
      <c r="J32" s="14">
        <f t="shared" si="11"/>
        <v>3.5580149319279761E-2</v>
      </c>
      <c r="K32" s="14">
        <f t="shared" si="12"/>
        <v>5.6678085199824341E-2</v>
      </c>
      <c r="L32" s="14"/>
      <c r="M32" s="18">
        <v>579.14</v>
      </c>
      <c r="N32" s="58">
        <f t="shared" si="9"/>
        <v>0.1665227751493594</v>
      </c>
      <c r="O32" s="18">
        <v>1052.83</v>
      </c>
      <c r="P32" s="86">
        <v>3.0266899999999999E-2</v>
      </c>
      <c r="Q32" s="79">
        <f>C32*(1+P33)*(1+P34)</f>
        <v>99.646380025966351</v>
      </c>
      <c r="S32"/>
    </row>
    <row r="33" spans="1:22" ht="15.75">
      <c r="A33" s="18">
        <v>2012</v>
      </c>
      <c r="B33" s="25">
        <v>1426.19</v>
      </c>
      <c r="C33" s="52">
        <v>96.82</v>
      </c>
      <c r="D33" s="46">
        <v>31.25</v>
      </c>
      <c r="E33" s="46">
        <f>G42*E42</f>
        <v>44.649305674148479</v>
      </c>
      <c r="F33" s="46"/>
      <c r="G33" s="46">
        <f t="shared" si="8"/>
        <v>75.899305674148479</v>
      </c>
      <c r="H33" s="46"/>
      <c r="I33" s="44">
        <f t="shared" si="10"/>
        <v>2.1911526514700005E-2</v>
      </c>
      <c r="J33" s="44">
        <f t="shared" si="11"/>
        <v>3.1306702244545591E-2</v>
      </c>
      <c r="K33" s="44">
        <f t="shared" si="12"/>
        <v>5.3218228759245596E-2</v>
      </c>
      <c r="L33" s="44"/>
      <c r="M33" s="18">
        <v>613.14</v>
      </c>
      <c r="N33" s="58">
        <f t="shared" si="9"/>
        <v>0.1579084711485142</v>
      </c>
      <c r="O33" s="18">
        <v>1092.3699999999999</v>
      </c>
      <c r="P33" s="86">
        <v>1.7697899999999999E-2</v>
      </c>
      <c r="Q33" s="79">
        <f>C33*(1+P34)</f>
        <v>98.299322462000006</v>
      </c>
      <c r="S33"/>
    </row>
    <row r="34" spans="1:22" ht="15.75">
      <c r="A34" s="18">
        <v>2013</v>
      </c>
      <c r="B34" s="25">
        <v>1848.36</v>
      </c>
      <c r="C34" s="52">
        <v>104.92</v>
      </c>
      <c r="D34" s="46">
        <v>34.9</v>
      </c>
      <c r="E34" s="46">
        <v>53.23</v>
      </c>
      <c r="F34" s="46"/>
      <c r="G34" s="46">
        <v>88.13</v>
      </c>
      <c r="H34" s="46"/>
      <c r="I34" s="44">
        <f t="shared" si="10"/>
        <v>1.888160315090134E-2</v>
      </c>
      <c r="J34" s="44">
        <f t="shared" si="11"/>
        <v>2.8798502456231469E-2</v>
      </c>
      <c r="K34" s="44">
        <f t="shared" si="12"/>
        <v>4.768010560713281E-2</v>
      </c>
      <c r="L34" s="44"/>
      <c r="M34" s="18">
        <v>666.97</v>
      </c>
      <c r="N34" s="58">
        <f t="shared" si="9"/>
        <v>0.15730842466677661</v>
      </c>
      <c r="O34" s="18">
        <v>1116.81</v>
      </c>
      <c r="P34" s="86">
        <v>1.52791E-2</v>
      </c>
      <c r="Q34" s="79">
        <f>C34</f>
        <v>104.92</v>
      </c>
      <c r="S34"/>
    </row>
    <row r="35" spans="1:22" s="160" customFormat="1" ht="15.75">
      <c r="A35" s="150">
        <v>2014</v>
      </c>
      <c r="B35" s="151">
        <v>2058.9</v>
      </c>
      <c r="C35" s="152">
        <v>116.16</v>
      </c>
      <c r="D35" s="153">
        <f>F40*E40</f>
        <v>39.545098766785422</v>
      </c>
      <c r="E35" s="153">
        <f>G40*E40</f>
        <v>62.435056344203893</v>
      </c>
      <c r="F35" s="153">
        <v>9.58</v>
      </c>
      <c r="G35" s="153">
        <v>101.98</v>
      </c>
      <c r="H35" s="154">
        <f>G35-F35</f>
        <v>92.4</v>
      </c>
      <c r="I35" s="155">
        <f>D35/B35</f>
        <v>1.9206906001644285E-2</v>
      </c>
      <c r="J35" s="155">
        <f>E35/B35</f>
        <v>3.0324472458207727E-2</v>
      </c>
      <c r="K35" s="155">
        <f>I35+J35</f>
        <v>4.9531378459852012E-2</v>
      </c>
      <c r="L35" s="155">
        <f>H35/B35</f>
        <v>4.4878333090485209E-2</v>
      </c>
      <c r="M35" s="150">
        <v>715.84</v>
      </c>
      <c r="N35" s="156">
        <f t="shared" si="9"/>
        <v>0.16227089852481</v>
      </c>
      <c r="O35" s="150">
        <v>1165.8</v>
      </c>
      <c r="P35" s="157"/>
      <c r="Q35" s="157"/>
      <c r="R35" s="158" t="s">
        <v>157</v>
      </c>
      <c r="S35" s="159"/>
      <c r="U35" s="161"/>
    </row>
    <row r="36" spans="1:22" s="169" customFormat="1">
      <c r="A36" s="162" t="s">
        <v>155</v>
      </c>
      <c r="B36" s="163"/>
      <c r="C36" s="163">
        <f>B58*B50</f>
        <v>104.48200136549033</v>
      </c>
      <c r="D36" s="163">
        <f>F39*E39</f>
        <v>42.659640592080116</v>
      </c>
      <c r="E36" s="163">
        <f>G39*E39</f>
        <v>63.433729026226274</v>
      </c>
      <c r="F36" s="163">
        <f>F37</f>
        <v>11.597492072886421</v>
      </c>
      <c r="G36" s="163">
        <f>D36+E36</f>
        <v>106.09336961830638</v>
      </c>
      <c r="H36" s="163">
        <f>G36-F36</f>
        <v>94.495877545419958</v>
      </c>
      <c r="I36" s="164"/>
      <c r="J36" s="164"/>
      <c r="K36" s="164"/>
      <c r="L36" s="164"/>
      <c r="M36" s="165">
        <v>736.78</v>
      </c>
      <c r="N36" s="166">
        <f t="shared" si="9"/>
        <v>0.14180895432217261</v>
      </c>
      <c r="O36" s="165">
        <f>293.09+297.91+273.19+281.35</f>
        <v>1145.54</v>
      </c>
      <c r="P36" s="167"/>
      <c r="Q36" s="167"/>
      <c r="R36" s="168" t="s">
        <v>48</v>
      </c>
      <c r="U36" s="170" t="s">
        <v>49</v>
      </c>
      <c r="V36" s="171">
        <v>40908</v>
      </c>
    </row>
    <row r="37" spans="1:22" s="176" customFormat="1">
      <c r="A37" s="172" t="s">
        <v>172</v>
      </c>
      <c r="B37" s="173"/>
      <c r="C37" s="174">
        <f>B62*F62</f>
        <v>93.911344713792147</v>
      </c>
      <c r="D37" s="174">
        <f>C62*F62</f>
        <v>39.746992348452402</v>
      </c>
      <c r="E37" s="174">
        <f>D62*F62</f>
        <v>60.622020450547964</v>
      </c>
      <c r="F37" s="174">
        <f>E62*F62</f>
        <v>11.597492072886421</v>
      </c>
      <c r="G37" s="175">
        <f>D37+E37</f>
        <v>100.36901279900036</v>
      </c>
      <c r="H37" s="175">
        <f>G37-F37</f>
        <v>88.771520726113934</v>
      </c>
      <c r="Q37" s="177" t="s">
        <v>156</v>
      </c>
      <c r="T37" s="176" t="s">
        <v>49</v>
      </c>
      <c r="U37" s="178">
        <v>40908</v>
      </c>
    </row>
    <row r="38" spans="1:22">
      <c r="C38" s="13" t="s">
        <v>37</v>
      </c>
      <c r="D38" s="13" t="s">
        <v>35</v>
      </c>
      <c r="E38" s="13" t="s">
        <v>36</v>
      </c>
      <c r="F38" s="13" t="s">
        <v>18</v>
      </c>
      <c r="G38" s="13" t="s">
        <v>14</v>
      </c>
      <c r="M38" s="79"/>
    </row>
    <row r="39" spans="1:22">
      <c r="B39" s="131">
        <v>40815</v>
      </c>
      <c r="C39" s="136">
        <v>16917</v>
      </c>
      <c r="D39" s="136">
        <v>1920.03</v>
      </c>
      <c r="E39" s="13">
        <f>D39/C39</f>
        <v>0.11349707394928178</v>
      </c>
      <c r="F39" s="79">
        <f>C58</f>
        <v>375.86555412999763</v>
      </c>
      <c r="G39" s="79">
        <f>D58</f>
        <v>558.90188899999998</v>
      </c>
      <c r="M39" s="79"/>
    </row>
    <row r="40" spans="1:22">
      <c r="B40" s="116">
        <v>40542</v>
      </c>
      <c r="C40" s="18">
        <v>18245</v>
      </c>
      <c r="D40" s="18">
        <v>2058.9</v>
      </c>
      <c r="E40" s="18">
        <f t="shared" ref="E40:E48" si="13">D40/C40</f>
        <v>0.11284735543984654</v>
      </c>
      <c r="F40" s="21">
        <f>81.96+86.65+89.02+92.8</f>
        <v>350.43</v>
      </c>
      <c r="G40" s="21">
        <f>159.28+116.17+145.19+132.63</f>
        <v>553.27</v>
      </c>
      <c r="I40" s="13">
        <f>G36/G35-1</f>
        <v>4.0335061956328522E-2</v>
      </c>
    </row>
    <row r="41" spans="1:22">
      <c r="B41" s="18">
        <v>2013</v>
      </c>
      <c r="C41" s="18">
        <v>16495</v>
      </c>
      <c r="D41" s="18">
        <v>1848.36</v>
      </c>
      <c r="E41" s="18">
        <f t="shared" si="13"/>
        <v>0.11205577447711428</v>
      </c>
      <c r="F41" s="21">
        <f>70.86+76.67+79.26+84.98</f>
        <v>311.77000000000004</v>
      </c>
      <c r="G41" s="21">
        <f>99.97+118.05+128.16+129.41</f>
        <v>475.58999999999992</v>
      </c>
      <c r="I41" s="13">
        <f>C36/C35-1</f>
        <v>-0.10053373480121952</v>
      </c>
    </row>
    <row r="42" spans="1:22">
      <c r="B42" s="18">
        <v>2012</v>
      </c>
      <c r="C42" s="18">
        <v>12742</v>
      </c>
      <c r="D42" s="18">
        <v>1426.19</v>
      </c>
      <c r="E42" s="18">
        <f t="shared" si="13"/>
        <v>0.11192826871762675</v>
      </c>
      <c r="F42" s="21">
        <f>64.07+67.31+69.48+79.83</f>
        <v>280.69</v>
      </c>
      <c r="G42" s="21">
        <f>84.29+111.75+103.72+99.15</f>
        <v>398.90999999999997</v>
      </c>
    </row>
    <row r="43" spans="1:22">
      <c r="B43" s="18">
        <v>2011</v>
      </c>
      <c r="C43" s="18">
        <v>11385</v>
      </c>
      <c r="D43" s="18">
        <v>1257.5999999999999</v>
      </c>
      <c r="E43" s="18">
        <f t="shared" si="13"/>
        <v>0.11046113306982872</v>
      </c>
      <c r="F43" s="21">
        <f>56.08+59.03+59.2+65.89</f>
        <v>240.2</v>
      </c>
      <c r="G43" s="21">
        <f>89.84+109.24+118.41+87.59</f>
        <v>405.08000000000004</v>
      </c>
    </row>
    <row r="44" spans="1:22">
      <c r="B44" s="18">
        <v>2010</v>
      </c>
      <c r="C44" s="18">
        <v>11430</v>
      </c>
      <c r="D44" s="21">
        <f>B31</f>
        <v>1257.6400000000001</v>
      </c>
      <c r="E44" s="18">
        <f t="shared" si="13"/>
        <v>0.11002974628171479</v>
      </c>
      <c r="F44" s="21">
        <v>205.83</v>
      </c>
      <c r="G44" s="21">
        <v>298.82</v>
      </c>
    </row>
    <row r="45" spans="1:22">
      <c r="B45" s="18">
        <v>2009</v>
      </c>
      <c r="C45" s="18">
        <v>9928</v>
      </c>
      <c r="D45" s="21">
        <f>B30</f>
        <v>1115</v>
      </c>
      <c r="E45" s="18">
        <f t="shared" si="13"/>
        <v>0.11230862207896858</v>
      </c>
      <c r="F45" s="18">
        <f>51.73+47.63+47.21+49.04</f>
        <v>195.60999999999999</v>
      </c>
      <c r="G45" s="18">
        <f>30.78+24.2+34.85+47.82</f>
        <v>137.65</v>
      </c>
      <c r="K45"/>
    </row>
    <row r="46" spans="1:22">
      <c r="B46" s="18">
        <v>2008</v>
      </c>
      <c r="C46" s="18">
        <v>7852</v>
      </c>
      <c r="D46" s="21">
        <f>B29</f>
        <v>903.25</v>
      </c>
      <c r="E46" s="18">
        <f t="shared" si="13"/>
        <v>0.11503438614365767</v>
      </c>
      <c r="F46" s="18">
        <f>62.19+61.44+61.94+61.72</f>
        <v>247.29</v>
      </c>
      <c r="G46" s="18">
        <f>48.12+89.71+87.91+113.9</f>
        <v>339.64</v>
      </c>
      <c r="K46"/>
    </row>
    <row r="47" spans="1:22">
      <c r="B47" s="18">
        <v>2007</v>
      </c>
      <c r="C47" s="18">
        <v>12868</v>
      </c>
      <c r="D47" s="21">
        <f>B28</f>
        <v>1468.36</v>
      </c>
      <c r="E47" s="18">
        <f t="shared" si="13"/>
        <v>0.11410941871308672</v>
      </c>
      <c r="F47" s="18">
        <f>58.53+59.76+61.21+67.09</f>
        <v>246.59</v>
      </c>
      <c r="G47" s="18">
        <f>117.7+157.76+171.95+141.71</f>
        <v>589.12</v>
      </c>
      <c r="K47"/>
    </row>
    <row r="48" spans="1:22">
      <c r="B48" s="35">
        <v>2006</v>
      </c>
      <c r="C48" s="35">
        <v>12729</v>
      </c>
      <c r="D48" s="37">
        <f>B27</f>
        <v>1418.3</v>
      </c>
      <c r="E48" s="18">
        <f t="shared" si="13"/>
        <v>0.11142273548589834</v>
      </c>
      <c r="F48" s="35"/>
      <c r="G48" s="35"/>
      <c r="K48"/>
    </row>
    <row r="49" spans="1:12" ht="13.5" thickBot="1">
      <c r="B49" s="35" t="s">
        <v>17</v>
      </c>
      <c r="C49" s="35"/>
      <c r="D49" s="35"/>
      <c r="E49" s="82"/>
      <c r="F49" s="43"/>
      <c r="G49" s="43"/>
      <c r="K49"/>
    </row>
    <row r="50" spans="1:12" ht="13.5" thickBot="1">
      <c r="A50" s="13" t="s">
        <v>34</v>
      </c>
      <c r="B50" s="36">
        <f>E39</f>
        <v>0.11349707394928178</v>
      </c>
      <c r="K50"/>
    </row>
    <row r="51" spans="1:12">
      <c r="K51"/>
    </row>
    <row r="52" spans="1:12">
      <c r="A52" s="97" t="s">
        <v>153</v>
      </c>
      <c r="K52"/>
    </row>
    <row r="53" spans="1:12">
      <c r="A53" s="26" t="s">
        <v>22</v>
      </c>
      <c r="B53" s="24" t="s">
        <v>50</v>
      </c>
      <c r="C53" s="24" t="s">
        <v>20</v>
      </c>
      <c r="D53" s="24" t="s">
        <v>21</v>
      </c>
      <c r="E53" s="18" t="s">
        <v>148</v>
      </c>
      <c r="K53"/>
    </row>
    <row r="54" spans="1:12" ht="14.25">
      <c r="A54" s="26" t="s">
        <v>26</v>
      </c>
      <c r="B54" s="132">
        <v>224.23</v>
      </c>
      <c r="C54" s="132">
        <v>95.07</v>
      </c>
      <c r="D54" s="132">
        <v>150.58000000000001</v>
      </c>
      <c r="E54" s="94"/>
      <c r="F54" s="38" t="s">
        <v>179</v>
      </c>
      <c r="L54"/>
    </row>
    <row r="55" spans="1:12" ht="14.25">
      <c r="A55" s="26" t="s">
        <v>25</v>
      </c>
      <c r="B55" s="132">
        <v>230.84</v>
      </c>
      <c r="C55" s="132">
        <v>94.445554129997618</v>
      </c>
      <c r="D55" s="132">
        <v>131.56188900000001</v>
      </c>
      <c r="K55"/>
    </row>
    <row r="56" spans="1:12">
      <c r="A56" s="26" t="s">
        <v>24</v>
      </c>
      <c r="B56" s="24">
        <v>228.36</v>
      </c>
      <c r="C56" s="24">
        <v>93.55</v>
      </c>
      <c r="D56" s="24">
        <v>144.13</v>
      </c>
      <c r="K56"/>
    </row>
    <row r="57" spans="1:12">
      <c r="A57" s="26" t="s">
        <v>23</v>
      </c>
      <c r="B57" s="24">
        <v>237.14</v>
      </c>
      <c r="C57" s="24">
        <v>92.8</v>
      </c>
      <c r="D57" s="24">
        <v>132.63</v>
      </c>
      <c r="K57"/>
    </row>
    <row r="58" spans="1:12">
      <c r="A58" s="26" t="s">
        <v>27</v>
      </c>
      <c r="B58" s="25">
        <f>SUM(B54:B57)</f>
        <v>920.57</v>
      </c>
      <c r="C58" s="25">
        <f>SUM(C54:C57)</f>
        <v>375.86555412999763</v>
      </c>
      <c r="D58" s="25">
        <f>SUM(D54:D57)</f>
        <v>558.90188899999998</v>
      </c>
      <c r="E58" s="18">
        <v>84.87</v>
      </c>
    </row>
    <row r="60" spans="1:12" customFormat="1">
      <c r="A60" s="96" t="s">
        <v>177</v>
      </c>
    </row>
    <row r="61" spans="1:12" customFormat="1">
      <c r="A61" s="95" t="s">
        <v>154</v>
      </c>
      <c r="B61" t="s">
        <v>50</v>
      </c>
      <c r="C61" t="s">
        <v>20</v>
      </c>
      <c r="D61" t="s">
        <v>21</v>
      </c>
      <c r="E61" t="s">
        <v>148</v>
      </c>
      <c r="F61" t="s">
        <v>178</v>
      </c>
    </row>
    <row r="62" spans="1:12">
      <c r="A62" s="133">
        <v>40908</v>
      </c>
      <c r="B62" s="100">
        <f>'S&amp;P 500 Monthly Data (Cap IQ)'!G8/1000</f>
        <v>882.41499999999996</v>
      </c>
      <c r="C62" s="100">
        <f>'S&amp;P 500 Monthly Data (Cap IQ)'!D8/1000</f>
        <v>373.47290000000004</v>
      </c>
      <c r="D62" s="99">
        <f>'S&amp;P 500 Monthly Data (Cap IQ)'!E8/1000</f>
        <v>569.62</v>
      </c>
      <c r="E62" s="100">
        <f>'S&amp;P 500 Monthly Data (Cap IQ)'!F8/1000</f>
        <v>108.973</v>
      </c>
      <c r="F62" s="101">
        <f>'S&amp;P 500 Monthly Data (Cap IQ)'!J8*1000</f>
        <v>0.10642537209112736</v>
      </c>
    </row>
  </sheetData>
  <phoneticPr fontId="13" type="noConversion"/>
  <dataValidations count="1">
    <dataValidation allowBlank="1" showInputMessage="1" showErrorMessage="1" sqref="C2:C20"/>
  </dataValidations>
  <printOptions gridLinesSet="0"/>
  <pageMargins left="0.78740157499999996" right="0.78740157499999996" top="0.984251969" bottom="0.984251969" header="0.5" footer="0.5"/>
  <pageSetup orientation="portrait" horizontalDpi="4294967292" verticalDpi="4294967292"/>
  <headerFooter alignWithMargins="0">
    <oddHeader>&amp;A</oddHeader>
    <oddFooter>Page &amp;P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7"/>
  <sheetViews>
    <sheetView showGridLines="0" workbookViewId="0">
      <selection activeCell="H23" sqref="H23"/>
    </sheetView>
  </sheetViews>
  <sheetFormatPr baseColWidth="10" defaultRowHeight="12.75"/>
  <cols>
    <col min="1" max="1" width="18.42578125" bestFit="1" customWidth="1"/>
    <col min="2" max="2" width="19.140625" bestFit="1" customWidth="1"/>
    <col min="6" max="6" width="16.140625" bestFit="1" customWidth="1"/>
    <col min="7" max="7" width="19.140625" bestFit="1" customWidth="1"/>
  </cols>
  <sheetData>
    <row r="1" spans="1:9" ht="15.75">
      <c r="A1" s="191" t="s">
        <v>45</v>
      </c>
      <c r="B1" s="191"/>
      <c r="C1" s="191"/>
      <c r="D1" s="191"/>
      <c r="F1" s="191" t="s">
        <v>47</v>
      </c>
      <c r="G1" s="191"/>
      <c r="H1" s="191"/>
      <c r="I1" s="191"/>
    </row>
    <row r="2" spans="1:9">
      <c r="A2" t="s">
        <v>9</v>
      </c>
      <c r="B2" t="s">
        <v>46</v>
      </c>
      <c r="D2" t="s">
        <v>44</v>
      </c>
      <c r="F2" t="s">
        <v>9</v>
      </c>
      <c r="G2" t="s">
        <v>46</v>
      </c>
      <c r="I2" t="s">
        <v>44</v>
      </c>
    </row>
    <row r="3" spans="1:9">
      <c r="A3">
        <v>2015</v>
      </c>
      <c r="C3" s="101">
        <v>117.2</v>
      </c>
      <c r="D3" t="s">
        <v>110</v>
      </c>
      <c r="F3">
        <v>2015</v>
      </c>
      <c r="H3" s="101">
        <v>118.66</v>
      </c>
      <c r="I3" t="s">
        <v>109</v>
      </c>
    </row>
    <row r="4" spans="1:9">
      <c r="A4">
        <v>2016</v>
      </c>
      <c r="B4" s="33">
        <f>C4/C3-1</f>
        <v>8.3105802047781507E-2</v>
      </c>
      <c r="C4" s="101">
        <v>126.94</v>
      </c>
      <c r="D4" t="s">
        <v>110</v>
      </c>
      <c r="F4">
        <v>2016</v>
      </c>
      <c r="G4" s="45">
        <f>H4/H3-1</f>
        <v>8.8909489297151589E-2</v>
      </c>
      <c r="H4" s="101">
        <v>129.21</v>
      </c>
      <c r="I4" t="s">
        <v>109</v>
      </c>
    </row>
    <row r="5" spans="1:9">
      <c r="A5">
        <v>2017</v>
      </c>
      <c r="B5" s="33">
        <f>C5/C4-1</f>
        <v>0.12541358121947388</v>
      </c>
      <c r="C5" s="101">
        <v>142.86000000000001</v>
      </c>
      <c r="D5" t="s">
        <v>110</v>
      </c>
      <c r="F5">
        <v>2017</v>
      </c>
      <c r="G5" s="45">
        <f>G4-($G$4-$G$8)/4</f>
        <v>7.2357116972863691E-2</v>
      </c>
      <c r="H5" s="137"/>
      <c r="I5" t="s">
        <v>184</v>
      </c>
    </row>
    <row r="6" spans="1:9">
      <c r="A6">
        <v>2018</v>
      </c>
      <c r="B6" s="45">
        <f>B5-(B5-B8)/3</f>
        <v>9.1175720812982586E-2</v>
      </c>
      <c r="F6">
        <v>2018</v>
      </c>
      <c r="G6" s="45">
        <f>G5-($G$4-$G$8)/4</f>
        <v>5.5804744648575794E-2</v>
      </c>
    </row>
    <row r="7" spans="1:9">
      <c r="A7">
        <v>2019</v>
      </c>
      <c r="B7" s="45">
        <f>B6-(B5-B8)/3</f>
        <v>5.6937860406491292E-2</v>
      </c>
      <c r="F7">
        <v>2019</v>
      </c>
      <c r="G7" s="45">
        <f>G6-($G$4-$G$8)/4</f>
        <v>3.9252372324287896E-2</v>
      </c>
    </row>
    <row r="8" spans="1:9" ht="13.5" thickBot="1">
      <c r="A8">
        <v>2020</v>
      </c>
      <c r="B8" s="33">
        <f>'Impl premium calculator'!B8</f>
        <v>2.2700000000000001E-2</v>
      </c>
      <c r="F8">
        <v>2020</v>
      </c>
      <c r="G8" s="45">
        <f>'Impl premium calculator'!B8</f>
        <v>2.2700000000000001E-2</v>
      </c>
    </row>
    <row r="9" spans="1:9" ht="13.5" thickBot="1">
      <c r="A9" t="s">
        <v>33</v>
      </c>
      <c r="B9" s="81">
        <f>((1+B4)*(1+B5)*(1+B6)*(1+B7)*(1+B8))^(1/5)-1</f>
        <v>7.5313474396124347E-2</v>
      </c>
      <c r="F9" t="s">
        <v>33</v>
      </c>
      <c r="G9" s="81">
        <f>((1+G4)*(1+G5)*(1+G6)*(1+G7)*(1+G8))^(1/5)-1</f>
        <v>5.554516835338652E-2</v>
      </c>
    </row>
    <row r="11" spans="1:9">
      <c r="A11" t="s">
        <v>113</v>
      </c>
    </row>
    <row r="12" spans="1:9">
      <c r="A12" s="83" t="s">
        <v>110</v>
      </c>
    </row>
    <row r="13" spans="1:9">
      <c r="A13" s="83" t="s">
        <v>109</v>
      </c>
    </row>
    <row r="15" spans="1:9">
      <c r="A15" t="s">
        <v>114</v>
      </c>
    </row>
    <row r="16" spans="1:9">
      <c r="A16" s="83" t="s">
        <v>115</v>
      </c>
    </row>
    <row r="17" spans="1:1">
      <c r="A17" s="83" t="s">
        <v>158</v>
      </c>
    </row>
  </sheetData>
  <mergeCells count="2">
    <mergeCell ref="A1:D1"/>
    <mergeCell ref="F1:I1"/>
  </mergeCells>
  <hyperlinks>
    <hyperlink ref="A13" r:id="rId1"/>
    <hyperlink ref="A12" r:id="rId2"/>
    <hyperlink ref="A16" r:id="rId3"/>
    <hyperlink ref="A17" r:id="rId4"/>
  </hyperlinks>
  <printOptions gridLinesSet="0"/>
  <pageMargins left="0.78740157499999996" right="0.78740157499999996" top="0.984251969" bottom="0.984251969" header="0.5" footer="0.5"/>
  <pageSetup orientation="portrait" horizontalDpi="4294967292" verticalDpi="4294967292"/>
  <headerFooter alignWithMargins="0">
    <oddHeader>&amp;A</oddHeader>
    <oddFooter>Page &amp;P</oddFooter>
  </headerFooter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showGridLines="0" topLeftCell="A67" workbookViewId="0">
      <selection activeCell="L112" sqref="L112"/>
    </sheetView>
  </sheetViews>
  <sheetFormatPr baseColWidth="10" defaultRowHeight="12.75"/>
  <cols>
    <col min="3" max="4" width="10.7109375" style="13" customWidth="1"/>
  </cols>
  <sheetData>
    <row r="1" spans="1:13" s="93" customFormat="1" ht="51">
      <c r="A1" s="93" t="s">
        <v>84</v>
      </c>
      <c r="B1" s="93" t="s">
        <v>85</v>
      </c>
      <c r="C1" s="53" t="s">
        <v>86</v>
      </c>
      <c r="D1" s="53" t="s">
        <v>138</v>
      </c>
      <c r="E1" s="53" t="s">
        <v>87</v>
      </c>
      <c r="F1" s="53" t="s">
        <v>174</v>
      </c>
      <c r="G1" s="93" t="s">
        <v>88</v>
      </c>
      <c r="H1" s="93" t="s">
        <v>191</v>
      </c>
      <c r="I1" s="93" t="s">
        <v>89</v>
      </c>
      <c r="J1" s="93" t="s">
        <v>90</v>
      </c>
      <c r="K1" s="93" t="s">
        <v>175</v>
      </c>
      <c r="L1" s="93" t="s">
        <v>152</v>
      </c>
      <c r="M1" t="s">
        <v>139</v>
      </c>
    </row>
    <row r="2" spans="1:13">
      <c r="A2" s="72">
        <v>38230</v>
      </c>
      <c r="B2">
        <v>1252</v>
      </c>
      <c r="C2" s="128">
        <v>3.7199999999999997E-2</v>
      </c>
      <c r="E2" s="13"/>
      <c r="F2" s="13"/>
      <c r="I2" s="33">
        <v>4.2200000000000001E-2</v>
      </c>
    </row>
    <row r="3" spans="1:13">
      <c r="A3" s="72">
        <v>38260</v>
      </c>
      <c r="B3">
        <v>1166</v>
      </c>
      <c r="C3" s="128">
        <v>3.8300000000000001E-2</v>
      </c>
      <c r="E3" s="13"/>
      <c r="F3" s="13"/>
      <c r="I3" s="33">
        <v>4.5100000000000001E-2</v>
      </c>
    </row>
    <row r="4" spans="1:13">
      <c r="A4" s="72">
        <v>38291</v>
      </c>
      <c r="B4">
        <v>969</v>
      </c>
      <c r="C4" s="128">
        <v>3.95E-2</v>
      </c>
      <c r="E4" s="13"/>
      <c r="F4" s="13"/>
      <c r="I4" s="33">
        <v>5.8999999999999997E-2</v>
      </c>
    </row>
    <row r="5" spans="1:13">
      <c r="A5" s="72">
        <v>38321</v>
      </c>
      <c r="B5">
        <v>896</v>
      </c>
      <c r="C5" s="128">
        <v>2.92E-2</v>
      </c>
      <c r="E5" s="13"/>
      <c r="F5" s="13"/>
      <c r="I5" s="33">
        <v>6.6000000000000003E-2</v>
      </c>
    </row>
    <row r="6" spans="1:13">
      <c r="A6" s="72">
        <v>38352</v>
      </c>
      <c r="B6">
        <v>903</v>
      </c>
      <c r="C6" s="128">
        <v>2.2100000000000002E-2</v>
      </c>
      <c r="E6" s="13">
        <v>52.58</v>
      </c>
      <c r="F6" s="13"/>
      <c r="G6" s="73">
        <v>0.04</v>
      </c>
      <c r="H6" s="73"/>
      <c r="I6" s="33">
        <v>6.4299999999999996E-2</v>
      </c>
    </row>
    <row r="7" spans="1:13">
      <c r="A7" s="72">
        <v>38383</v>
      </c>
      <c r="B7">
        <v>826</v>
      </c>
      <c r="C7" s="128">
        <v>2.87E-2</v>
      </c>
      <c r="E7" s="13">
        <v>52.58</v>
      </c>
      <c r="F7" s="13"/>
      <c r="G7" s="73">
        <v>0.04</v>
      </c>
      <c r="H7" s="73"/>
      <c r="I7" s="33">
        <v>6.8699999999999997E-2</v>
      </c>
    </row>
    <row r="8" spans="1:13">
      <c r="A8" s="72">
        <v>38411</v>
      </c>
      <c r="B8">
        <v>735</v>
      </c>
      <c r="C8" s="128">
        <v>3.0200000000000001E-2</v>
      </c>
      <c r="E8" s="13">
        <v>52.58</v>
      </c>
      <c r="F8" s="13"/>
      <c r="G8" s="73">
        <v>0.04</v>
      </c>
      <c r="H8" s="73"/>
      <c r="I8" s="33">
        <v>7.6799999999999993E-2</v>
      </c>
    </row>
    <row r="9" spans="1:13">
      <c r="A9" s="72">
        <v>38442</v>
      </c>
      <c r="B9">
        <v>798</v>
      </c>
      <c r="C9" s="128">
        <v>2.7099999999999999E-2</v>
      </c>
      <c r="E9" s="13">
        <v>51.55</v>
      </c>
      <c r="F9" s="13"/>
      <c r="G9" s="73">
        <v>0.04</v>
      </c>
      <c r="H9" s="73"/>
      <c r="I9" s="33">
        <v>7.0099999999999996E-2</v>
      </c>
    </row>
    <row r="10" spans="1:13">
      <c r="A10" s="72">
        <v>38472</v>
      </c>
      <c r="B10">
        <v>873</v>
      </c>
      <c r="C10" s="128">
        <v>3.1600000000000003E-2</v>
      </c>
      <c r="E10" s="13">
        <v>51.55</v>
      </c>
      <c r="F10" s="13"/>
      <c r="G10" s="73">
        <v>0.04</v>
      </c>
      <c r="H10" s="73"/>
      <c r="I10" s="33">
        <v>6.3200000000000006E-2</v>
      </c>
    </row>
    <row r="11" spans="1:13">
      <c r="A11" s="72">
        <v>38503</v>
      </c>
      <c r="B11">
        <v>919</v>
      </c>
      <c r="C11" s="128">
        <v>3.4700000000000002E-2</v>
      </c>
      <c r="E11" s="13">
        <v>51.55</v>
      </c>
      <c r="F11" s="13"/>
      <c r="G11" s="73">
        <v>0.04</v>
      </c>
      <c r="H11" s="73"/>
      <c r="I11" s="33">
        <v>5.9400000000000001E-2</v>
      </c>
    </row>
    <row r="12" spans="1:13">
      <c r="A12" s="72">
        <v>38533</v>
      </c>
      <c r="B12">
        <v>919</v>
      </c>
      <c r="C12" s="128">
        <v>3.5299999999999998E-2</v>
      </c>
      <c r="E12" s="13">
        <v>50.95</v>
      </c>
      <c r="F12" s="13"/>
      <c r="G12" s="73">
        <v>0.04</v>
      </c>
      <c r="H12" s="73"/>
      <c r="I12" s="33">
        <v>5.8599999999999999E-2</v>
      </c>
    </row>
    <row r="13" spans="1:13">
      <c r="A13" s="72">
        <v>38564</v>
      </c>
      <c r="B13">
        <v>987</v>
      </c>
      <c r="C13" s="128">
        <v>3.5200000000000002E-2</v>
      </c>
      <c r="E13" s="13">
        <v>50.95</v>
      </c>
      <c r="F13" s="13"/>
      <c r="G13" s="73">
        <v>0.04</v>
      </c>
      <c r="H13" s="73"/>
      <c r="I13" s="33">
        <v>5.4600000000000003E-2</v>
      </c>
    </row>
    <row r="14" spans="1:13">
      <c r="A14" s="72">
        <v>38595</v>
      </c>
      <c r="B14">
        <v>1021</v>
      </c>
      <c r="C14" s="128">
        <v>3.4000000000000002E-2</v>
      </c>
      <c r="E14" s="13">
        <v>50.95</v>
      </c>
      <c r="F14" s="13"/>
      <c r="G14" s="73">
        <v>0.04</v>
      </c>
      <c r="H14" s="73"/>
      <c r="I14" s="33">
        <v>5.2999999999999999E-2</v>
      </c>
    </row>
    <row r="15" spans="1:13">
      <c r="A15" s="72">
        <v>38625</v>
      </c>
      <c r="B15">
        <v>1057</v>
      </c>
      <c r="C15" s="128">
        <v>3.3000000000000002E-2</v>
      </c>
      <c r="E15" s="13">
        <v>48.52</v>
      </c>
      <c r="F15" s="13"/>
      <c r="G15" s="73">
        <v>0.04</v>
      </c>
      <c r="H15" s="73"/>
      <c r="I15" s="33">
        <v>4.8599999999999997E-2</v>
      </c>
    </row>
    <row r="16" spans="1:13">
      <c r="A16" s="72">
        <v>38656</v>
      </c>
      <c r="B16">
        <v>1036</v>
      </c>
      <c r="C16" s="128">
        <v>3.39E-2</v>
      </c>
      <c r="E16" s="13">
        <v>48.52</v>
      </c>
      <c r="F16" s="13"/>
      <c r="G16" s="73">
        <v>0.04</v>
      </c>
      <c r="H16" s="73"/>
      <c r="I16" s="33">
        <v>4.9700000000000001E-2</v>
      </c>
    </row>
    <row r="17" spans="1:9">
      <c r="A17" s="72">
        <v>38686</v>
      </c>
      <c r="B17">
        <v>1096</v>
      </c>
      <c r="C17" s="128">
        <v>3.2399999999999998E-2</v>
      </c>
      <c r="E17" s="13">
        <v>48.52</v>
      </c>
      <c r="F17" s="13"/>
      <c r="G17" s="33">
        <v>0.04</v>
      </c>
      <c r="H17" s="33"/>
      <c r="I17" s="33">
        <v>4.7300000000000002E-2</v>
      </c>
    </row>
    <row r="18" spans="1:9">
      <c r="A18" s="72">
        <v>38717</v>
      </c>
      <c r="B18">
        <v>1115</v>
      </c>
      <c r="C18" s="128">
        <v>3.8399999999999997E-2</v>
      </c>
      <c r="E18" s="13">
        <v>40.380000000000003</v>
      </c>
      <c r="F18" s="13"/>
      <c r="G18" s="33">
        <v>7.2099999999999997E-2</v>
      </c>
      <c r="H18" s="33"/>
      <c r="I18" s="33">
        <v>4.36E-2</v>
      </c>
    </row>
    <row r="19" spans="1:9">
      <c r="A19" s="72">
        <v>38748</v>
      </c>
      <c r="B19">
        <v>1074</v>
      </c>
      <c r="C19" s="128">
        <v>3.5799999999999998E-2</v>
      </c>
      <c r="E19" s="13">
        <v>40.380000000000003</v>
      </c>
      <c r="F19" s="13"/>
      <c r="G19" s="33">
        <v>7.2099999999999997E-2</v>
      </c>
      <c r="H19" s="33"/>
      <c r="I19" s="33">
        <v>4.5600000000000002E-2</v>
      </c>
    </row>
    <row r="20" spans="1:9">
      <c r="A20" s="72">
        <v>38776</v>
      </c>
      <c r="B20">
        <v>1104</v>
      </c>
      <c r="C20" s="128">
        <v>3.61E-2</v>
      </c>
      <c r="E20" s="13">
        <v>40.380000000000003</v>
      </c>
      <c r="F20" s="13"/>
      <c r="G20" s="33">
        <v>7.2099999999999997E-2</v>
      </c>
      <c r="H20" s="33"/>
      <c r="I20" s="33">
        <v>4.4400000000000002E-2</v>
      </c>
    </row>
    <row r="21" spans="1:9">
      <c r="A21" s="72">
        <v>38807</v>
      </c>
      <c r="B21">
        <v>1169</v>
      </c>
      <c r="C21" s="128">
        <v>3.8300000000000001E-2</v>
      </c>
      <c r="E21" s="13">
        <v>40.340000000000003</v>
      </c>
      <c r="F21" s="13"/>
      <c r="G21" s="33">
        <v>7.2099999999999997E-2</v>
      </c>
      <c r="H21" s="33"/>
      <c r="I21" s="33">
        <v>4.1599999999999998E-2</v>
      </c>
    </row>
    <row r="22" spans="1:9">
      <c r="A22" s="72">
        <v>38837</v>
      </c>
      <c r="B22">
        <v>1187</v>
      </c>
      <c r="C22" s="128">
        <v>3.6499999999999998E-2</v>
      </c>
      <c r="E22" s="13">
        <v>40.340000000000003</v>
      </c>
      <c r="F22" s="13"/>
      <c r="G22" s="33">
        <v>7.2099999999999997E-2</v>
      </c>
      <c r="H22" s="33"/>
      <c r="I22" s="33">
        <v>4.5400000000000003E-2</v>
      </c>
    </row>
    <row r="23" spans="1:9">
      <c r="A23" s="72">
        <v>38868</v>
      </c>
      <c r="B23">
        <v>1089</v>
      </c>
      <c r="C23" s="128">
        <v>3.3000000000000002E-2</v>
      </c>
      <c r="E23" s="13">
        <v>40.340000000000003</v>
      </c>
      <c r="F23" s="13"/>
      <c r="G23" s="33">
        <v>7.2099999999999997E-2</v>
      </c>
      <c r="H23" s="33"/>
      <c r="I23" s="33">
        <v>4.7899999999999998E-2</v>
      </c>
    </row>
    <row r="24" spans="1:9">
      <c r="A24" s="72">
        <v>38898</v>
      </c>
      <c r="B24">
        <v>1031</v>
      </c>
      <c r="C24" s="128">
        <v>2.9600000000000001E-2</v>
      </c>
      <c r="E24" s="13">
        <v>42.44</v>
      </c>
      <c r="F24" s="13"/>
      <c r="G24" s="33">
        <v>7.2099999999999997E-2</v>
      </c>
      <c r="H24" s="33"/>
      <c r="I24" s="33">
        <v>5.0999999999999997E-2</v>
      </c>
    </row>
    <row r="25" spans="1:9">
      <c r="A25" s="72">
        <v>38929</v>
      </c>
      <c r="B25">
        <v>1106</v>
      </c>
      <c r="C25" s="128">
        <v>2.9100000000000001E-2</v>
      </c>
      <c r="E25" s="13">
        <v>42.44</v>
      </c>
      <c r="F25" s="13"/>
      <c r="G25" s="33">
        <v>7.2099999999999997E-2</v>
      </c>
      <c r="H25" s="33"/>
      <c r="I25" s="33">
        <v>4.7800000000000002E-2</v>
      </c>
    </row>
    <row r="26" spans="1:9">
      <c r="A26" s="72">
        <v>38960</v>
      </c>
      <c r="B26">
        <v>1049</v>
      </c>
      <c r="C26" s="128">
        <v>2.47E-2</v>
      </c>
      <c r="E26" s="13">
        <v>42.44</v>
      </c>
      <c r="F26" s="13"/>
      <c r="G26" s="33">
        <v>7.2099999999999997E-2</v>
      </c>
      <c r="H26" s="33"/>
      <c r="I26" s="33">
        <v>5.0999999999999997E-2</v>
      </c>
    </row>
    <row r="27" spans="1:9">
      <c r="A27" s="72">
        <v>38990</v>
      </c>
      <c r="B27">
        <v>1141</v>
      </c>
      <c r="C27" s="128">
        <v>2.5099999999999997E-2</v>
      </c>
      <c r="E27" s="13">
        <v>48.2</v>
      </c>
      <c r="F27" s="13"/>
      <c r="G27" s="33">
        <v>7.2099999999999997E-2</v>
      </c>
      <c r="H27" s="33"/>
      <c r="I27" s="33">
        <v>5.3100000000000001E-2</v>
      </c>
    </row>
    <row r="28" spans="1:9">
      <c r="A28" s="72">
        <v>39021</v>
      </c>
      <c r="B28">
        <v>1183</v>
      </c>
      <c r="C28" s="128">
        <v>2.6000000000000002E-2</v>
      </c>
      <c r="E28" s="13">
        <v>48.2</v>
      </c>
      <c r="F28" s="13"/>
      <c r="G28" s="33">
        <v>7.2099999999999997E-2</v>
      </c>
      <c r="H28" s="33"/>
      <c r="I28" s="33">
        <v>5.11E-2</v>
      </c>
    </row>
    <row r="29" spans="1:9">
      <c r="A29" s="72">
        <v>39051</v>
      </c>
      <c r="B29">
        <v>1181</v>
      </c>
      <c r="C29" s="128">
        <v>2.8000000000000001E-2</v>
      </c>
      <c r="E29" s="13">
        <f>E28</f>
        <v>48.2</v>
      </c>
      <c r="F29" s="13"/>
      <c r="G29" s="33">
        <v>7.2099999999999997E-2</v>
      </c>
      <c r="H29" s="33"/>
      <c r="I29" s="33">
        <v>5.0799999999999998E-2</v>
      </c>
    </row>
    <row r="30" spans="1:9">
      <c r="A30" s="72">
        <v>39082</v>
      </c>
      <c r="B30">
        <v>1258</v>
      </c>
      <c r="C30" s="128">
        <v>3.2899999999999999E-2</v>
      </c>
      <c r="E30" s="13">
        <v>53.964500000000001</v>
      </c>
      <c r="F30" s="13"/>
      <c r="G30" s="33">
        <v>6.9500000000000006E-2</v>
      </c>
      <c r="H30" s="33"/>
      <c r="I30" s="33">
        <v>5.1999999999999998E-2</v>
      </c>
    </row>
    <row r="31" spans="1:9">
      <c r="A31" s="72">
        <v>39113</v>
      </c>
      <c r="B31">
        <v>1286</v>
      </c>
      <c r="C31" s="128">
        <v>3.3799999999999997E-2</v>
      </c>
      <c r="E31" s="13">
        <f>E30</f>
        <v>53.964500000000001</v>
      </c>
      <c r="F31" s="13"/>
      <c r="G31" s="33">
        <v>6.9500000000000006E-2</v>
      </c>
      <c r="H31" s="33"/>
      <c r="I31" s="33">
        <v>5.0700000000000002E-2</v>
      </c>
    </row>
    <row r="32" spans="1:9">
      <c r="A32" s="72">
        <v>39141</v>
      </c>
      <c r="B32">
        <v>1327</v>
      </c>
      <c r="C32" s="128">
        <v>3.4200000000000001E-2</v>
      </c>
      <c r="E32" s="13">
        <f>E31</f>
        <v>53.964500000000001</v>
      </c>
      <c r="F32" s="13"/>
      <c r="G32" s="33">
        <f>G31</f>
        <v>6.9500000000000006E-2</v>
      </c>
      <c r="H32" s="33"/>
      <c r="I32" s="33">
        <v>4.9000000000000002E-2</v>
      </c>
    </row>
    <row r="33" spans="1:13">
      <c r="A33" s="72">
        <v>39172</v>
      </c>
      <c r="B33">
        <v>1326</v>
      </c>
      <c r="C33" s="128">
        <v>3.4700000000000002E-2</v>
      </c>
      <c r="E33" s="13">
        <v>58.54</v>
      </c>
      <c r="F33" s="13"/>
      <c r="G33" s="33">
        <v>6.9500000000000006E-2</v>
      </c>
      <c r="H33" s="33"/>
      <c r="I33" s="33">
        <v>5.3099999999999994E-2</v>
      </c>
    </row>
    <row r="34" spans="1:13">
      <c r="A34" s="72">
        <v>39202</v>
      </c>
      <c r="B34">
        <v>1364</v>
      </c>
      <c r="C34" s="128">
        <v>3.2899999999999999E-2</v>
      </c>
      <c r="E34" s="13">
        <v>58.15</v>
      </c>
      <c r="F34" s="13"/>
      <c r="G34" s="33">
        <v>6.9500000000000006E-2</v>
      </c>
      <c r="H34" s="33"/>
      <c r="I34" s="33">
        <v>5.16E-2</v>
      </c>
    </row>
    <row r="35" spans="1:13">
      <c r="A35" s="72">
        <v>39233</v>
      </c>
      <c r="B35">
        <v>1345</v>
      </c>
      <c r="C35" s="128">
        <v>3.0600000000000002E-2</v>
      </c>
      <c r="E35" s="13">
        <v>58.15</v>
      </c>
      <c r="F35" s="13"/>
      <c r="G35" s="33">
        <v>6.9500000000000006E-2</v>
      </c>
      <c r="H35" s="33"/>
      <c r="I35" s="33">
        <v>5.2699999999999997E-2</v>
      </c>
    </row>
    <row r="36" spans="1:13">
      <c r="A36" s="72">
        <v>39263</v>
      </c>
      <c r="B36">
        <v>1321</v>
      </c>
      <c r="C36" s="128">
        <v>3.1699999999999999E-2</v>
      </c>
      <c r="E36" s="13">
        <v>62.24</v>
      </c>
      <c r="F36" s="13"/>
      <c r="G36" s="33">
        <v>6.9500000000000006E-2</v>
      </c>
      <c r="H36" s="33"/>
      <c r="I36" s="33">
        <v>5.7200000000000001E-2</v>
      </c>
    </row>
    <row r="37" spans="1:13">
      <c r="A37" s="72">
        <v>39294</v>
      </c>
      <c r="B37">
        <v>1292</v>
      </c>
      <c r="C37" s="128">
        <v>2.7999999999999997E-2</v>
      </c>
      <c r="E37" s="13">
        <v>62.24</v>
      </c>
      <c r="F37" s="13"/>
      <c r="G37" s="33">
        <v>6.9500000000000006E-2</v>
      </c>
      <c r="H37" s="33"/>
      <c r="I37" s="33">
        <v>5.9200000000000003E-2</v>
      </c>
    </row>
    <row r="38" spans="1:13">
      <c r="A38" s="72">
        <v>39325</v>
      </c>
      <c r="B38">
        <v>1219</v>
      </c>
      <c r="C38" s="128">
        <v>2.23E-2</v>
      </c>
      <c r="E38" s="13">
        <v>62.24</v>
      </c>
      <c r="F38" s="13"/>
      <c r="G38" s="33">
        <v>6.9500000000000006E-2</v>
      </c>
      <c r="H38" s="33"/>
      <c r="I38" s="33">
        <v>6.3899999999999998E-2</v>
      </c>
    </row>
    <row r="39" spans="1:13">
      <c r="A39" s="72">
        <v>39355</v>
      </c>
      <c r="B39">
        <v>1131</v>
      </c>
      <c r="C39" s="128">
        <v>1.9199999999999998E-2</v>
      </c>
      <c r="E39" s="13">
        <v>68.650000000000006</v>
      </c>
      <c r="F39" s="13"/>
      <c r="G39" s="33">
        <v>6.9500000000000006E-2</v>
      </c>
      <c r="H39" s="33"/>
      <c r="I39" s="33">
        <v>7.6399999999999996E-2</v>
      </c>
    </row>
    <row r="40" spans="1:13">
      <c r="A40" s="72">
        <v>39386</v>
      </c>
      <c r="B40">
        <v>1253</v>
      </c>
      <c r="C40" s="128">
        <v>2.0500000000000001E-2</v>
      </c>
      <c r="E40" s="13">
        <v>68.650000000000006</v>
      </c>
      <c r="F40" s="13"/>
      <c r="G40" s="33">
        <v>5.5E-2</v>
      </c>
      <c r="H40" s="33"/>
      <c r="I40" s="33">
        <v>6.4899999999999999E-2</v>
      </c>
    </row>
    <row r="41" spans="1:13">
      <c r="A41" s="72">
        <v>39416</v>
      </c>
      <c r="B41">
        <v>1247</v>
      </c>
      <c r="C41" s="128">
        <v>2.07E-2</v>
      </c>
      <c r="E41" s="13">
        <v>68.650000000000006</v>
      </c>
      <c r="F41" s="13"/>
      <c r="G41" s="33">
        <v>5.5E-2</v>
      </c>
      <c r="H41" s="33"/>
      <c r="I41" s="33">
        <v>6.5100000000000005E-2</v>
      </c>
    </row>
    <row r="42" spans="1:13">
      <c r="A42" s="72">
        <v>39447</v>
      </c>
      <c r="B42">
        <v>1258</v>
      </c>
      <c r="C42" s="128">
        <v>1.8700000000000001E-2</v>
      </c>
      <c r="D42" s="13">
        <v>59.01</v>
      </c>
      <c r="E42" s="13">
        <v>72.23</v>
      </c>
      <c r="F42" s="13"/>
      <c r="G42" s="33">
        <v>7.1800000000000003E-2</v>
      </c>
      <c r="H42" s="33"/>
      <c r="I42" s="33">
        <v>7.3200000000000001E-2</v>
      </c>
      <c r="J42" s="33">
        <v>6.0100000000000001E-2</v>
      </c>
      <c r="K42" s="33"/>
      <c r="M42" t="s">
        <v>140</v>
      </c>
    </row>
    <row r="43" spans="1:13">
      <c r="A43" s="72">
        <v>39478</v>
      </c>
      <c r="B43">
        <v>1312</v>
      </c>
      <c r="C43" s="128">
        <v>1.8100000000000002E-2</v>
      </c>
      <c r="D43" s="13">
        <v>59.01</v>
      </c>
      <c r="E43" s="13">
        <v>72.23</v>
      </c>
      <c r="F43" s="13"/>
      <c r="G43" s="33">
        <v>7.1800000000000003E-2</v>
      </c>
      <c r="H43" s="33"/>
      <c r="I43" s="33">
        <v>7.0400000000000004E-2</v>
      </c>
      <c r="J43" s="33">
        <v>5.7799999999999997E-2</v>
      </c>
      <c r="K43" s="33"/>
    </row>
    <row r="44" spans="1:13">
      <c r="A44" s="72">
        <v>39507</v>
      </c>
      <c r="B44">
        <v>1366</v>
      </c>
      <c r="C44" s="128">
        <v>1.9799999999999998E-2</v>
      </c>
      <c r="D44" s="13">
        <v>59.01</v>
      </c>
      <c r="E44" s="13">
        <v>72.23</v>
      </c>
      <c r="F44" s="13"/>
      <c r="G44" s="33">
        <v>7.1800000000000003E-2</v>
      </c>
      <c r="H44" s="33"/>
      <c r="I44" s="33">
        <v>6.7299999999999999E-2</v>
      </c>
      <c r="J44" s="33">
        <v>5.5199999999999999E-2</v>
      </c>
      <c r="K44" s="33"/>
    </row>
    <row r="45" spans="1:13">
      <c r="A45" s="72">
        <v>39538</v>
      </c>
      <c r="B45">
        <v>1408</v>
      </c>
      <c r="C45" s="128">
        <v>2.2099999999999998E-2</v>
      </c>
      <c r="D45" s="13">
        <v>66.290000000000006</v>
      </c>
      <c r="E45" s="13">
        <v>74.069999999999993</v>
      </c>
      <c r="F45" s="13"/>
      <c r="G45" s="33">
        <v>7.1800000000000003E-2</v>
      </c>
      <c r="H45" s="33"/>
      <c r="I45" s="33">
        <v>6.6400000000000001E-2</v>
      </c>
      <c r="J45" s="33">
        <v>5.96E-2</v>
      </c>
      <c r="K45" s="33"/>
    </row>
    <row r="46" spans="1:13">
      <c r="A46" s="72">
        <v>39568</v>
      </c>
      <c r="B46">
        <v>1398</v>
      </c>
      <c r="C46" s="128">
        <v>1.9199999999999998E-2</v>
      </c>
      <c r="D46" s="13">
        <v>66.290000000000006</v>
      </c>
      <c r="E46" s="13">
        <v>74.069999999999993</v>
      </c>
      <c r="F46" s="13"/>
      <c r="G46" s="33">
        <v>7.1800000000000003E-2</v>
      </c>
      <c r="H46" s="33"/>
      <c r="I46" s="33">
        <v>6.7599999999999993E-2</v>
      </c>
      <c r="J46" s="33">
        <v>6.0600000000000001E-2</v>
      </c>
      <c r="K46" s="33"/>
    </row>
    <row r="47" spans="1:13">
      <c r="A47" s="72">
        <v>39599</v>
      </c>
      <c r="B47">
        <v>1310</v>
      </c>
      <c r="C47" s="128">
        <v>1.55E-2</v>
      </c>
      <c r="D47" s="13">
        <v>66.290000000000006</v>
      </c>
      <c r="E47" s="13">
        <v>74.069999999999993</v>
      </c>
      <c r="F47" s="13"/>
      <c r="G47" s="33">
        <v>7.1800000000000003E-2</v>
      </c>
      <c r="H47" s="33"/>
      <c r="I47" s="33">
        <v>7.2800000000000004E-2</v>
      </c>
      <c r="J47" s="33">
        <v>6.54E-2</v>
      </c>
      <c r="K47" s="33"/>
    </row>
    <row r="48" spans="1:13">
      <c r="A48" s="72">
        <v>39629</v>
      </c>
      <c r="B48">
        <v>1362</v>
      </c>
      <c r="C48" s="128">
        <v>1.6500000000000001E-2</v>
      </c>
      <c r="D48" s="13">
        <v>64.06</v>
      </c>
      <c r="E48" s="13">
        <v>71.55</v>
      </c>
      <c r="F48" s="13"/>
      <c r="G48" s="33">
        <v>6.5600000000000006E-2</v>
      </c>
      <c r="H48" s="33"/>
      <c r="I48" s="33">
        <v>6.59E-2</v>
      </c>
      <c r="J48" s="33">
        <v>5.91E-2</v>
      </c>
      <c r="K48" s="33"/>
      <c r="M48" t="s">
        <v>141</v>
      </c>
    </row>
    <row r="49" spans="1:13">
      <c r="A49" s="72">
        <v>39660</v>
      </c>
      <c r="B49">
        <v>1379</v>
      </c>
      <c r="C49" s="128">
        <v>1.47E-2</v>
      </c>
      <c r="D49" s="13">
        <v>64.06</v>
      </c>
      <c r="E49" s="13">
        <v>71.55</v>
      </c>
      <c r="F49" s="13"/>
      <c r="G49" s="33">
        <v>6.5600000000000006E-2</v>
      </c>
      <c r="H49" s="33"/>
      <c r="I49" s="33">
        <v>6.5500000000000003E-2</v>
      </c>
      <c r="J49" s="33">
        <v>5.8799999999999998E-2</v>
      </c>
      <c r="K49" s="33"/>
    </row>
    <row r="50" spans="1:13">
      <c r="A50" s="72">
        <v>39691</v>
      </c>
      <c r="B50">
        <v>1407</v>
      </c>
      <c r="C50" s="128">
        <v>1.55E-2</v>
      </c>
      <c r="D50" s="13">
        <v>64.06</v>
      </c>
      <c r="E50" s="13">
        <v>71.55</v>
      </c>
      <c r="F50" s="13"/>
      <c r="G50" s="33">
        <v>6.5600000000000006E-2</v>
      </c>
      <c r="H50" s="33"/>
      <c r="I50" s="33">
        <v>6.4100000000000004E-2</v>
      </c>
      <c r="J50" s="33">
        <v>5.7500000000000002E-2</v>
      </c>
      <c r="K50" s="33"/>
    </row>
    <row r="51" spans="1:13">
      <c r="A51" s="72">
        <v>39721</v>
      </c>
      <c r="B51">
        <v>1441</v>
      </c>
      <c r="C51" s="128">
        <v>1.6199999999999999E-2</v>
      </c>
      <c r="D51" s="13">
        <v>67.739999999999995</v>
      </c>
      <c r="E51" s="13">
        <v>72.739999999999995</v>
      </c>
      <c r="F51" s="13"/>
      <c r="G51" s="33">
        <v>6.5600000000000006E-2</v>
      </c>
      <c r="H51" s="33"/>
      <c r="I51" s="33">
        <v>6.3500000000000001E-2</v>
      </c>
      <c r="J51" s="33">
        <v>5.9200000000000003E-2</v>
      </c>
      <c r="K51" s="33"/>
      <c r="M51" t="s">
        <v>142</v>
      </c>
    </row>
    <row r="52" spans="1:13">
      <c r="A52" s="72">
        <v>39752</v>
      </c>
      <c r="B52">
        <v>1412</v>
      </c>
      <c r="C52" s="128">
        <v>1.7500000000000002E-2</v>
      </c>
      <c r="D52" s="13">
        <v>67.739999999999995</v>
      </c>
      <c r="E52" s="13">
        <v>72.739999999999995</v>
      </c>
      <c r="F52" s="13"/>
      <c r="G52" s="33">
        <v>6.5600000000000006E-2</v>
      </c>
      <c r="H52" s="33"/>
      <c r="I52" s="33">
        <v>6.4399999999999999E-2</v>
      </c>
      <c r="J52" s="33">
        <v>6.0100000000000001E-2</v>
      </c>
      <c r="K52" s="33"/>
    </row>
    <row r="53" spans="1:13">
      <c r="A53" s="72">
        <v>39782</v>
      </c>
      <c r="B53">
        <v>1416</v>
      </c>
      <c r="C53" s="128">
        <v>1.6199999999999999E-2</v>
      </c>
      <c r="D53" s="13">
        <v>67.739999999999995</v>
      </c>
      <c r="E53" s="13">
        <v>72.739999999999995</v>
      </c>
      <c r="F53" s="13"/>
      <c r="G53" s="33">
        <v>6.5600000000000006E-2</v>
      </c>
      <c r="H53" s="33"/>
      <c r="I53" s="33">
        <v>6.4500000000000002E-2</v>
      </c>
      <c r="J53" s="33">
        <v>6.0199999999999997E-2</v>
      </c>
      <c r="K53" s="33"/>
    </row>
    <row r="54" spans="1:13">
      <c r="A54" s="72">
        <v>39813</v>
      </c>
      <c r="B54">
        <v>1426</v>
      </c>
      <c r="C54" s="128">
        <v>1.7600000000000001E-2</v>
      </c>
      <c r="D54" s="13">
        <v>69.459999999999994</v>
      </c>
      <c r="E54" s="13">
        <v>72.25</v>
      </c>
      <c r="F54" s="13"/>
      <c r="G54" s="33">
        <v>5.2699999999999997E-2</v>
      </c>
      <c r="H54" s="33"/>
      <c r="I54" s="33">
        <v>0.06</v>
      </c>
      <c r="J54" s="33">
        <v>5.7799999999999997E-2</v>
      </c>
      <c r="K54" s="33"/>
      <c r="M54" t="s">
        <v>143</v>
      </c>
    </row>
    <row r="55" spans="1:13">
      <c r="A55" s="72">
        <v>39844</v>
      </c>
      <c r="B55">
        <v>1498</v>
      </c>
      <c r="C55" s="128">
        <v>0.02</v>
      </c>
      <c r="D55" s="13">
        <v>69.459999999999994</v>
      </c>
      <c r="E55" s="13">
        <v>72.25</v>
      </c>
      <c r="F55" s="13"/>
      <c r="G55" s="33">
        <v>5.2699999999999997E-2</v>
      </c>
      <c r="H55" s="33"/>
      <c r="I55" s="33">
        <v>5.67E-2</v>
      </c>
      <c r="J55" s="33">
        <v>5.4600000000000003E-2</v>
      </c>
      <c r="K55" s="33"/>
    </row>
    <row r="56" spans="1:13">
      <c r="A56" s="72">
        <v>39872</v>
      </c>
      <c r="B56" s="74">
        <v>1514.68</v>
      </c>
      <c r="C56" s="128">
        <v>1.8800000000000001E-2</v>
      </c>
      <c r="D56" s="13">
        <v>69.459999999999994</v>
      </c>
      <c r="E56" s="13">
        <v>72.25</v>
      </c>
      <c r="F56" s="13"/>
      <c r="G56" s="33">
        <v>5.3199999999999997E-2</v>
      </c>
      <c r="H56" s="33"/>
      <c r="I56" s="33">
        <v>5.6500000000000002E-2</v>
      </c>
      <c r="J56" s="33">
        <v>5.4300000000000001E-2</v>
      </c>
      <c r="K56" s="33"/>
    </row>
    <row r="57" spans="1:13">
      <c r="A57" s="72">
        <v>39903</v>
      </c>
      <c r="B57">
        <v>1569</v>
      </c>
      <c r="C57" s="128">
        <v>1.8499999999999999E-2</v>
      </c>
      <c r="D57" s="13">
        <v>76.760000000000005</v>
      </c>
      <c r="E57" s="13">
        <v>75.31</v>
      </c>
      <c r="F57" s="13"/>
      <c r="G57" s="33">
        <v>5.3100000000000001E-2</v>
      </c>
      <c r="H57" s="33"/>
      <c r="I57" s="33">
        <v>5.6800000000000003E-2</v>
      </c>
      <c r="J57" s="33">
        <v>5.79E-2</v>
      </c>
      <c r="K57" s="33"/>
      <c r="M57" t="s">
        <v>142</v>
      </c>
    </row>
    <row r="58" spans="1:13">
      <c r="A58" s="72">
        <v>39933</v>
      </c>
      <c r="B58">
        <v>1598</v>
      </c>
      <c r="C58" s="128">
        <v>1.6500000000000001E-2</v>
      </c>
      <c r="D58" s="13">
        <v>76.760000000000005</v>
      </c>
      <c r="E58" s="13">
        <v>75.31</v>
      </c>
      <c r="F58" s="13"/>
      <c r="G58" s="33">
        <v>5.2299999999999999E-2</v>
      </c>
      <c r="H58" s="33"/>
      <c r="I58" s="33">
        <v>5.6000000000000001E-2</v>
      </c>
      <c r="J58" s="33">
        <v>5.7099999999999998E-2</v>
      </c>
      <c r="K58" s="33"/>
    </row>
    <row r="59" spans="1:13">
      <c r="A59" s="72">
        <v>39964</v>
      </c>
      <c r="B59">
        <v>1631</v>
      </c>
      <c r="C59" s="128">
        <v>2.1400000000000002E-2</v>
      </c>
      <c r="D59" s="13">
        <v>76.760000000000005</v>
      </c>
      <c r="E59" s="13">
        <v>75.31</v>
      </c>
      <c r="F59" s="13"/>
      <c r="G59" s="33">
        <v>5.4300000000000001E-2</v>
      </c>
      <c r="H59" s="33"/>
      <c r="I59" s="33">
        <v>5.45E-2</v>
      </c>
      <c r="J59" s="33">
        <v>5.5500000000000001E-2</v>
      </c>
      <c r="K59" s="33"/>
    </row>
    <row r="60" spans="1:13">
      <c r="A60" s="72">
        <v>39994</v>
      </c>
      <c r="B60">
        <v>1606</v>
      </c>
      <c r="C60" s="128">
        <v>2.4900000000000002E-2</v>
      </c>
      <c r="D60" s="13">
        <v>78.66</v>
      </c>
      <c r="E60" s="13">
        <v>78.58</v>
      </c>
      <c r="F60" s="13"/>
      <c r="G60" s="33">
        <v>5.57E-2</v>
      </c>
      <c r="H60" s="33"/>
      <c r="I60" s="33">
        <v>5.7300000000000004E-2</v>
      </c>
      <c r="J60" s="33">
        <v>5.74E-2</v>
      </c>
      <c r="K60" s="33"/>
      <c r="M60" t="s">
        <v>142</v>
      </c>
    </row>
    <row r="61" spans="1:13">
      <c r="A61" s="72">
        <v>40025</v>
      </c>
      <c r="B61">
        <v>1686</v>
      </c>
      <c r="C61" s="128">
        <v>2.5699999999999997E-2</v>
      </c>
      <c r="D61" s="13">
        <v>78.66</v>
      </c>
      <c r="E61" s="13">
        <v>78.58</v>
      </c>
      <c r="F61" s="13"/>
      <c r="G61" s="33">
        <v>5.5999999999999994E-2</v>
      </c>
      <c r="H61" s="33"/>
      <c r="I61" s="33">
        <v>5.4600000000000003E-2</v>
      </c>
      <c r="J61" s="33">
        <v>5.4600000000000003E-2</v>
      </c>
      <c r="K61" s="33"/>
    </row>
    <row r="62" spans="1:13">
      <c r="A62" s="72">
        <v>40056</v>
      </c>
      <c r="B62">
        <v>1633</v>
      </c>
      <c r="C62" s="128">
        <v>2.7900000000000001E-2</v>
      </c>
      <c r="D62" s="13">
        <v>78.66</v>
      </c>
      <c r="E62" s="13">
        <v>78.58</v>
      </c>
      <c r="F62" s="13"/>
      <c r="G62" s="33">
        <v>5.6899999999999999E-2</v>
      </c>
      <c r="H62" s="33"/>
      <c r="I62" s="33">
        <v>5.62E-2</v>
      </c>
      <c r="J62" s="33">
        <v>5.6099999999999997E-2</v>
      </c>
      <c r="K62" s="33"/>
    </row>
    <row r="63" spans="1:13">
      <c r="A63" s="72">
        <v>40086</v>
      </c>
      <c r="B63">
        <v>1682</v>
      </c>
      <c r="C63" s="128">
        <v>2.6099999999999998E-2</v>
      </c>
      <c r="D63" s="13">
        <v>82.35</v>
      </c>
      <c r="E63" s="13">
        <v>80.33</v>
      </c>
      <c r="F63" s="13"/>
      <c r="G63" s="33">
        <v>5.62E-2</v>
      </c>
      <c r="H63" s="33"/>
      <c r="I63" s="33">
        <v>5.5899999999999998E-2</v>
      </c>
      <c r="J63" s="33">
        <v>5.7300000000000004E-2</v>
      </c>
      <c r="K63" s="33"/>
      <c r="M63" t="s">
        <v>142</v>
      </c>
    </row>
    <row r="64" spans="1:13">
      <c r="A64" s="72">
        <v>40117</v>
      </c>
      <c r="B64">
        <v>1757</v>
      </c>
      <c r="C64" s="128">
        <v>2.5499999999999998E-2</v>
      </c>
      <c r="D64" s="13">
        <v>82.35</v>
      </c>
      <c r="E64" s="13">
        <v>80.33</v>
      </c>
      <c r="F64" s="13"/>
      <c r="G64" s="33">
        <v>5.5899999999999998E-2</v>
      </c>
      <c r="H64" s="33"/>
      <c r="I64" s="33">
        <v>5.3600000000000002E-2</v>
      </c>
      <c r="J64" s="33">
        <v>5.4899999999999997E-2</v>
      </c>
      <c r="K64" s="33"/>
    </row>
    <row r="65" spans="1:13">
      <c r="A65" s="72">
        <v>40147</v>
      </c>
      <c r="B65">
        <v>1806</v>
      </c>
      <c r="C65" s="128">
        <v>2.75E-2</v>
      </c>
      <c r="D65" s="13">
        <v>82.35</v>
      </c>
      <c r="E65" s="13">
        <v>80.33</v>
      </c>
      <c r="F65" s="13"/>
      <c r="G65" s="33">
        <v>5.67E-2</v>
      </c>
      <c r="H65" s="33"/>
      <c r="I65" s="33">
        <v>5.1900000000000002E-2</v>
      </c>
      <c r="J65" s="33">
        <v>5.3200000000000004E-2</v>
      </c>
      <c r="K65" s="33"/>
    </row>
    <row r="66" spans="1:13">
      <c r="A66" s="72">
        <v>40178</v>
      </c>
      <c r="B66">
        <v>1848</v>
      </c>
      <c r="C66" s="128">
        <v>3.04E-2</v>
      </c>
      <c r="D66" s="13">
        <v>90.52</v>
      </c>
      <c r="E66" s="13">
        <v>84.16</v>
      </c>
      <c r="F66" s="13"/>
      <c r="G66" s="33">
        <v>4.2799999999999998E-2</v>
      </c>
      <c r="H66" s="33"/>
      <c r="I66" s="33">
        <v>4.9599999999999998E-2</v>
      </c>
      <c r="J66" s="33">
        <v>5.33E-2</v>
      </c>
      <c r="K66" s="33"/>
      <c r="M66" t="s">
        <v>144</v>
      </c>
    </row>
    <row r="67" spans="1:13">
      <c r="A67" s="72">
        <v>40209</v>
      </c>
      <c r="B67">
        <v>1783</v>
      </c>
      <c r="C67" s="128">
        <v>2.6499999999999999E-2</v>
      </c>
      <c r="D67" s="13">
        <v>90.52</v>
      </c>
      <c r="E67" s="13">
        <v>84.16</v>
      </c>
      <c r="F67" s="13"/>
      <c r="G67" s="33">
        <v>4.1300000000000003E-2</v>
      </c>
      <c r="H67" s="33"/>
      <c r="I67" s="33">
        <v>5.1699999999999996E-2</v>
      </c>
      <c r="J67" s="33">
        <v>5.5599999999999997E-2</v>
      </c>
      <c r="K67" s="33"/>
    </row>
    <row r="68" spans="1:13">
      <c r="A68" s="72">
        <v>40237</v>
      </c>
      <c r="B68">
        <v>1859</v>
      </c>
      <c r="C68" s="128">
        <v>2.6600000000000002E-2</v>
      </c>
      <c r="D68" s="13">
        <v>90.52</v>
      </c>
      <c r="E68" s="13">
        <v>84.16</v>
      </c>
      <c r="F68" s="13"/>
      <c r="G68" s="33">
        <v>4.1300000000000003E-2</v>
      </c>
      <c r="H68" s="33"/>
      <c r="I68" s="33">
        <v>4.9599999999999998E-2</v>
      </c>
      <c r="J68" s="33">
        <v>5.33E-2</v>
      </c>
      <c r="K68" s="33"/>
    </row>
    <row r="69" spans="1:13">
      <c r="A69" s="72">
        <v>40268</v>
      </c>
      <c r="B69">
        <v>1874</v>
      </c>
      <c r="C69" s="128">
        <v>2.7200000000000002E-2</v>
      </c>
      <c r="D69" s="13">
        <v>95.39</v>
      </c>
      <c r="E69" s="13">
        <v>88.13</v>
      </c>
      <c r="F69" s="13"/>
      <c r="G69" s="33">
        <v>4.1500000000000002E-2</v>
      </c>
      <c r="H69" s="33"/>
      <c r="I69" s="33">
        <v>5.1499999999999997E-2</v>
      </c>
      <c r="J69" s="33">
        <v>5.57E-2</v>
      </c>
      <c r="K69" s="33"/>
      <c r="M69" t="s">
        <v>145</v>
      </c>
    </row>
    <row r="70" spans="1:13">
      <c r="A70" s="72">
        <v>40298</v>
      </c>
      <c r="B70">
        <v>1884</v>
      </c>
      <c r="C70" s="128">
        <v>2.6499999999999999E-2</v>
      </c>
      <c r="D70" s="13">
        <v>95.39</v>
      </c>
      <c r="E70" s="13">
        <v>88.13</v>
      </c>
      <c r="F70" s="13"/>
      <c r="G70" s="33">
        <v>4.1299999999999996E-2</v>
      </c>
      <c r="H70" s="33"/>
      <c r="I70" s="33">
        <v>5.1200000000000002E-2</v>
      </c>
      <c r="J70" s="33">
        <v>5.5399999999999998E-2</v>
      </c>
      <c r="K70" s="33"/>
    </row>
    <row r="71" spans="1:13">
      <c r="A71" s="72">
        <v>40329</v>
      </c>
      <c r="B71">
        <v>1924</v>
      </c>
      <c r="C71" s="128">
        <v>2.4799999999999999E-2</v>
      </c>
      <c r="D71" s="13">
        <v>95.39</v>
      </c>
      <c r="E71" s="13">
        <v>88.13</v>
      </c>
      <c r="F71" s="13"/>
      <c r="G71" s="33">
        <v>4.0599999999999997E-2</v>
      </c>
      <c r="H71" s="33"/>
      <c r="I71" s="33">
        <v>5.0299999999999997E-2</v>
      </c>
      <c r="J71" s="33">
        <v>5.45E-2</v>
      </c>
      <c r="K71" s="33"/>
    </row>
    <row r="72" spans="1:13">
      <c r="A72" s="72">
        <v>40359</v>
      </c>
      <c r="B72">
        <v>1960</v>
      </c>
      <c r="C72" s="128">
        <v>2.52E-2</v>
      </c>
      <c r="D72" s="13">
        <v>99.78</v>
      </c>
      <c r="E72" s="13">
        <v>96.01</v>
      </c>
      <c r="F72" s="13"/>
      <c r="G72" s="33">
        <v>4.07E-2</v>
      </c>
      <c r="H72" s="33"/>
      <c r="I72" s="33">
        <v>5.3800000000000001E-2</v>
      </c>
      <c r="J72" s="33">
        <v>5.5899999999999998E-2</v>
      </c>
      <c r="K72" s="33"/>
      <c r="M72" t="s">
        <v>145</v>
      </c>
    </row>
    <row r="73" spans="1:13">
      <c r="A73" s="72">
        <v>40390</v>
      </c>
      <c r="B73">
        <v>1931</v>
      </c>
      <c r="C73" s="128">
        <v>2.5600000000000001E-2</v>
      </c>
      <c r="D73" s="13">
        <v>99.78</v>
      </c>
      <c r="E73" s="13">
        <v>96.01</v>
      </c>
      <c r="F73" s="13"/>
      <c r="G73" s="33">
        <v>4.0899999999999999E-2</v>
      </c>
      <c r="H73" s="33"/>
      <c r="I73" s="33">
        <v>5.45E-2</v>
      </c>
      <c r="J73" s="33">
        <v>5.67E-2</v>
      </c>
      <c r="K73" s="33"/>
    </row>
    <row r="74" spans="1:13">
      <c r="A74" s="72">
        <v>40421</v>
      </c>
      <c r="B74">
        <v>2003</v>
      </c>
      <c r="C74" s="128">
        <v>2.35E-2</v>
      </c>
      <c r="D74" s="13">
        <v>99.78</v>
      </c>
      <c r="E74" s="13">
        <v>96.01</v>
      </c>
      <c r="F74" s="13"/>
      <c r="G74" s="33">
        <v>0.04</v>
      </c>
      <c r="H74" s="33"/>
      <c r="I74" s="33">
        <v>5.28E-2</v>
      </c>
      <c r="J74" s="33">
        <v>5.4800000000000001E-2</v>
      </c>
      <c r="K74" s="33"/>
    </row>
    <row r="75" spans="1:13">
      <c r="A75" s="72">
        <v>40451</v>
      </c>
      <c r="B75">
        <v>1973</v>
      </c>
      <c r="C75" s="128">
        <v>2.4899999999999999E-2</v>
      </c>
      <c r="D75" s="13">
        <v>100.41</v>
      </c>
      <c r="E75" s="13">
        <v>97.52</v>
      </c>
      <c r="F75" s="13"/>
      <c r="G75" s="33">
        <v>4.0399999999999998E-2</v>
      </c>
      <c r="H75" s="33"/>
      <c r="I75" s="33">
        <v>5.4300000000000001E-2</v>
      </c>
      <c r="J75" s="33">
        <v>5.5899999999999998E-2</v>
      </c>
      <c r="K75" s="33"/>
      <c r="L75" s="33">
        <v>4.87E-2</v>
      </c>
      <c r="M75" t="s">
        <v>145</v>
      </c>
    </row>
    <row r="76" spans="1:13">
      <c r="A76" s="72">
        <v>40482</v>
      </c>
      <c r="B76">
        <v>2018</v>
      </c>
      <c r="C76" s="128">
        <v>2.3399999999999997E-2</v>
      </c>
      <c r="D76" s="13">
        <v>100.41</v>
      </c>
      <c r="E76" s="13">
        <v>97.52</v>
      </c>
      <c r="F76" s="13"/>
      <c r="G76" s="33">
        <v>0.04</v>
      </c>
      <c r="H76" s="33"/>
      <c r="I76" s="33">
        <v>5.3199999999999997E-2</v>
      </c>
      <c r="J76" s="33">
        <v>5.4800000000000001E-2</v>
      </c>
      <c r="K76" s="33"/>
      <c r="L76" s="33">
        <v>4.7800000000000002E-2</v>
      </c>
    </row>
    <row r="77" spans="1:13">
      <c r="A77" s="72">
        <v>40512</v>
      </c>
      <c r="B77">
        <v>2068</v>
      </c>
      <c r="C77" s="128">
        <v>2.1700000000000001E-2</v>
      </c>
      <c r="D77" s="13">
        <v>100.41</v>
      </c>
      <c r="E77" s="13">
        <v>97.52</v>
      </c>
      <c r="F77" s="13"/>
      <c r="G77" s="33">
        <v>3.9300000000000002E-2</v>
      </c>
      <c r="H77" s="33"/>
      <c r="I77" s="33">
        <v>5.21E-2</v>
      </c>
      <c r="J77" s="33">
        <v>5.3600000000000002E-2</v>
      </c>
      <c r="K77" s="33"/>
      <c r="L77" s="33">
        <v>4.6799999999999994E-2</v>
      </c>
    </row>
    <row r="78" spans="1:13">
      <c r="A78" s="72">
        <v>40543</v>
      </c>
      <c r="B78">
        <v>2059</v>
      </c>
      <c r="C78" s="128">
        <v>2.1700000000000001E-2</v>
      </c>
      <c r="D78" s="13">
        <v>107.97</v>
      </c>
      <c r="E78" s="13">
        <v>100.5</v>
      </c>
      <c r="F78" s="13"/>
      <c r="G78" s="33">
        <v>5.5800000000000002E-2</v>
      </c>
      <c r="H78" s="33"/>
      <c r="I78" s="33">
        <v>5.7800000000000004E-2</v>
      </c>
      <c r="J78" s="33">
        <v>6.2100000000000002E-2</v>
      </c>
      <c r="K78" s="33"/>
      <c r="L78" s="33">
        <v>5.21E-2</v>
      </c>
      <c r="M78" t="s">
        <v>144</v>
      </c>
    </row>
    <row r="79" spans="1:13">
      <c r="A79" s="72">
        <v>40574</v>
      </c>
      <c r="B79">
        <v>1995</v>
      </c>
      <c r="C79" s="128">
        <v>1.7000000000000001E-2</v>
      </c>
      <c r="D79" s="13">
        <v>107.97</v>
      </c>
      <c r="E79" s="13">
        <v>100.5</v>
      </c>
      <c r="F79" s="13"/>
      <c r="G79" s="33">
        <v>5.3800000000000001E-2</v>
      </c>
      <c r="H79" s="33"/>
      <c r="I79" s="33">
        <v>6.0100000000000001E-2</v>
      </c>
      <c r="J79" s="33">
        <v>6.4500000000000002E-2</v>
      </c>
      <c r="K79" s="33"/>
      <c r="L79" s="33">
        <v>5.4199999999999998E-2</v>
      </c>
    </row>
    <row r="80" spans="1:13">
      <c r="A80" s="72">
        <v>40602</v>
      </c>
      <c r="B80">
        <v>2105</v>
      </c>
      <c r="C80" s="128">
        <v>0.02</v>
      </c>
      <c r="D80" s="13">
        <v>107.97</v>
      </c>
      <c r="E80" s="13">
        <v>100.5</v>
      </c>
      <c r="F80" s="13"/>
      <c r="G80" s="33">
        <v>5.5100000000000003E-2</v>
      </c>
      <c r="H80" s="33"/>
      <c r="I80" s="33">
        <v>5.67E-2</v>
      </c>
      <c r="J80" s="33">
        <v>6.0899999999999996E-2</v>
      </c>
      <c r="K80" s="33"/>
      <c r="L80" s="33">
        <v>5.11E-2</v>
      </c>
    </row>
    <row r="81" spans="1:13">
      <c r="A81" s="72">
        <v>40633</v>
      </c>
      <c r="B81">
        <v>2068</v>
      </c>
      <c r="C81" s="128">
        <v>1.9300000000000001E-2</v>
      </c>
      <c r="D81" s="13">
        <v>108.59</v>
      </c>
      <c r="E81" s="13">
        <v>101.98</v>
      </c>
      <c r="F81" s="13"/>
      <c r="G81" s="33">
        <v>5.4800000000000001E-2</v>
      </c>
      <c r="H81" s="33"/>
      <c r="I81" s="33">
        <v>5.8600000000000006E-2</v>
      </c>
      <c r="J81" s="33">
        <v>6.2400000000000004E-2</v>
      </c>
      <c r="K81" s="33"/>
      <c r="L81" s="33">
        <v>5.3199999999999997E-2</v>
      </c>
      <c r="M81" t="s">
        <v>145</v>
      </c>
    </row>
    <row r="82" spans="1:13">
      <c r="A82" s="72">
        <v>40663</v>
      </c>
      <c r="B82">
        <v>2086</v>
      </c>
      <c r="C82" s="128">
        <v>2.0499999999999997E-2</v>
      </c>
      <c r="D82" s="13">
        <v>108.59</v>
      </c>
      <c r="E82" s="13">
        <v>101.98</v>
      </c>
      <c r="F82" s="13"/>
      <c r="G82" s="33">
        <v>5.5300000000000002E-2</v>
      </c>
      <c r="H82" s="33"/>
      <c r="I82" s="33">
        <v>5.8000000000000003E-2</v>
      </c>
      <c r="J82" s="33">
        <v>6.1699999999999998E-2</v>
      </c>
      <c r="K82" s="33"/>
      <c r="L82" s="33">
        <v>5.2699999999999997E-2</v>
      </c>
    </row>
    <row r="83" spans="1:13">
      <c r="A83" s="72">
        <v>40694</v>
      </c>
      <c r="B83">
        <v>2107</v>
      </c>
      <c r="C83" s="128">
        <v>2.1299999999999999E-2</v>
      </c>
      <c r="D83" s="13">
        <v>108.59</v>
      </c>
      <c r="E83" s="13">
        <v>101.98</v>
      </c>
      <c r="F83" s="13"/>
      <c r="G83" s="33">
        <v>5.5599999999999997E-2</v>
      </c>
      <c r="H83" s="33"/>
      <c r="I83" s="33">
        <v>5.74E-2</v>
      </c>
      <c r="J83" s="33">
        <v>6.0999999999999999E-2</v>
      </c>
      <c r="K83" s="33"/>
      <c r="L83" s="33">
        <v>5.21E-2</v>
      </c>
    </row>
    <row r="84" spans="1:13">
      <c r="A84" s="72">
        <v>40724</v>
      </c>
      <c r="B84">
        <v>2063</v>
      </c>
      <c r="C84" s="128">
        <v>2.3599999999999999E-2</v>
      </c>
      <c r="D84" s="13">
        <v>108.34</v>
      </c>
      <c r="E84" s="13">
        <v>101.58</v>
      </c>
      <c r="F84" s="13"/>
      <c r="G84" s="33">
        <v>5.6500000000000002E-2</v>
      </c>
      <c r="H84" s="33"/>
      <c r="I84" s="33">
        <v>5.8099999999999999E-2</v>
      </c>
      <c r="J84" s="33">
        <v>6.1900000000000004E-2</v>
      </c>
      <c r="K84" s="33"/>
      <c r="L84" s="33">
        <v>5.2299999999999999E-2</v>
      </c>
      <c r="M84" t="s">
        <v>145</v>
      </c>
    </row>
    <row r="85" spans="1:13">
      <c r="A85" s="72">
        <v>40755</v>
      </c>
      <c r="B85">
        <v>2104</v>
      </c>
      <c r="C85" s="128">
        <v>2.18E-2</v>
      </c>
      <c r="D85" s="13">
        <v>108.34</v>
      </c>
      <c r="E85" s="13">
        <v>101.58</v>
      </c>
      <c r="F85" s="13"/>
      <c r="G85" s="33">
        <v>5.5800000000000002E-2</v>
      </c>
      <c r="H85" s="33"/>
      <c r="I85" s="33">
        <v>5.8999999999999997E-2</v>
      </c>
      <c r="J85" s="33">
        <v>6.2700000000000006E-2</v>
      </c>
      <c r="K85" s="33"/>
      <c r="L85" s="33">
        <v>5.1399999999999994E-2</v>
      </c>
      <c r="M85" t="s">
        <v>171</v>
      </c>
    </row>
    <row r="86" spans="1:13">
      <c r="A86" s="72">
        <v>40786</v>
      </c>
      <c r="B86">
        <v>1972</v>
      </c>
      <c r="C86" s="128">
        <v>2.2200000000000001E-2</v>
      </c>
      <c r="D86" s="13">
        <v>108.34</v>
      </c>
      <c r="E86" s="13">
        <v>101.58</v>
      </c>
      <c r="F86" s="13"/>
      <c r="G86" s="33">
        <v>6.3200000000000006E-2</v>
      </c>
      <c r="H86" s="33"/>
      <c r="I86" s="33">
        <v>6.2800000000000009E-2</v>
      </c>
      <c r="J86" s="33">
        <v>6.6900000000000001E-2</v>
      </c>
      <c r="K86" s="33"/>
      <c r="L86" s="33">
        <v>5.6500000000000002E-2</v>
      </c>
    </row>
    <row r="87" spans="1:13">
      <c r="A87" s="72">
        <v>40816</v>
      </c>
      <c r="B87">
        <v>1920</v>
      </c>
      <c r="C87" s="128">
        <v>2.06E-2</v>
      </c>
      <c r="D87" s="13">
        <v>100.83</v>
      </c>
      <c r="E87" s="13">
        <v>104.2</v>
      </c>
      <c r="F87" s="13">
        <v>74.239999999999995</v>
      </c>
      <c r="G87" s="33">
        <v>6.25E-2</v>
      </c>
      <c r="H87" s="33"/>
      <c r="I87" s="33">
        <v>6.6299999999999998E-2</v>
      </c>
      <c r="J87" s="33">
        <v>6.4199999999999993E-2</v>
      </c>
      <c r="K87" s="33">
        <v>4.6899999999999997E-2</v>
      </c>
      <c r="L87" s="33">
        <v>5.96E-2</v>
      </c>
      <c r="M87" t="s">
        <v>173</v>
      </c>
    </row>
    <row r="88" spans="1:13">
      <c r="A88" s="72">
        <v>40847</v>
      </c>
      <c r="B88">
        <v>2079</v>
      </c>
      <c r="C88" s="128">
        <v>2.1499999999999998E-2</v>
      </c>
      <c r="D88" s="13">
        <v>100.83</v>
      </c>
      <c r="E88" s="13">
        <v>104.2</v>
      </c>
      <c r="F88" s="13">
        <v>74.239999999999995</v>
      </c>
      <c r="G88" s="33">
        <v>6.2899999999999998E-2</v>
      </c>
      <c r="H88" s="33"/>
      <c r="I88" s="33">
        <v>6.1199999999999997E-2</v>
      </c>
      <c r="J88" s="33">
        <v>5.9200000000000003E-2</v>
      </c>
      <c r="K88" s="33">
        <v>4.3799999999999999E-2</v>
      </c>
      <c r="L88" s="33">
        <v>5.5E-2</v>
      </c>
    </row>
    <row r="89" spans="1:13">
      <c r="A89" s="72">
        <v>40877</v>
      </c>
      <c r="B89">
        <v>2080</v>
      </c>
      <c r="C89" s="128">
        <v>2.2099999999999998E-2</v>
      </c>
      <c r="D89" s="13">
        <v>100.83</v>
      </c>
      <c r="E89" s="13">
        <v>104.2</v>
      </c>
      <c r="F89" s="13">
        <v>74.239999999999995</v>
      </c>
      <c r="G89" s="33">
        <v>6.3200000000000006E-2</v>
      </c>
      <c r="H89" s="33"/>
      <c r="I89" s="33">
        <v>6.1100000000000002E-2</v>
      </c>
      <c r="J89" s="33">
        <v>5.9200000000000003E-2</v>
      </c>
      <c r="K89" s="33">
        <v>4.3799999999999999E-2</v>
      </c>
      <c r="L89" s="33">
        <v>5.4300000000000001E-2</v>
      </c>
    </row>
    <row r="90" spans="1:13">
      <c r="A90" s="72">
        <v>40908</v>
      </c>
      <c r="B90">
        <v>2044</v>
      </c>
      <c r="C90" s="128">
        <v>2.2700000000000001E-2</v>
      </c>
      <c r="D90" s="13">
        <v>107.33</v>
      </c>
      <c r="E90" s="13">
        <v>106.1</v>
      </c>
      <c r="F90" s="13">
        <v>74.239999999999995</v>
      </c>
      <c r="G90" s="33">
        <v>5.5500000000000001E-2</v>
      </c>
      <c r="H90" s="33">
        <v>5.16E-2</v>
      </c>
      <c r="I90" s="33">
        <v>6.1199999999999997E-2</v>
      </c>
      <c r="J90" s="33">
        <v>6.1900000000000004E-2</v>
      </c>
      <c r="K90" s="33">
        <v>4.2999999999999997E-2</v>
      </c>
      <c r="L90" s="33">
        <v>5.4600000000000003E-2</v>
      </c>
      <c r="M90" t="s">
        <v>183</v>
      </c>
    </row>
  </sheetData>
  <printOptions gridLinesSet="0"/>
  <pageMargins left="0.78740157499999996" right="0.78740157499999996" top="0.984251969" bottom="0.984251969" header="0.5" footer="0.5"/>
  <pageSetup orientation="portrait" horizontalDpi="4294967292" verticalDpi="4294967292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showGridLines="0" topLeftCell="A31" workbookViewId="0">
      <selection activeCell="N77" sqref="N77"/>
    </sheetView>
  </sheetViews>
  <sheetFormatPr baseColWidth="10" defaultRowHeight="12.75"/>
  <sheetData>
    <row r="1" spans="1:5" s="69" customFormat="1">
      <c r="A1" s="103" t="s">
        <v>9</v>
      </c>
      <c r="B1" s="103" t="s">
        <v>81</v>
      </c>
      <c r="C1" s="103" t="s">
        <v>7</v>
      </c>
      <c r="D1" s="103" t="s">
        <v>82</v>
      </c>
      <c r="E1" s="104" t="s">
        <v>83</v>
      </c>
    </row>
    <row r="2" spans="1:5" s="70" customFormat="1">
      <c r="A2" s="105">
        <v>1960</v>
      </c>
      <c r="B2" s="106">
        <v>5.3400000000000003E-2</v>
      </c>
      <c r="C2" s="106">
        <v>3.4099999999999998E-2</v>
      </c>
      <c r="D2" s="107">
        <v>2.76E-2</v>
      </c>
      <c r="E2" s="106"/>
    </row>
    <row r="3" spans="1:5" s="70" customFormat="1">
      <c r="A3" s="105">
        <v>1961</v>
      </c>
      <c r="B3" s="106">
        <v>4.7100000000000003E-2</v>
      </c>
      <c r="C3" s="106">
        <v>2.8500000000000001E-2</v>
      </c>
      <c r="D3" s="107">
        <v>2.35E-2</v>
      </c>
      <c r="E3" s="106">
        <v>2.92E-2</v>
      </c>
    </row>
    <row r="4" spans="1:5" s="70" customFormat="1">
      <c r="A4" s="105">
        <v>1962</v>
      </c>
      <c r="B4" s="106">
        <v>5.8099999999999999E-2</v>
      </c>
      <c r="C4" s="106">
        <v>3.4000000000000002E-2</v>
      </c>
      <c r="D4" s="106">
        <v>3.85E-2</v>
      </c>
      <c r="E4" s="106">
        <v>3.56E-2</v>
      </c>
    </row>
    <row r="5" spans="1:5" s="70" customFormat="1">
      <c r="A5" s="105">
        <v>1963</v>
      </c>
      <c r="B5" s="106">
        <v>5.5100000000000003E-2</v>
      </c>
      <c r="C5" s="106">
        <v>3.1300000000000001E-2</v>
      </c>
      <c r="D5" s="106">
        <v>4.1399999999999999E-2</v>
      </c>
      <c r="E5" s="106">
        <v>3.3799999999999997E-2</v>
      </c>
    </row>
    <row r="6" spans="1:5" s="70" customFormat="1">
      <c r="A6" s="105">
        <v>1964</v>
      </c>
      <c r="B6" s="106">
        <v>5.62E-2</v>
      </c>
      <c r="C6" s="106">
        <v>3.0499999999999999E-2</v>
      </c>
      <c r="D6" s="106">
        <v>4.2099999999999999E-2</v>
      </c>
      <c r="E6" s="106">
        <v>3.3099999999999997E-2</v>
      </c>
    </row>
    <row r="7" spans="1:5" s="70" customFormat="1">
      <c r="A7" s="105">
        <v>1965</v>
      </c>
      <c r="B7" s="106">
        <v>5.7299999999999997E-2</v>
      </c>
      <c r="C7" s="106">
        <v>3.0599999999999999E-2</v>
      </c>
      <c r="D7" s="106">
        <v>4.65E-2</v>
      </c>
      <c r="E7" s="106">
        <v>3.32E-2</v>
      </c>
    </row>
    <row r="8" spans="1:5" s="70" customFormat="1">
      <c r="A8" s="105">
        <v>1966</v>
      </c>
      <c r="B8" s="106">
        <v>6.7400000000000002E-2</v>
      </c>
      <c r="C8" s="106">
        <v>3.5900000000000001E-2</v>
      </c>
      <c r="D8" s="106">
        <v>4.6399999999999997E-2</v>
      </c>
      <c r="E8" s="106">
        <v>3.6799999999999999E-2</v>
      </c>
    </row>
    <row r="9" spans="1:5" s="70" customFormat="1">
      <c r="A9" s="105">
        <v>1967</v>
      </c>
      <c r="B9" s="106">
        <v>5.6599999999999998E-2</v>
      </c>
      <c r="C9" s="106">
        <v>3.09E-2</v>
      </c>
      <c r="D9" s="106">
        <v>5.7000000000000002E-2</v>
      </c>
      <c r="E9" s="106">
        <v>3.2000000000000001E-2</v>
      </c>
    </row>
    <row r="10" spans="1:5" s="70" customFormat="1">
      <c r="A10" s="105">
        <v>1968</v>
      </c>
      <c r="B10" s="106">
        <v>5.5100000000000003E-2</v>
      </c>
      <c r="C10" s="106">
        <v>2.93E-2</v>
      </c>
      <c r="D10" s="106">
        <v>6.1600000000000002E-2</v>
      </c>
      <c r="E10" s="106">
        <v>0.03</v>
      </c>
    </row>
    <row r="11" spans="1:5" s="70" customFormat="1">
      <c r="A11" s="105">
        <v>1969</v>
      </c>
      <c r="B11" s="106">
        <v>6.6299999999999998E-2</v>
      </c>
      <c r="C11" s="106">
        <v>3.5200000000000002E-2</v>
      </c>
      <c r="D11" s="106">
        <v>7.8799999999999995E-2</v>
      </c>
      <c r="E11" s="106">
        <v>3.7400000000000003E-2</v>
      </c>
    </row>
    <row r="12" spans="1:5" s="70" customFormat="1">
      <c r="A12" s="105">
        <v>1970</v>
      </c>
      <c r="B12" s="106">
        <v>5.9799999999999999E-2</v>
      </c>
      <c r="C12" s="106">
        <v>3.4599999999999999E-2</v>
      </c>
      <c r="D12" s="106">
        <v>6.5000000000000002E-2</v>
      </c>
      <c r="E12" s="106">
        <v>3.4099999999999998E-2</v>
      </c>
    </row>
    <row r="13" spans="1:5" s="70" customFormat="1">
      <c r="A13" s="105">
        <v>1971</v>
      </c>
      <c r="B13" s="106">
        <v>5.4600000000000003E-2</v>
      </c>
      <c r="C13" s="106">
        <v>3.1E-2</v>
      </c>
      <c r="D13" s="106">
        <v>5.8900000000000001E-2</v>
      </c>
      <c r="E13" s="106">
        <v>3.09E-2</v>
      </c>
    </row>
    <row r="14" spans="1:5" s="70" customFormat="1">
      <c r="A14" s="105">
        <v>1972</v>
      </c>
      <c r="B14" s="106">
        <v>5.2299999999999999E-2</v>
      </c>
      <c r="C14" s="106">
        <v>2.7E-2</v>
      </c>
      <c r="D14" s="106">
        <v>6.4100000000000004E-2</v>
      </c>
      <c r="E14" s="106">
        <v>2.7199999999999998E-2</v>
      </c>
    </row>
    <row r="15" spans="1:5" s="70" customFormat="1">
      <c r="A15" s="105">
        <v>1973</v>
      </c>
      <c r="B15" s="106">
        <v>8.1600000000000006E-2</v>
      </c>
      <c r="C15" s="106">
        <v>3.6999999999999998E-2</v>
      </c>
      <c r="D15" s="106">
        <v>6.9000000000000006E-2</v>
      </c>
      <c r="E15" s="106">
        <v>4.2999999999999997E-2</v>
      </c>
    </row>
    <row r="16" spans="1:5" s="70" customFormat="1">
      <c r="A16" s="105">
        <v>1974</v>
      </c>
      <c r="B16" s="106">
        <v>0.13639999999999999</v>
      </c>
      <c r="C16" s="106">
        <v>5.4300000000000001E-2</v>
      </c>
      <c r="D16" s="106">
        <v>7.3999999999999996E-2</v>
      </c>
      <c r="E16" s="106">
        <v>5.5899999999999998E-2</v>
      </c>
    </row>
    <row r="17" spans="1:5" s="70" customFormat="1">
      <c r="A17" s="105">
        <v>1975</v>
      </c>
      <c r="B17" s="106">
        <v>8.5500000000000007E-2</v>
      </c>
      <c r="C17" s="106">
        <v>4.1399999999999999E-2</v>
      </c>
      <c r="D17" s="106">
        <v>7.7600000000000002E-2</v>
      </c>
      <c r="E17" s="106">
        <v>4.1300000000000003E-2</v>
      </c>
    </row>
    <row r="18" spans="1:5" s="70" customFormat="1">
      <c r="A18" s="105">
        <v>1976</v>
      </c>
      <c r="B18" s="106">
        <v>9.0700000000000003E-2</v>
      </c>
      <c r="C18" s="106">
        <v>3.9300000000000002E-2</v>
      </c>
      <c r="D18" s="106">
        <v>6.8099999999999994E-2</v>
      </c>
      <c r="E18" s="106">
        <v>4.5499999999999999E-2</v>
      </c>
    </row>
    <row r="19" spans="1:5" s="70" customFormat="1">
      <c r="A19" s="105">
        <v>1977</v>
      </c>
      <c r="B19" s="106">
        <v>0.1143</v>
      </c>
      <c r="C19" s="106">
        <v>5.11E-2</v>
      </c>
      <c r="D19" s="106">
        <v>7.7799999999999994E-2</v>
      </c>
      <c r="E19" s="106">
        <v>5.9200000000000003E-2</v>
      </c>
    </row>
    <row r="20" spans="1:5" s="70" customFormat="1">
      <c r="A20" s="105">
        <v>1978</v>
      </c>
      <c r="B20" s="106">
        <v>0.1211</v>
      </c>
      <c r="C20" s="106">
        <v>5.3900000000000003E-2</v>
      </c>
      <c r="D20" s="106">
        <v>9.1499999999999998E-2</v>
      </c>
      <c r="E20" s="106">
        <v>5.7200000000000001E-2</v>
      </c>
    </row>
    <row r="21" spans="1:5" s="70" customFormat="1">
      <c r="A21" s="105">
        <v>1979</v>
      </c>
      <c r="B21" s="106">
        <v>0.1348</v>
      </c>
      <c r="C21" s="106">
        <v>5.5300000000000002E-2</v>
      </c>
      <c r="D21" s="106">
        <v>0.1033</v>
      </c>
      <c r="E21" s="106">
        <v>6.4500000000000002E-2</v>
      </c>
    </row>
    <row r="22" spans="1:5" s="70" customFormat="1">
      <c r="A22" s="105">
        <v>1980</v>
      </c>
      <c r="B22" s="106">
        <v>0.1104</v>
      </c>
      <c r="C22" s="106">
        <v>4.7399999999999998E-2</v>
      </c>
      <c r="D22" s="106">
        <v>0.12429999999999999</v>
      </c>
      <c r="E22" s="106">
        <v>5.0299999999999997E-2</v>
      </c>
    </row>
    <row r="23" spans="1:5" s="70" customFormat="1">
      <c r="A23" s="105">
        <v>1981</v>
      </c>
      <c r="B23" s="106">
        <v>0.1239</v>
      </c>
      <c r="C23" s="106">
        <v>5.57E-2</v>
      </c>
      <c r="D23" s="106">
        <v>0.13980000000000001</v>
      </c>
      <c r="E23" s="106">
        <v>5.7299999999999997E-2</v>
      </c>
    </row>
    <row r="24" spans="1:5" s="70" customFormat="1">
      <c r="A24" s="105">
        <v>1982</v>
      </c>
      <c r="B24" s="106">
        <v>9.8299999999999998E-2</v>
      </c>
      <c r="C24" s="106">
        <v>4.9299999999999997E-2</v>
      </c>
      <c r="D24" s="106">
        <v>0.1047</v>
      </c>
      <c r="E24" s="106">
        <v>4.9000000000000002E-2</v>
      </c>
    </row>
    <row r="25" spans="1:5" s="70" customFormat="1">
      <c r="A25" s="105">
        <v>1983</v>
      </c>
      <c r="B25" s="106">
        <v>8.0600000000000005E-2</v>
      </c>
      <c r="C25" s="106">
        <v>4.3200000000000002E-2</v>
      </c>
      <c r="D25" s="106">
        <v>0.11799999999999999</v>
      </c>
      <c r="E25" s="106">
        <v>4.3099999999999999E-2</v>
      </c>
    </row>
    <row r="26" spans="1:5" s="70" customFormat="1">
      <c r="A26" s="105">
        <v>1984</v>
      </c>
      <c r="B26" s="106">
        <v>0.1007</v>
      </c>
      <c r="C26" s="106">
        <v>4.6800000000000001E-2</v>
      </c>
      <c r="D26" s="106">
        <v>0.11509999999999999</v>
      </c>
      <c r="E26" s="106">
        <v>5.11E-2</v>
      </c>
    </row>
    <row r="27" spans="1:5" s="70" customFormat="1">
      <c r="A27" s="105">
        <v>1985</v>
      </c>
      <c r="B27" s="106">
        <v>7.4200000000000002E-2</v>
      </c>
      <c r="C27" s="106">
        <v>3.8800000000000001E-2</v>
      </c>
      <c r="D27" s="106">
        <v>8.9899999999999994E-2</v>
      </c>
      <c r="E27" s="106">
        <v>3.8399999999999997E-2</v>
      </c>
    </row>
    <row r="28" spans="1:5" s="70" customFormat="1">
      <c r="A28" s="105">
        <v>1986</v>
      </c>
      <c r="B28" s="106">
        <v>5.96E-2</v>
      </c>
      <c r="C28" s="106">
        <v>3.3799999999999997E-2</v>
      </c>
      <c r="D28" s="106">
        <v>7.22E-2</v>
      </c>
      <c r="E28" s="106">
        <v>3.5799999999999998E-2</v>
      </c>
    </row>
    <row r="29" spans="1:5" s="70" customFormat="1">
      <c r="A29" s="105">
        <v>1987</v>
      </c>
      <c r="B29" s="106">
        <v>6.4899999999999999E-2</v>
      </c>
      <c r="C29" s="106">
        <v>3.7100000000000001E-2</v>
      </c>
      <c r="D29" s="106">
        <v>8.8599999999999998E-2</v>
      </c>
      <c r="E29" s="106">
        <v>3.9899999999999998E-2</v>
      </c>
    </row>
    <row r="30" spans="1:5" s="70" customFormat="1">
      <c r="A30" s="105">
        <v>1988</v>
      </c>
      <c r="B30" s="106">
        <v>8.2000000000000003E-2</v>
      </c>
      <c r="C30" s="106">
        <v>3.6799999999999999E-2</v>
      </c>
      <c r="D30" s="106">
        <v>9.1399999999999995E-2</v>
      </c>
      <c r="E30" s="106">
        <v>3.7699999999999997E-2</v>
      </c>
    </row>
    <row r="31" spans="1:5" s="70" customFormat="1">
      <c r="A31" s="105">
        <v>1989</v>
      </c>
      <c r="B31" s="106">
        <v>6.8000000000000005E-2</v>
      </c>
      <c r="C31" s="106">
        <v>3.32E-2</v>
      </c>
      <c r="D31" s="106">
        <v>7.9299999999999995E-2</v>
      </c>
      <c r="E31" s="106">
        <v>3.5099999999999999E-2</v>
      </c>
    </row>
    <row r="32" spans="1:5" s="70" customFormat="1">
      <c r="A32" s="105">
        <v>1990</v>
      </c>
      <c r="B32" s="106">
        <v>6.5799999999999997E-2</v>
      </c>
      <c r="C32" s="106">
        <v>3.7400000000000003E-2</v>
      </c>
      <c r="D32" s="106">
        <v>8.0699999999999994E-2</v>
      </c>
      <c r="E32" s="106">
        <v>3.8899999999999997E-2</v>
      </c>
    </row>
    <row r="33" spans="1:5" s="70" customFormat="1">
      <c r="A33" s="105">
        <v>1991</v>
      </c>
      <c r="B33" s="106">
        <v>4.58E-2</v>
      </c>
      <c r="C33" s="106">
        <v>3.1099999999999999E-2</v>
      </c>
      <c r="D33" s="106">
        <v>6.7000000000000004E-2</v>
      </c>
      <c r="E33" s="106">
        <v>3.4799999999999998E-2</v>
      </c>
    </row>
    <row r="34" spans="1:5" s="70" customFormat="1">
      <c r="A34" s="105">
        <v>1992</v>
      </c>
      <c r="B34" s="106">
        <v>4.1599999999999998E-2</v>
      </c>
      <c r="C34" s="106">
        <v>2.9000000000000001E-2</v>
      </c>
      <c r="D34" s="106">
        <v>6.6799999999999998E-2</v>
      </c>
      <c r="E34" s="106">
        <v>3.5499999999999997E-2</v>
      </c>
    </row>
    <row r="35" spans="1:5" s="70" customFormat="1">
      <c r="A35" s="105">
        <v>1993</v>
      </c>
      <c r="B35" s="106">
        <v>4.2500000000000003E-2</v>
      </c>
      <c r="C35" s="106">
        <v>2.7199999999999998E-2</v>
      </c>
      <c r="D35" s="106">
        <v>5.79E-2</v>
      </c>
      <c r="E35" s="106">
        <v>3.1699999999999999E-2</v>
      </c>
    </row>
    <row r="36" spans="1:5" s="70" customFormat="1">
      <c r="A36" s="105">
        <v>1994</v>
      </c>
      <c r="B36" s="106">
        <v>5.8900000000000001E-2</v>
      </c>
      <c r="C36" s="106">
        <v>2.9100000000000001E-2</v>
      </c>
      <c r="D36" s="106">
        <v>7.8200000000000006E-2</v>
      </c>
      <c r="E36" s="106">
        <v>3.5499999999999997E-2</v>
      </c>
    </row>
    <row r="37" spans="1:5" s="70" customFormat="1">
      <c r="A37" s="105">
        <v>1995</v>
      </c>
      <c r="B37" s="106">
        <v>5.74E-2</v>
      </c>
      <c r="C37" s="106">
        <v>2.3E-2</v>
      </c>
      <c r="D37" s="106">
        <v>5.57E-2</v>
      </c>
      <c r="E37" s="106">
        <v>3.2899999999999999E-2</v>
      </c>
    </row>
    <row r="38" spans="1:5" s="70" customFormat="1">
      <c r="A38" s="105">
        <v>1996</v>
      </c>
      <c r="B38" s="106">
        <v>4.8300000000000003E-2</v>
      </c>
      <c r="C38" s="106">
        <v>2.01E-2</v>
      </c>
      <c r="D38" s="106">
        <v>6.4100000000000004E-2</v>
      </c>
      <c r="E38" s="106">
        <v>3.2000000000000001E-2</v>
      </c>
    </row>
    <row r="39" spans="1:5" s="59" customFormat="1">
      <c r="A39" s="105">
        <v>1997</v>
      </c>
      <c r="B39" s="107">
        <v>4.0766408479412965E-2</v>
      </c>
      <c r="C39" s="106">
        <v>1.5994971301381864E-2</v>
      </c>
      <c r="D39" s="106">
        <v>5.74E-2</v>
      </c>
      <c r="E39" s="106">
        <v>2.7300000000000001E-2</v>
      </c>
    </row>
    <row r="40" spans="1:5" s="59" customFormat="1">
      <c r="A40" s="105">
        <v>1998</v>
      </c>
      <c r="B40" s="107">
        <v>3.110419906687403E-2</v>
      </c>
      <c r="C40" s="107">
        <v>1.3178981964319126E-2</v>
      </c>
      <c r="D40" s="106">
        <v>4.65E-2</v>
      </c>
      <c r="E40" s="106">
        <v>2.2599999999999999E-2</v>
      </c>
    </row>
    <row r="41" spans="1:5" s="59" customFormat="1">
      <c r="A41" s="105">
        <v>1999</v>
      </c>
      <c r="B41" s="106">
        <v>3.0740854595757761E-2</v>
      </c>
      <c r="C41" s="106">
        <v>1.1374404356705241E-2</v>
      </c>
      <c r="D41" s="106">
        <v>6.4399999999999999E-2</v>
      </c>
      <c r="E41" s="106">
        <v>2.0500000000000001E-2</v>
      </c>
    </row>
    <row r="42" spans="1:5" s="59" customFormat="1">
      <c r="A42" s="105">
        <v>2000</v>
      </c>
      <c r="B42" s="106">
        <v>3.9385584875935409E-2</v>
      </c>
      <c r="C42" s="106">
        <v>1.2321969696969698E-2</v>
      </c>
      <c r="D42" s="106">
        <v>5.11E-2</v>
      </c>
      <c r="E42" s="106">
        <v>2.87E-2</v>
      </c>
    </row>
    <row r="43" spans="1:5" s="59" customFormat="1">
      <c r="A43" s="108">
        <v>2001</v>
      </c>
      <c r="B43" s="106">
        <v>3.8524854323267341E-2</v>
      </c>
      <c r="C43" s="106">
        <v>1.3710597601233353E-2</v>
      </c>
      <c r="D43" s="106">
        <v>5.0500000000000003E-2</v>
      </c>
      <c r="E43" s="106">
        <v>3.6200000000000003E-2</v>
      </c>
    </row>
    <row r="44" spans="1:5" s="71" customFormat="1">
      <c r="A44" s="108">
        <v>2002</v>
      </c>
      <c r="B44" s="106">
        <v>5.232888545384283E-2</v>
      </c>
      <c r="C44" s="106">
        <v>1.8276465640699232E-2</v>
      </c>
      <c r="D44" s="106">
        <v>3.8100000000000002E-2</v>
      </c>
      <c r="E44" s="106">
        <v>4.1000000000000002E-2</v>
      </c>
    </row>
    <row r="45" spans="1:5" s="59" customFormat="1">
      <c r="A45" s="108">
        <v>2003</v>
      </c>
      <c r="B45" s="106">
        <v>4.87E-2</v>
      </c>
      <c r="C45" s="106">
        <v>1.61E-2</v>
      </c>
      <c r="D45" s="106">
        <v>4.2500000000000003E-2</v>
      </c>
      <c r="E45" s="106">
        <v>3.6900000000000002E-2</v>
      </c>
    </row>
    <row r="46" spans="1:5" s="2" customFormat="1">
      <c r="A46" s="108">
        <v>2004</v>
      </c>
      <c r="B46" s="106">
        <v>5.584527031487227E-2</v>
      </c>
      <c r="C46" s="106">
        <v>1.6013433229916166E-2</v>
      </c>
      <c r="D46" s="106">
        <v>4.2200000000000001E-2</v>
      </c>
      <c r="E46" s="106">
        <v>3.6499999999999998E-2</v>
      </c>
    </row>
    <row r="47" spans="1:5" s="70" customFormat="1">
      <c r="A47" s="108">
        <v>2005</v>
      </c>
      <c r="B47" s="106">
        <v>5.4699999999999999E-2</v>
      </c>
      <c r="C47" s="106">
        <v>1.792852622387426E-2</v>
      </c>
      <c r="D47" s="106">
        <v>4.3900000000000002E-2</v>
      </c>
      <c r="E47" s="106">
        <v>4.0800000000000003E-2</v>
      </c>
    </row>
    <row r="48" spans="1:5" s="70" customFormat="1">
      <c r="A48" s="108">
        <v>2006</v>
      </c>
      <c r="B48" s="106">
        <v>6.1848692096171477E-2</v>
      </c>
      <c r="C48" s="106">
        <v>1.766198970598604E-2</v>
      </c>
      <c r="D48" s="106">
        <v>4.7E-2</v>
      </c>
      <c r="E48" s="106">
        <v>4.1599999999999998E-2</v>
      </c>
    </row>
    <row r="49" spans="1:5" s="70" customFormat="1">
      <c r="A49" s="108">
        <v>2007</v>
      </c>
      <c r="B49" s="106">
        <v>5.6212372987550746E-2</v>
      </c>
      <c r="C49" s="109">
        <v>1.8885014574082652E-2</v>
      </c>
      <c r="D49" s="106">
        <v>4.02E-2</v>
      </c>
      <c r="E49" s="106">
        <v>4.3700000000000003E-2</v>
      </c>
    </row>
    <row r="50" spans="1:5" s="70" customFormat="1">
      <c r="A50" s="110">
        <v>2008</v>
      </c>
      <c r="B50" s="106">
        <v>7.2394132300027683E-2</v>
      </c>
      <c r="C50" s="106">
        <v>3.1054525325214504E-2</v>
      </c>
      <c r="D50" s="106">
        <v>2.2100000000000002E-2</v>
      </c>
      <c r="E50" s="106">
        <v>6.4299999999999996E-2</v>
      </c>
    </row>
    <row r="51" spans="1:5" s="70" customFormat="1">
      <c r="A51" s="111">
        <v>2009</v>
      </c>
      <c r="B51" s="106">
        <v>5.3492960272621293E-2</v>
      </c>
      <c r="C51" s="106">
        <v>2.000717424446238E-2</v>
      </c>
      <c r="D51" s="106">
        <v>3.8399999999999997E-2</v>
      </c>
      <c r="E51" s="106">
        <v>4.36E-2</v>
      </c>
    </row>
    <row r="52" spans="1:5" s="70" customFormat="1">
      <c r="A52" s="111">
        <v>2010</v>
      </c>
      <c r="B52" s="106">
        <v>6.6521421074393294E-2</v>
      </c>
      <c r="C52" s="106">
        <v>1.8383639197226551E-2</v>
      </c>
      <c r="D52" s="106">
        <v>3.2899999999999999E-2</v>
      </c>
      <c r="E52" s="106">
        <v>5.1999999999999998E-2</v>
      </c>
    </row>
    <row r="53" spans="1:5" s="70" customFormat="1">
      <c r="A53" s="112">
        <v>2011</v>
      </c>
      <c r="B53" s="106">
        <v>7.7170801526717556E-2</v>
      </c>
      <c r="C53" s="106">
        <v>2.069020356234097E-2</v>
      </c>
      <c r="D53" s="113">
        <v>1.8800000000000001E-2</v>
      </c>
      <c r="E53" s="113">
        <v>6.0100000000000001E-2</v>
      </c>
    </row>
    <row r="54" spans="1:5" s="70" customFormat="1">
      <c r="A54" s="112">
        <v>2012</v>
      </c>
      <c r="B54" s="113">
        <v>7.1848771902761899E-2</v>
      </c>
      <c r="C54" s="113">
        <v>2.134357974743898E-2</v>
      </c>
      <c r="D54" s="113">
        <v>1.7600000000000001E-2</v>
      </c>
      <c r="E54" s="113">
        <v>5.7799999999999997E-2</v>
      </c>
    </row>
    <row r="55" spans="1:5" s="2" customFormat="1">
      <c r="A55" s="114">
        <v>2013</v>
      </c>
      <c r="B55" s="115">
        <v>5.813261485857734E-2</v>
      </c>
      <c r="C55" s="115">
        <v>1.9599999999999999E-2</v>
      </c>
      <c r="D55" s="109">
        <v>3.04E-2</v>
      </c>
      <c r="E55" s="109">
        <v>4.9599999999999998E-2</v>
      </c>
    </row>
    <row r="56" spans="1:5">
      <c r="A56" s="114">
        <v>2014</v>
      </c>
      <c r="B56" s="113">
        <v>5.4888532711642138E-2</v>
      </c>
      <c r="C56" s="109">
        <v>1.9155859925202776E-2</v>
      </c>
      <c r="D56" s="109">
        <v>2.1700000000000001E-2</v>
      </c>
      <c r="E56" s="109">
        <v>5.7799999999999997E-2</v>
      </c>
    </row>
    <row r="57" spans="1:5" s="184" customFormat="1">
      <c r="A57" s="114">
        <v>2015</v>
      </c>
      <c r="B57" s="113">
        <v>5.2017182500464783E-2</v>
      </c>
      <c r="C57" s="113">
        <v>2.1116079728367758E-2</v>
      </c>
      <c r="D57" s="113">
        <v>2.2700000000000001E-2</v>
      </c>
      <c r="E57" s="113">
        <v>6.1199999999999997E-2</v>
      </c>
    </row>
  </sheetData>
  <printOptions gridLinesSet="0"/>
  <pageMargins left="0.78740157499999996" right="0.78740157499999996" top="0.984251969" bottom="0.984251969" header="0.5" footer="0.5"/>
  <pageSetup orientation="portrait" horizontalDpi="4294967292" verticalDpi="4294967292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topLeftCell="A39" workbookViewId="0">
      <selection activeCell="H23" sqref="H23"/>
    </sheetView>
  </sheetViews>
  <sheetFormatPr baseColWidth="10" defaultRowHeight="12.75"/>
  <sheetData>
    <row r="1" spans="1:7">
      <c r="A1" s="84" t="s">
        <v>116</v>
      </c>
      <c r="B1" s="88" t="s">
        <v>117</v>
      </c>
      <c r="C1" s="88" t="s">
        <v>105</v>
      </c>
      <c r="D1" s="88" t="s">
        <v>118</v>
      </c>
      <c r="E1" s="85" t="s">
        <v>119</v>
      </c>
      <c r="F1" s="85" t="s">
        <v>120</v>
      </c>
      <c r="G1" s="85" t="s">
        <v>121</v>
      </c>
    </row>
    <row r="2" spans="1:7">
      <c r="A2" s="84">
        <v>1954</v>
      </c>
      <c r="B2" s="86">
        <v>2.5099999999999997E-2</v>
      </c>
      <c r="C2" s="86">
        <v>-3.7215999999999998E-3</v>
      </c>
      <c r="D2" s="86">
        <v>2.7866599999999998E-2</v>
      </c>
      <c r="E2" s="86">
        <f>C2+D2</f>
        <v>2.4145E-2</v>
      </c>
      <c r="F2" s="86">
        <f>B2-E2</f>
        <v>9.5499999999999752E-4</v>
      </c>
      <c r="G2" s="86">
        <f t="shared" ref="G2:G33" si="0">AVERAGE(E2:E6)</f>
        <v>4.3228079999999995E-2</v>
      </c>
    </row>
    <row r="3" spans="1:7">
      <c r="A3" s="84">
        <f>A2+1</f>
        <v>1955</v>
      </c>
      <c r="B3" s="86">
        <v>2.9600000000000001E-2</v>
      </c>
      <c r="C3" s="86">
        <v>3.7355000000000001E-3</v>
      </c>
      <c r="D3" s="86">
        <v>6.5739099999999995E-2</v>
      </c>
      <c r="E3" s="86">
        <f t="shared" ref="E3:E60" si="1">C3+D3</f>
        <v>6.9474599999999997E-2</v>
      </c>
      <c r="F3" s="86">
        <f t="shared" ref="F3:F60" si="2">B3-E3</f>
        <v>-3.9874599999999996E-2</v>
      </c>
      <c r="G3" s="86">
        <f t="shared" si="0"/>
        <v>5.1119099999999994E-2</v>
      </c>
    </row>
    <row r="4" spans="1:7">
      <c r="A4" s="84">
        <f t="shared" ref="A4:A60" si="3">A3+1</f>
        <v>1956</v>
      </c>
      <c r="B4" s="86">
        <v>3.5900000000000001E-2</v>
      </c>
      <c r="C4" s="86">
        <v>2.8284299999999998E-2</v>
      </c>
      <c r="D4" s="86">
        <v>1.8379E-2</v>
      </c>
      <c r="E4" s="86">
        <f t="shared" si="1"/>
        <v>4.6663299999999998E-2</v>
      </c>
      <c r="F4" s="86">
        <f t="shared" si="2"/>
        <v>-1.0763299999999996E-2</v>
      </c>
      <c r="G4" s="86">
        <f t="shared" si="0"/>
        <v>4.1194879999999996E-2</v>
      </c>
    </row>
    <row r="5" spans="1:7">
      <c r="A5" s="84">
        <f t="shared" si="3"/>
        <v>1957</v>
      </c>
      <c r="B5" s="86">
        <v>3.2099999999999997E-2</v>
      </c>
      <c r="C5" s="86">
        <v>3.0401699999999997E-2</v>
      </c>
      <c r="D5" s="86">
        <v>2.7109999999999999E-3</v>
      </c>
      <c r="E5" s="86">
        <f t="shared" si="1"/>
        <v>3.3112699999999995E-2</v>
      </c>
      <c r="F5" s="86">
        <f t="shared" si="2"/>
        <v>-1.0126999999999983E-3</v>
      </c>
      <c r="G5" s="86">
        <f t="shared" si="0"/>
        <v>4.5710299999999995E-2</v>
      </c>
    </row>
    <row r="6" spans="1:7">
      <c r="A6" s="84">
        <f t="shared" si="3"/>
        <v>1958</v>
      </c>
      <c r="B6" s="86">
        <v>3.8599999999999995E-2</v>
      </c>
      <c r="C6" s="86">
        <v>1.7562299999999999E-2</v>
      </c>
      <c r="D6" s="86">
        <v>2.51825E-2</v>
      </c>
      <c r="E6" s="86">
        <f t="shared" si="1"/>
        <v>4.2744799999999999E-2</v>
      </c>
      <c r="F6" s="86">
        <f t="shared" si="2"/>
        <v>-4.144800000000004E-3</v>
      </c>
      <c r="G6" s="86">
        <f t="shared" si="0"/>
        <v>4.9794779999999997E-2</v>
      </c>
    </row>
    <row r="7" spans="1:7">
      <c r="A7" s="84">
        <f t="shared" si="3"/>
        <v>1959</v>
      </c>
      <c r="B7" s="86">
        <v>4.6900000000000004E-2</v>
      </c>
      <c r="C7" s="86">
        <v>1.51881E-2</v>
      </c>
      <c r="D7" s="86">
        <v>4.8411999999999997E-2</v>
      </c>
      <c r="E7" s="86">
        <f t="shared" si="1"/>
        <v>6.3600099999999993E-2</v>
      </c>
      <c r="F7" s="86">
        <f t="shared" si="2"/>
        <v>-1.6700099999999989E-2</v>
      </c>
      <c r="G7" s="86">
        <f t="shared" si="0"/>
        <v>5.5144640000000002E-2</v>
      </c>
    </row>
    <row r="8" spans="1:7">
      <c r="A8" s="84">
        <f t="shared" si="3"/>
        <v>1960</v>
      </c>
      <c r="B8" s="86">
        <v>3.8399999999999997E-2</v>
      </c>
      <c r="C8" s="86">
        <v>1.36008E-2</v>
      </c>
      <c r="D8" s="86">
        <v>6.2526999999999999E-3</v>
      </c>
      <c r="E8" s="86">
        <f t="shared" si="1"/>
        <v>1.98535E-2</v>
      </c>
      <c r="F8" s="86">
        <f t="shared" si="2"/>
        <v>1.8546499999999997E-2</v>
      </c>
      <c r="G8" s="86">
        <f t="shared" si="0"/>
        <v>5.5047219999999994E-2</v>
      </c>
    </row>
    <row r="9" spans="1:7">
      <c r="A9" s="84">
        <f t="shared" si="3"/>
        <v>1961</v>
      </c>
      <c r="B9" s="86">
        <v>4.0599999999999997E-2</v>
      </c>
      <c r="C9" s="86">
        <v>6.7091999999999994E-3</v>
      </c>
      <c r="D9" s="86">
        <v>6.2531199999999995E-2</v>
      </c>
      <c r="E9" s="86">
        <f t="shared" si="1"/>
        <v>6.9240399999999994E-2</v>
      </c>
      <c r="F9" s="86">
        <f t="shared" si="2"/>
        <v>-2.8640399999999996E-2</v>
      </c>
      <c r="G9" s="86">
        <f t="shared" si="0"/>
        <v>7.1936059999999996E-2</v>
      </c>
    </row>
    <row r="10" spans="1:7">
      <c r="A10" s="84">
        <f t="shared" si="3"/>
        <v>1962</v>
      </c>
      <c r="B10" s="86">
        <v>3.8599999999999995E-2</v>
      </c>
      <c r="C10" s="86">
        <v>1.23292E-2</v>
      </c>
      <c r="D10" s="86">
        <v>4.1205899999999997E-2</v>
      </c>
      <c r="E10" s="86">
        <f t="shared" si="1"/>
        <v>5.3535099999999995E-2</v>
      </c>
      <c r="F10" s="86">
        <f t="shared" si="2"/>
        <v>-1.49351E-2</v>
      </c>
      <c r="G10" s="86">
        <f t="shared" si="0"/>
        <v>7.3428779999999999E-2</v>
      </c>
    </row>
    <row r="11" spans="1:7">
      <c r="A11" s="84">
        <f t="shared" si="3"/>
        <v>1963</v>
      </c>
      <c r="B11" s="86">
        <v>4.1299999999999996E-2</v>
      </c>
      <c r="C11" s="86">
        <v>1.6458199999999999E-2</v>
      </c>
      <c r="D11" s="86">
        <v>5.3035899999999997E-2</v>
      </c>
      <c r="E11" s="86">
        <f t="shared" si="1"/>
        <v>6.9494100000000003E-2</v>
      </c>
      <c r="F11" s="86">
        <f t="shared" si="2"/>
        <v>-2.8194100000000007E-2</v>
      </c>
      <c r="G11" s="86">
        <f t="shared" si="0"/>
        <v>7.4250659999999996E-2</v>
      </c>
    </row>
    <row r="12" spans="1:7">
      <c r="A12" s="84">
        <f t="shared" si="3"/>
        <v>1964</v>
      </c>
      <c r="B12" s="86">
        <v>4.1799999999999997E-2</v>
      </c>
      <c r="C12" s="86">
        <v>1.19819E-2</v>
      </c>
      <c r="D12" s="86">
        <v>5.1131099999999999E-2</v>
      </c>
      <c r="E12" s="86">
        <f t="shared" si="1"/>
        <v>6.3113000000000002E-2</v>
      </c>
      <c r="F12" s="86">
        <f t="shared" si="2"/>
        <v>-2.1313000000000006E-2</v>
      </c>
      <c r="G12" s="86">
        <f t="shared" si="0"/>
        <v>7.9674099999999998E-2</v>
      </c>
    </row>
    <row r="13" spans="1:7">
      <c r="A13" s="84">
        <f t="shared" si="3"/>
        <v>1965</v>
      </c>
      <c r="B13" s="86">
        <v>4.6199999999999998E-2</v>
      </c>
      <c r="C13" s="86">
        <v>1.9199999999999998E-2</v>
      </c>
      <c r="D13" s="86">
        <v>8.5097699999999998E-2</v>
      </c>
      <c r="E13" s="86">
        <f t="shared" si="1"/>
        <v>0.10429769999999999</v>
      </c>
      <c r="F13" s="86">
        <f t="shared" si="2"/>
        <v>-5.8097699999999995E-2</v>
      </c>
      <c r="G13" s="86">
        <f t="shared" si="0"/>
        <v>8.2916619999999996E-2</v>
      </c>
    </row>
    <row r="14" spans="1:7">
      <c r="A14" s="84">
        <f t="shared" si="3"/>
        <v>1966</v>
      </c>
      <c r="B14" s="86">
        <v>4.8399999999999999E-2</v>
      </c>
      <c r="C14" s="86">
        <v>3.3595E-2</v>
      </c>
      <c r="D14" s="86">
        <v>4.3109000000000001E-2</v>
      </c>
      <c r="E14" s="86">
        <f t="shared" si="1"/>
        <v>7.6703999999999994E-2</v>
      </c>
      <c r="F14" s="86">
        <f t="shared" si="2"/>
        <v>-2.8303999999999996E-2</v>
      </c>
      <c r="G14" s="86">
        <f t="shared" si="0"/>
        <v>7.2887779999999999E-2</v>
      </c>
    </row>
    <row r="15" spans="1:7">
      <c r="A15" s="84">
        <f t="shared" si="3"/>
        <v>1967</v>
      </c>
      <c r="B15" s="86">
        <v>5.7000000000000002E-2</v>
      </c>
      <c r="C15" s="86">
        <v>3.2806799999999997E-2</v>
      </c>
      <c r="D15" s="86">
        <v>2.4837699999999997E-2</v>
      </c>
      <c r="E15" s="86">
        <f t="shared" si="1"/>
        <v>5.7644499999999994E-2</v>
      </c>
      <c r="F15" s="86">
        <f t="shared" si="2"/>
        <v>-6.444999999999923E-4</v>
      </c>
      <c r="G15" s="86">
        <f t="shared" si="0"/>
        <v>7.2991E-2</v>
      </c>
    </row>
    <row r="16" spans="1:7">
      <c r="A16" s="84">
        <f t="shared" si="3"/>
        <v>1968</v>
      </c>
      <c r="B16" s="86">
        <v>6.0299999999999999E-2</v>
      </c>
      <c r="C16" s="86">
        <v>4.7058799999999998E-2</v>
      </c>
      <c r="D16" s="86">
        <v>4.9552500000000006E-2</v>
      </c>
      <c r="E16" s="86">
        <f t="shared" si="1"/>
        <v>9.6611300000000011E-2</v>
      </c>
      <c r="F16" s="86">
        <f t="shared" si="2"/>
        <v>-3.6311300000000012E-2</v>
      </c>
      <c r="G16" s="86">
        <f t="shared" si="0"/>
        <v>8.2140820000000003E-2</v>
      </c>
    </row>
    <row r="17" spans="1:7">
      <c r="A17" s="84">
        <f t="shared" si="3"/>
        <v>1969</v>
      </c>
      <c r="B17" s="86">
        <v>7.6499999999999999E-2</v>
      </c>
      <c r="C17" s="86">
        <v>5.8988800000000001E-2</v>
      </c>
      <c r="D17" s="86">
        <v>2.0336799999999999E-2</v>
      </c>
      <c r="E17" s="86">
        <f t="shared" si="1"/>
        <v>7.9325599999999996E-2</v>
      </c>
      <c r="F17" s="86">
        <f t="shared" si="2"/>
        <v>-2.8255999999999976E-3</v>
      </c>
      <c r="G17" s="86">
        <f t="shared" si="0"/>
        <v>8.9049519999999993E-2</v>
      </c>
    </row>
    <row r="18" spans="1:7">
      <c r="A18" s="84">
        <f t="shared" si="3"/>
        <v>1970</v>
      </c>
      <c r="B18" s="86">
        <v>6.3899999999999998E-2</v>
      </c>
      <c r="C18" s="86">
        <v>5.57029E-2</v>
      </c>
      <c r="D18" s="86">
        <v>-1.5494E-3</v>
      </c>
      <c r="E18" s="86">
        <f t="shared" si="1"/>
        <v>5.41535E-2</v>
      </c>
      <c r="F18" s="86">
        <f t="shared" si="2"/>
        <v>9.7464999999999982E-3</v>
      </c>
      <c r="G18" s="86">
        <f t="shared" si="0"/>
        <v>9.3389659999999999E-2</v>
      </c>
    </row>
    <row r="19" spans="1:7">
      <c r="A19" s="84">
        <f t="shared" si="3"/>
        <v>1971</v>
      </c>
      <c r="B19" s="86">
        <v>5.9299999999999999E-2</v>
      </c>
      <c r="C19" s="86">
        <v>3.2663299999999999E-2</v>
      </c>
      <c r="D19" s="86">
        <v>4.4556800000000001E-2</v>
      </c>
      <c r="E19" s="86">
        <f t="shared" si="1"/>
        <v>7.72201E-2</v>
      </c>
      <c r="F19" s="86">
        <f t="shared" si="2"/>
        <v>-1.7920100000000001E-2</v>
      </c>
      <c r="G19" s="86">
        <f t="shared" si="0"/>
        <v>0.10189322000000001</v>
      </c>
    </row>
    <row r="20" spans="1:7">
      <c r="A20" s="84">
        <f t="shared" si="3"/>
        <v>1972</v>
      </c>
      <c r="B20" s="86">
        <v>6.3600000000000004E-2</v>
      </c>
      <c r="C20" s="86">
        <v>3.4063299999999998E-2</v>
      </c>
      <c r="D20" s="86">
        <v>6.9330299999999997E-2</v>
      </c>
      <c r="E20" s="86">
        <f t="shared" si="1"/>
        <v>0.1033936</v>
      </c>
      <c r="F20" s="86">
        <f t="shared" si="2"/>
        <v>-3.9793599999999998E-2</v>
      </c>
      <c r="G20" s="86">
        <f t="shared" si="0"/>
        <v>0.10511906</v>
      </c>
    </row>
    <row r="21" spans="1:7">
      <c r="A21" s="84">
        <f t="shared" si="3"/>
        <v>1973</v>
      </c>
      <c r="B21" s="86">
        <v>6.7400000000000002E-2</v>
      </c>
      <c r="C21" s="86">
        <v>8.9411799999999986E-2</v>
      </c>
      <c r="D21" s="86">
        <v>4.1742999999999995E-2</v>
      </c>
      <c r="E21" s="86">
        <f t="shared" si="1"/>
        <v>0.13115479999999999</v>
      </c>
      <c r="F21" s="86">
        <f t="shared" si="2"/>
        <v>-6.3754799999999986E-2</v>
      </c>
      <c r="G21" s="86">
        <f t="shared" si="0"/>
        <v>0.10778281999999999</v>
      </c>
    </row>
    <row r="22" spans="1:7">
      <c r="A22" s="84">
        <f t="shared" si="3"/>
        <v>1974</v>
      </c>
      <c r="B22" s="86">
        <v>7.4299999999999991E-2</v>
      </c>
      <c r="C22" s="86">
        <v>0.1209503</v>
      </c>
      <c r="D22" s="86">
        <v>-1.9924000000000001E-2</v>
      </c>
      <c r="E22" s="86">
        <f t="shared" si="1"/>
        <v>0.1010263</v>
      </c>
      <c r="F22" s="86">
        <f t="shared" si="2"/>
        <v>-2.6726300000000008E-2</v>
      </c>
      <c r="G22" s="86">
        <f t="shared" si="0"/>
        <v>0.11294081999999998</v>
      </c>
    </row>
    <row r="23" spans="1:7">
      <c r="A23" s="84">
        <f t="shared" si="3"/>
        <v>1975</v>
      </c>
      <c r="B23" s="86">
        <v>0.08</v>
      </c>
      <c r="C23" s="86">
        <v>7.129089999999999E-2</v>
      </c>
      <c r="D23" s="86">
        <v>2.5380400000000001E-2</v>
      </c>
      <c r="E23" s="86">
        <f t="shared" si="1"/>
        <v>9.6671299999999988E-2</v>
      </c>
      <c r="F23" s="86">
        <f t="shared" si="2"/>
        <v>-1.6671299999999986E-2</v>
      </c>
      <c r="G23" s="86">
        <f t="shared" si="0"/>
        <v>0.12176435999999999</v>
      </c>
    </row>
    <row r="24" spans="1:7">
      <c r="A24" s="84">
        <f t="shared" si="3"/>
        <v>1976</v>
      </c>
      <c r="B24" s="86">
        <v>6.8699999999999997E-2</v>
      </c>
      <c r="C24" s="86">
        <v>5.03597E-2</v>
      </c>
      <c r="D24" s="86">
        <v>4.2989600000000003E-2</v>
      </c>
      <c r="E24" s="86">
        <f t="shared" si="1"/>
        <v>9.3349299999999996E-2</v>
      </c>
      <c r="F24" s="86">
        <f t="shared" si="2"/>
        <v>-2.4649299999999999E-2</v>
      </c>
      <c r="G24" s="86">
        <f t="shared" si="0"/>
        <v>0.12693019999999999</v>
      </c>
    </row>
    <row r="25" spans="1:7">
      <c r="A25" s="84">
        <f t="shared" si="3"/>
        <v>1977</v>
      </c>
      <c r="B25" s="86">
        <v>7.690000000000001E-2</v>
      </c>
      <c r="C25" s="86">
        <v>6.6780800000000001E-2</v>
      </c>
      <c r="D25" s="86">
        <v>4.9931599999999993E-2</v>
      </c>
      <c r="E25" s="86">
        <f t="shared" si="1"/>
        <v>0.11671239999999999</v>
      </c>
      <c r="F25" s="86">
        <f t="shared" si="2"/>
        <v>-3.9812399999999984E-2</v>
      </c>
      <c r="G25" s="86">
        <f t="shared" si="0"/>
        <v>0.12852046</v>
      </c>
    </row>
    <row r="26" spans="1:7">
      <c r="A26" s="84">
        <f t="shared" si="3"/>
        <v>1978</v>
      </c>
      <c r="B26" s="86">
        <v>9.01E-2</v>
      </c>
      <c r="C26" s="86">
        <v>8.9887599999999998E-2</v>
      </c>
      <c r="D26" s="86">
        <v>6.7057199999999997E-2</v>
      </c>
      <c r="E26" s="86">
        <f t="shared" si="1"/>
        <v>0.1569448</v>
      </c>
      <c r="F26" s="86">
        <f t="shared" si="2"/>
        <v>-6.6844799999999996E-2</v>
      </c>
      <c r="G26" s="86">
        <f t="shared" si="0"/>
        <v>0.11000590000000002</v>
      </c>
    </row>
    <row r="27" spans="1:7">
      <c r="A27" s="84">
        <f t="shared" si="3"/>
        <v>1979</v>
      </c>
      <c r="B27" s="86">
        <v>0.10390000000000001</v>
      </c>
      <c r="C27" s="86">
        <v>0.1325479</v>
      </c>
      <c r="D27" s="86">
        <v>1.2596099999999999E-2</v>
      </c>
      <c r="E27" s="86">
        <f t="shared" si="1"/>
        <v>0.145144</v>
      </c>
      <c r="F27" s="86">
        <f t="shared" si="2"/>
        <v>-4.1243999999999989E-2</v>
      </c>
      <c r="G27" s="86">
        <f t="shared" si="0"/>
        <v>0.10167699999999999</v>
      </c>
    </row>
    <row r="28" spans="1:7">
      <c r="A28" s="84">
        <f t="shared" si="3"/>
        <v>1980</v>
      </c>
      <c r="B28" s="86">
        <v>0.12839999999999999</v>
      </c>
      <c r="C28" s="86">
        <v>0.1235371</v>
      </c>
      <c r="D28" s="86">
        <v>-1.0365999999999999E-3</v>
      </c>
      <c r="E28" s="86">
        <f t="shared" si="1"/>
        <v>0.1225005</v>
      </c>
      <c r="F28" s="86">
        <f t="shared" si="2"/>
        <v>5.8994999999999881E-3</v>
      </c>
      <c r="G28" s="86">
        <f t="shared" si="0"/>
        <v>9.185488E-2</v>
      </c>
    </row>
    <row r="29" spans="1:7">
      <c r="A29" s="84">
        <f t="shared" si="3"/>
        <v>1981</v>
      </c>
      <c r="B29" s="86">
        <v>0.13720000000000002</v>
      </c>
      <c r="C29" s="86">
        <v>8.9120399999999989E-2</v>
      </c>
      <c r="D29" s="86">
        <v>1.21802E-2</v>
      </c>
      <c r="E29" s="86">
        <f t="shared" si="1"/>
        <v>0.10130059999999999</v>
      </c>
      <c r="F29" s="86">
        <f t="shared" si="2"/>
        <v>3.5899400000000026E-2</v>
      </c>
      <c r="G29" s="86">
        <f t="shared" si="0"/>
        <v>8.3283540000000003E-2</v>
      </c>
    </row>
    <row r="30" spans="1:7">
      <c r="A30" s="84">
        <f t="shared" si="3"/>
        <v>1982</v>
      </c>
      <c r="B30" s="86">
        <v>0.10539999999999999</v>
      </c>
      <c r="C30" s="86">
        <v>3.8257199999999998E-2</v>
      </c>
      <c r="D30" s="86">
        <v>-1.4117599999999999E-2</v>
      </c>
      <c r="E30" s="86">
        <f t="shared" si="1"/>
        <v>2.4139599999999997E-2</v>
      </c>
      <c r="F30" s="86">
        <f t="shared" si="2"/>
        <v>8.1260399999999997E-2</v>
      </c>
      <c r="G30" s="86">
        <f t="shared" si="0"/>
        <v>7.1075539999999993E-2</v>
      </c>
    </row>
    <row r="31" spans="1:7">
      <c r="A31" s="84">
        <f t="shared" si="3"/>
        <v>1983</v>
      </c>
      <c r="B31" s="86">
        <v>0.1183</v>
      </c>
      <c r="C31" s="86">
        <v>3.7871000000000002E-2</v>
      </c>
      <c r="D31" s="86">
        <v>7.7429300000000006E-2</v>
      </c>
      <c r="E31" s="86">
        <f t="shared" si="1"/>
        <v>0.11530030000000001</v>
      </c>
      <c r="F31" s="86">
        <f t="shared" si="2"/>
        <v>2.999699999999994E-3</v>
      </c>
      <c r="G31" s="86">
        <f t="shared" si="0"/>
        <v>8.3429779999999995E-2</v>
      </c>
    </row>
    <row r="32" spans="1:7">
      <c r="A32" s="84">
        <f t="shared" si="3"/>
        <v>1984</v>
      </c>
      <c r="B32" s="86">
        <v>0.115</v>
      </c>
      <c r="C32" s="86">
        <v>4.0433899999999995E-2</v>
      </c>
      <c r="D32" s="86">
        <v>5.5599499999999996E-2</v>
      </c>
      <c r="E32" s="86">
        <f t="shared" si="1"/>
        <v>9.6033399999999991E-2</v>
      </c>
      <c r="F32" s="86">
        <f t="shared" si="2"/>
        <v>1.8966600000000014E-2</v>
      </c>
      <c r="G32" s="86">
        <f t="shared" si="0"/>
        <v>7.6592899999999992E-2</v>
      </c>
    </row>
    <row r="33" spans="1:7">
      <c r="A33" s="84">
        <f t="shared" si="3"/>
        <v>1985</v>
      </c>
      <c r="B33" s="86">
        <v>9.2600000000000002E-2</v>
      </c>
      <c r="C33" s="86">
        <v>3.7914699999999996E-2</v>
      </c>
      <c r="D33" s="86">
        <v>4.1729099999999998E-2</v>
      </c>
      <c r="E33" s="86">
        <f t="shared" si="1"/>
        <v>7.9643799999999987E-2</v>
      </c>
      <c r="F33" s="86">
        <f t="shared" si="2"/>
        <v>1.2956200000000015E-2</v>
      </c>
      <c r="G33" s="86">
        <f t="shared" si="0"/>
        <v>7.2113559999999993E-2</v>
      </c>
    </row>
    <row r="34" spans="1:7">
      <c r="A34" s="84">
        <f t="shared" si="3"/>
        <v>1986</v>
      </c>
      <c r="B34" s="86">
        <v>7.1099999999999997E-2</v>
      </c>
      <c r="C34" s="86">
        <v>1.1872100000000002E-2</v>
      </c>
      <c r="D34" s="86">
        <v>2.8388499999999997E-2</v>
      </c>
      <c r="E34" s="86">
        <f t="shared" si="1"/>
        <v>4.0260600000000001E-2</v>
      </c>
      <c r="F34" s="86">
        <f t="shared" si="2"/>
        <v>3.0839399999999996E-2</v>
      </c>
      <c r="G34" s="86">
        <f t="shared" ref="G34:G55" si="4">AVERAGE(E34:E38)</f>
        <v>6.9805819999999991E-2</v>
      </c>
    </row>
    <row r="35" spans="1:7">
      <c r="A35" s="84">
        <f t="shared" si="3"/>
        <v>1987</v>
      </c>
      <c r="B35" s="86">
        <v>8.9900000000000008E-2</v>
      </c>
      <c r="C35" s="86">
        <v>4.33213E-2</v>
      </c>
      <c r="D35" s="86">
        <v>4.2589499999999995E-2</v>
      </c>
      <c r="E35" s="86">
        <f t="shared" si="1"/>
        <v>8.5910799999999996E-2</v>
      </c>
      <c r="F35" s="86">
        <f t="shared" si="2"/>
        <v>3.9892000000000122E-3</v>
      </c>
      <c r="G35" s="86">
        <f t="shared" si="4"/>
        <v>6.9724480000000005E-2</v>
      </c>
    </row>
    <row r="36" spans="1:7">
      <c r="A36" s="84">
        <f t="shared" si="3"/>
        <v>1988</v>
      </c>
      <c r="B36" s="86">
        <v>9.11E-2</v>
      </c>
      <c r="C36" s="86">
        <v>4.41176E-2</v>
      </c>
      <c r="D36" s="86">
        <v>3.6998299999999998E-2</v>
      </c>
      <c r="E36" s="86">
        <f t="shared" si="1"/>
        <v>8.1115899999999991E-2</v>
      </c>
      <c r="F36" s="86">
        <f t="shared" si="2"/>
        <v>9.9841000000000096E-3</v>
      </c>
      <c r="G36" s="86">
        <f t="shared" si="4"/>
        <v>6.7098699999999997E-2</v>
      </c>
    </row>
    <row r="37" spans="1:7">
      <c r="A37" s="84">
        <f t="shared" si="3"/>
        <v>1989</v>
      </c>
      <c r="B37" s="86">
        <v>7.8399999999999997E-2</v>
      </c>
      <c r="C37" s="86">
        <v>4.6396E-2</v>
      </c>
      <c r="D37" s="86">
        <v>2.7240700000000003E-2</v>
      </c>
      <c r="E37" s="86">
        <f t="shared" si="1"/>
        <v>7.3636699999999999E-2</v>
      </c>
      <c r="F37" s="86">
        <f t="shared" si="2"/>
        <v>4.7632999999999981E-3</v>
      </c>
      <c r="G37" s="86">
        <f t="shared" si="4"/>
        <v>6.1886399999999994E-2</v>
      </c>
    </row>
    <row r="38" spans="1:7">
      <c r="A38" s="84">
        <f t="shared" si="3"/>
        <v>1990</v>
      </c>
      <c r="B38" s="86">
        <v>8.0799999999999997E-2</v>
      </c>
      <c r="C38" s="86">
        <v>6.2549499999999994E-2</v>
      </c>
      <c r="D38" s="86">
        <v>5.5556000000000008E-3</v>
      </c>
      <c r="E38" s="86">
        <f t="shared" si="1"/>
        <v>6.8105100000000002E-2</v>
      </c>
      <c r="F38" s="86">
        <f t="shared" si="2"/>
        <v>1.2694899999999995E-2</v>
      </c>
      <c r="G38" s="86">
        <f t="shared" si="4"/>
        <v>6.0669819999999999E-2</v>
      </c>
    </row>
    <row r="39" spans="1:7">
      <c r="A39" s="84">
        <f t="shared" si="3"/>
        <v>1991</v>
      </c>
      <c r="B39" s="86">
        <v>7.0900000000000005E-2</v>
      </c>
      <c r="C39" s="86">
        <v>2.9806300000000001E-2</v>
      </c>
      <c r="D39" s="86">
        <v>1.00476E-2</v>
      </c>
      <c r="E39" s="86">
        <f t="shared" si="1"/>
        <v>3.9853899999999998E-2</v>
      </c>
      <c r="F39" s="86">
        <f t="shared" si="2"/>
        <v>3.1046100000000007E-2</v>
      </c>
      <c r="G39" s="86">
        <f t="shared" si="4"/>
        <v>5.6134119999999996E-2</v>
      </c>
    </row>
    <row r="40" spans="1:7">
      <c r="A40" s="84">
        <f t="shared" si="3"/>
        <v>1992</v>
      </c>
      <c r="B40" s="86">
        <v>6.7699999999999996E-2</v>
      </c>
      <c r="C40" s="86">
        <v>2.9667099999999998E-2</v>
      </c>
      <c r="D40" s="86">
        <v>4.3114800000000002E-2</v>
      </c>
      <c r="E40" s="86">
        <f t="shared" si="1"/>
        <v>7.2781899999999997E-2</v>
      </c>
      <c r="F40" s="86">
        <f t="shared" si="2"/>
        <v>-5.0819000000000003E-3</v>
      </c>
      <c r="G40" s="86">
        <f t="shared" si="4"/>
        <v>6.3811179999999995E-2</v>
      </c>
    </row>
    <row r="41" spans="1:7">
      <c r="A41" s="84">
        <f t="shared" si="3"/>
        <v>1993</v>
      </c>
      <c r="B41" s="86">
        <v>5.7699999999999994E-2</v>
      </c>
      <c r="C41" s="86">
        <v>2.8109600000000002E-2</v>
      </c>
      <c r="D41" s="86">
        <v>2.6944800000000001E-2</v>
      </c>
      <c r="E41" s="86">
        <f t="shared" si="1"/>
        <v>5.5054400000000003E-2</v>
      </c>
      <c r="F41" s="86">
        <f t="shared" si="2"/>
        <v>2.645599999999991E-3</v>
      </c>
      <c r="G41" s="86">
        <f t="shared" si="4"/>
        <v>6.1329759999999997E-2</v>
      </c>
    </row>
    <row r="42" spans="1:7">
      <c r="A42" s="84">
        <f t="shared" si="3"/>
        <v>1994</v>
      </c>
      <c r="B42" s="86">
        <v>7.8100000000000003E-2</v>
      </c>
      <c r="C42" s="86">
        <v>2.5974000000000001E-2</v>
      </c>
      <c r="D42" s="86">
        <v>4.15798E-2</v>
      </c>
      <c r="E42" s="86">
        <f t="shared" si="1"/>
        <v>6.7553799999999997E-2</v>
      </c>
      <c r="F42" s="86">
        <f t="shared" si="2"/>
        <v>1.0546200000000006E-2</v>
      </c>
      <c r="G42" s="86">
        <f t="shared" si="4"/>
        <v>6.349842E-2</v>
      </c>
    </row>
    <row r="43" spans="1:7">
      <c r="A43" s="84">
        <f t="shared" si="3"/>
        <v>1995</v>
      </c>
      <c r="B43" s="86">
        <v>5.7099999999999998E-2</v>
      </c>
      <c r="C43" s="86">
        <v>2.5316499999999999E-2</v>
      </c>
      <c r="D43" s="86">
        <v>2.0110100000000002E-2</v>
      </c>
      <c r="E43" s="86">
        <f t="shared" si="1"/>
        <v>4.5426599999999998E-2</v>
      </c>
      <c r="F43" s="86">
        <f t="shared" si="2"/>
        <v>1.16734E-2</v>
      </c>
      <c r="G43" s="86">
        <f t="shared" si="4"/>
        <v>6.4983659999999999E-2</v>
      </c>
    </row>
    <row r="44" spans="1:7">
      <c r="A44" s="84">
        <f t="shared" si="3"/>
        <v>1996</v>
      </c>
      <c r="B44" s="86">
        <v>6.3E-2</v>
      </c>
      <c r="C44" s="86">
        <v>3.3788200000000004E-2</v>
      </c>
      <c r="D44" s="86">
        <v>4.4450999999999997E-2</v>
      </c>
      <c r="E44" s="86">
        <f t="shared" si="1"/>
        <v>7.8239200000000009E-2</v>
      </c>
      <c r="F44" s="86">
        <f t="shared" si="2"/>
        <v>-1.5239200000000008E-2</v>
      </c>
      <c r="G44" s="86">
        <f t="shared" si="4"/>
        <v>6.8589659999999997E-2</v>
      </c>
    </row>
    <row r="45" spans="1:7">
      <c r="A45" s="84">
        <f t="shared" si="3"/>
        <v>1997</v>
      </c>
      <c r="B45" s="86">
        <v>5.8099999999999999E-2</v>
      </c>
      <c r="C45" s="86">
        <v>1.6970499999999999E-2</v>
      </c>
      <c r="D45" s="86">
        <v>4.3404299999999993E-2</v>
      </c>
      <c r="E45" s="86">
        <f t="shared" si="1"/>
        <v>6.0374799999999992E-2</v>
      </c>
      <c r="F45" s="86">
        <f t="shared" si="2"/>
        <v>-2.2747999999999935E-3</v>
      </c>
      <c r="G45" s="86">
        <f t="shared" si="4"/>
        <v>5.6943859999999999E-2</v>
      </c>
    </row>
    <row r="46" spans="1:7">
      <c r="A46" s="84">
        <f t="shared" si="3"/>
        <v>1998</v>
      </c>
      <c r="B46" s="86">
        <v>4.6500000000000007E-2</v>
      </c>
      <c r="C46" s="86">
        <v>1.6069199999999999E-2</v>
      </c>
      <c r="D46" s="86">
        <v>4.9828499999999998E-2</v>
      </c>
      <c r="E46" s="86">
        <f t="shared" si="1"/>
        <v>6.5897700000000003E-2</v>
      </c>
      <c r="F46" s="86">
        <f t="shared" si="2"/>
        <v>-1.9397699999999997E-2</v>
      </c>
      <c r="G46" s="86">
        <f t="shared" si="4"/>
        <v>5.3709819999999998E-2</v>
      </c>
    </row>
    <row r="47" spans="1:7">
      <c r="A47" s="84">
        <f t="shared" si="3"/>
        <v>1999</v>
      </c>
      <c r="B47" s="86">
        <v>6.2800000000000009E-2</v>
      </c>
      <c r="C47" s="86">
        <v>2.6764E-2</v>
      </c>
      <c r="D47" s="86">
        <v>4.8216000000000002E-2</v>
      </c>
      <c r="E47" s="86">
        <f t="shared" si="1"/>
        <v>7.4980000000000005E-2</v>
      </c>
      <c r="F47" s="86">
        <f t="shared" si="2"/>
        <v>-1.2179999999999996E-2</v>
      </c>
      <c r="G47" s="86">
        <f t="shared" si="4"/>
        <v>5.2331080000000009E-2</v>
      </c>
    </row>
    <row r="48" spans="1:7">
      <c r="A48" s="84">
        <f t="shared" si="3"/>
        <v>2000</v>
      </c>
      <c r="B48" s="86">
        <v>5.2400000000000002E-2</v>
      </c>
      <c r="C48" s="86">
        <v>3.43602E-2</v>
      </c>
      <c r="D48" s="86">
        <v>2.9096400000000001E-2</v>
      </c>
      <c r="E48" s="86">
        <f t="shared" si="1"/>
        <v>6.3456600000000002E-2</v>
      </c>
      <c r="F48" s="86">
        <f t="shared" si="2"/>
        <v>-1.10566E-2</v>
      </c>
      <c r="G48" s="86">
        <f t="shared" si="4"/>
        <v>4.9811099999999997E-2</v>
      </c>
    </row>
    <row r="49" spans="1:7">
      <c r="A49" s="84">
        <f t="shared" si="3"/>
        <v>2001</v>
      </c>
      <c r="B49" s="86">
        <v>5.0900000000000001E-2</v>
      </c>
      <c r="C49" s="86">
        <v>1.6036700000000001E-2</v>
      </c>
      <c r="D49" s="86">
        <v>3.9734999999999996E-3</v>
      </c>
      <c r="E49" s="86">
        <f t="shared" si="1"/>
        <v>2.0010199999999999E-2</v>
      </c>
      <c r="F49" s="86">
        <f t="shared" si="2"/>
        <v>3.0889800000000002E-2</v>
      </c>
      <c r="G49" s="86">
        <f t="shared" si="4"/>
        <v>4.9422039999999993E-2</v>
      </c>
    </row>
    <row r="50" spans="1:7">
      <c r="A50" s="84">
        <f t="shared" si="3"/>
        <v>2002</v>
      </c>
      <c r="B50" s="86">
        <v>4.0300000000000002E-2</v>
      </c>
      <c r="C50" s="86">
        <v>2.48027E-2</v>
      </c>
      <c r="D50" s="86">
        <v>1.94019E-2</v>
      </c>
      <c r="E50" s="86">
        <f t="shared" si="1"/>
        <v>4.4204599999999997E-2</v>
      </c>
      <c r="F50" s="86">
        <f t="shared" si="2"/>
        <v>-3.9045999999999942E-3</v>
      </c>
      <c r="G50" s="86">
        <f t="shared" si="4"/>
        <v>5.5223140000000004E-2</v>
      </c>
    </row>
    <row r="51" spans="1:7">
      <c r="A51" s="84">
        <f t="shared" si="3"/>
        <v>2003</v>
      </c>
      <c r="B51" s="86">
        <v>4.2699999999999995E-2</v>
      </c>
      <c r="C51" s="86">
        <v>2.0352000000000002E-2</v>
      </c>
      <c r="D51" s="86">
        <v>3.8651999999999999E-2</v>
      </c>
      <c r="E51" s="86">
        <f t="shared" si="1"/>
        <v>5.9004000000000001E-2</v>
      </c>
      <c r="F51" s="86">
        <f t="shared" si="2"/>
        <v>-1.6304000000000006E-2</v>
      </c>
      <c r="G51" s="86">
        <f t="shared" si="4"/>
        <v>5.9011419999999995E-2</v>
      </c>
    </row>
    <row r="52" spans="1:7">
      <c r="A52" s="84">
        <f t="shared" si="3"/>
        <v>2004</v>
      </c>
      <c r="B52" s="86">
        <v>4.2300000000000004E-2</v>
      </c>
      <c r="C52" s="86">
        <v>3.34232E-2</v>
      </c>
      <c r="D52" s="86">
        <v>2.8956900000000001E-2</v>
      </c>
      <c r="E52" s="86">
        <f t="shared" si="1"/>
        <v>6.2380100000000001E-2</v>
      </c>
      <c r="F52" s="86">
        <f t="shared" si="2"/>
        <v>-2.0080099999999997E-2</v>
      </c>
      <c r="G52" s="86">
        <f t="shared" si="4"/>
        <v>4.0524999999999999E-2</v>
      </c>
    </row>
    <row r="53" spans="1:7">
      <c r="A53" s="84">
        <f t="shared" si="3"/>
        <v>2005</v>
      </c>
      <c r="B53" s="86">
        <v>4.4699999999999997E-2</v>
      </c>
      <c r="C53" s="86">
        <v>3.3385499999999999E-2</v>
      </c>
      <c r="D53" s="86">
        <v>2.8125799999999999E-2</v>
      </c>
      <c r="E53" s="86">
        <f t="shared" si="1"/>
        <v>6.1511299999999998E-2</v>
      </c>
      <c r="F53" s="86">
        <f t="shared" si="2"/>
        <v>-1.6811300000000001E-2</v>
      </c>
      <c r="G53" s="86">
        <f t="shared" si="4"/>
        <v>3.3532820000000005E-2</v>
      </c>
    </row>
    <row r="54" spans="1:7">
      <c r="A54" s="84">
        <f t="shared" si="3"/>
        <v>2006</v>
      </c>
      <c r="B54" s="86">
        <v>4.5599999999999995E-2</v>
      </c>
      <c r="C54" s="86">
        <v>2.52398E-2</v>
      </c>
      <c r="D54" s="86">
        <v>2.3775900000000003E-2</v>
      </c>
      <c r="E54" s="86">
        <f t="shared" si="1"/>
        <v>4.9015700000000002E-2</v>
      </c>
      <c r="F54" s="86">
        <f t="shared" si="2"/>
        <v>-3.4157000000000076E-3</v>
      </c>
      <c r="G54" s="86">
        <f t="shared" si="4"/>
        <v>2.8872379999999996E-2</v>
      </c>
    </row>
    <row r="55" spans="1:7">
      <c r="A55" s="84">
        <f t="shared" si="3"/>
        <v>2007</v>
      </c>
      <c r="B55" s="86">
        <v>4.0999999999999995E-2</v>
      </c>
      <c r="C55" s="86">
        <v>4.1088100000000002E-2</v>
      </c>
      <c r="D55" s="86">
        <v>2.2057899999999998E-2</v>
      </c>
      <c r="E55" s="86">
        <f t="shared" si="1"/>
        <v>6.3146000000000008E-2</v>
      </c>
      <c r="F55" s="86">
        <f t="shared" si="2"/>
        <v>-2.2146000000000013E-2</v>
      </c>
      <c r="G55" s="86">
        <f t="shared" si="4"/>
        <v>2.906108E-2</v>
      </c>
    </row>
    <row r="56" spans="1:7">
      <c r="A56" s="84">
        <f t="shared" si="3"/>
        <v>2008</v>
      </c>
      <c r="B56" s="86">
        <v>2.4199999999999999E-2</v>
      </c>
      <c r="C56" s="86">
        <v>-2.2230000000000001E-4</v>
      </c>
      <c r="D56" s="86">
        <v>-3.3205800000000001E-2</v>
      </c>
      <c r="E56" s="86">
        <f t="shared" si="1"/>
        <v>-3.3428100000000002E-2</v>
      </c>
      <c r="F56" s="86">
        <f t="shared" si="2"/>
        <v>5.7628100000000002E-2</v>
      </c>
    </row>
    <row r="57" spans="1:7">
      <c r="A57" s="84">
        <f t="shared" si="3"/>
        <v>2009</v>
      </c>
      <c r="B57" s="86">
        <v>3.5900000000000001E-2</v>
      </c>
      <c r="C57" s="86">
        <v>2.8226399999999999E-2</v>
      </c>
      <c r="D57" s="86">
        <v>-8.072E-4</v>
      </c>
      <c r="E57" s="86">
        <f t="shared" si="1"/>
        <v>2.7419199999999998E-2</v>
      </c>
      <c r="F57" s="86">
        <f t="shared" si="2"/>
        <v>8.4808000000000036E-3</v>
      </c>
    </row>
    <row r="58" spans="1:7">
      <c r="A58" s="84">
        <f t="shared" si="3"/>
        <v>2010</v>
      </c>
      <c r="B58" s="86">
        <v>3.2899999999999999E-2</v>
      </c>
      <c r="C58" s="86">
        <v>1.4275500000000002E-2</v>
      </c>
      <c r="D58" s="86">
        <v>2.3933599999999999E-2</v>
      </c>
      <c r="E58" s="86">
        <f t="shared" si="1"/>
        <v>3.8209100000000003E-2</v>
      </c>
      <c r="F58" s="86">
        <f t="shared" si="2"/>
        <v>-5.3091000000000041E-3</v>
      </c>
    </row>
    <row r="59" spans="1:7">
      <c r="A59" s="84">
        <f t="shared" si="3"/>
        <v>2011</v>
      </c>
      <c r="B59" s="86">
        <v>1.9799999999999998E-2</v>
      </c>
      <c r="C59" s="86">
        <v>3.02493E-2</v>
      </c>
      <c r="D59" s="86">
        <v>1.9709899999999999E-2</v>
      </c>
      <c r="E59" s="86">
        <f t="shared" si="1"/>
        <v>4.9959199999999995E-2</v>
      </c>
      <c r="F59" s="86">
        <f t="shared" si="2"/>
        <v>-3.0159199999999997E-2</v>
      </c>
    </row>
    <row r="60" spans="1:7">
      <c r="A60" s="84">
        <f t="shared" si="3"/>
        <v>2012</v>
      </c>
      <c r="B60" s="86">
        <v>1.72E-2</v>
      </c>
      <c r="C60" s="86">
        <v>1.7610500000000001E-2</v>
      </c>
      <c r="D60" s="86">
        <v>1.66952E-2</v>
      </c>
      <c r="E60" s="86">
        <f t="shared" si="1"/>
        <v>3.4305700000000001E-2</v>
      </c>
      <c r="F60" s="86">
        <f t="shared" si="2"/>
        <v>-1.7105700000000001E-2</v>
      </c>
    </row>
    <row r="61" spans="1:7">
      <c r="A61" s="87" t="s">
        <v>122</v>
      </c>
      <c r="B61" s="33">
        <v>6.11084745762712E-2</v>
      </c>
      <c r="C61" s="33">
        <v>3.75342593220339E-2</v>
      </c>
      <c r="D61" s="33">
        <v>3.0815452542372886E-2</v>
      </c>
      <c r="E61" s="33">
        <f>AVERAGE(E2:E60)</f>
        <v>6.8349711864406776E-2</v>
      </c>
      <c r="F61" s="33">
        <f>AVERAGE(F2:F60)</f>
        <v>-7.2412372881355894E-3</v>
      </c>
      <c r="G61" s="33"/>
    </row>
    <row r="62" spans="1:7">
      <c r="A62" s="87" t="s">
        <v>123</v>
      </c>
      <c r="B62" s="33">
        <v>5.8288888888888897E-2</v>
      </c>
      <c r="C62" s="33">
        <v>4.4865725925925921E-2</v>
      </c>
      <c r="D62" s="33">
        <v>3.5424285185185173E-2</v>
      </c>
      <c r="E62" s="33">
        <f>AVERAGE(E2:E28)</f>
        <v>8.0290011111111101E-2</v>
      </c>
      <c r="F62" s="33">
        <f>AVERAGE(F2:F28)</f>
        <v>-2.2001122222222218E-2</v>
      </c>
      <c r="G62" s="33"/>
    </row>
    <row r="63" spans="1:7">
      <c r="A63" s="87" t="s">
        <v>124</v>
      </c>
      <c r="B63" s="33">
        <v>6.3487499999999988E-2</v>
      </c>
      <c r="C63" s="33">
        <v>3.1348334374999995E-2</v>
      </c>
      <c r="D63" s="33">
        <v>2.6926749999999992E-2</v>
      </c>
      <c r="E63" s="33">
        <f>AVERAGE(E29:E60)</f>
        <v>5.8275084375000001E-2</v>
      </c>
      <c r="F63" s="33">
        <f>AVERAGE(F29:F60)</f>
        <v>5.2124156250000012E-3</v>
      </c>
    </row>
  </sheetData>
  <printOptions gridLinesSet="0"/>
  <pageMargins left="0.78740157499999996" right="0.78740157499999996" top="0.984251969" bottom="0.984251969" header="0.5" footer="0.5"/>
  <pageSetup orientation="portrait" horizontalDpi="4294967292" verticalDpi="4294967292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showGridLines="0" topLeftCell="A10" workbookViewId="0">
      <selection activeCell="H23" sqref="H23"/>
    </sheetView>
  </sheetViews>
  <sheetFormatPr baseColWidth="10" defaultRowHeight="12.75"/>
  <cols>
    <col min="1" max="22" width="13.7109375" customWidth="1"/>
  </cols>
  <sheetData>
    <row r="1" spans="1:21">
      <c r="A1" s="117" t="s">
        <v>170</v>
      </c>
    </row>
    <row r="2" spans="1:21">
      <c r="C2" s="192" t="s">
        <v>164</v>
      </c>
      <c r="D2" s="192"/>
      <c r="E2" s="192"/>
      <c r="F2" s="192"/>
      <c r="G2" s="192"/>
      <c r="H2" s="192"/>
      <c r="I2" s="192"/>
      <c r="K2" s="192" t="s">
        <v>166</v>
      </c>
      <c r="L2" s="192"/>
      <c r="M2" s="192"/>
      <c r="N2" s="192"/>
      <c r="O2" s="192"/>
      <c r="P2" s="192"/>
      <c r="Q2" s="192"/>
    </row>
    <row r="3" spans="1:21" ht="25.5">
      <c r="A3" s="93" t="s">
        <v>176</v>
      </c>
      <c r="B3" t="s">
        <v>159</v>
      </c>
      <c r="C3" t="s">
        <v>37</v>
      </c>
      <c r="D3" t="s">
        <v>20</v>
      </c>
      <c r="E3" t="s">
        <v>21</v>
      </c>
      <c r="F3" t="s">
        <v>160</v>
      </c>
      <c r="G3" t="s">
        <v>163</v>
      </c>
      <c r="H3" t="s">
        <v>161</v>
      </c>
      <c r="I3" t="s">
        <v>162</v>
      </c>
      <c r="J3" t="s">
        <v>165</v>
      </c>
      <c r="K3" t="s">
        <v>37</v>
      </c>
      <c r="L3" t="s">
        <v>20</v>
      </c>
      <c r="M3" t="s">
        <v>21</v>
      </c>
      <c r="N3" t="s">
        <v>160</v>
      </c>
      <c r="O3" t="s">
        <v>163</v>
      </c>
      <c r="P3" t="s">
        <v>161</v>
      </c>
      <c r="Q3" t="s">
        <v>162</v>
      </c>
      <c r="R3" t="s">
        <v>167</v>
      </c>
      <c r="S3" t="s">
        <v>7</v>
      </c>
      <c r="T3" t="s">
        <v>168</v>
      </c>
      <c r="U3" t="s">
        <v>169</v>
      </c>
    </row>
    <row r="4" spans="1:21" s="119" customFormat="1" ht="15.75">
      <c r="A4" s="118">
        <v>40755</v>
      </c>
      <c r="B4" s="119">
        <v>2103.84</v>
      </c>
      <c r="C4" s="120">
        <v>19712475</v>
      </c>
      <c r="D4" s="120">
        <f>261181+2627</f>
        <v>263808</v>
      </c>
      <c r="E4" s="120">
        <v>423600</v>
      </c>
      <c r="F4" s="120">
        <v>75426</v>
      </c>
      <c r="G4" s="120">
        <v>923972</v>
      </c>
      <c r="H4" s="120">
        <f>D4+E4</f>
        <v>687408</v>
      </c>
      <c r="I4" s="121">
        <f>D4+E4-F4</f>
        <v>611982</v>
      </c>
      <c r="J4" s="122">
        <f>B4/C4</f>
        <v>1.0672632432000548E-4</v>
      </c>
      <c r="K4" s="123">
        <f t="shared" ref="K4:Q4" si="0">$J4*C4</f>
        <v>2103.84</v>
      </c>
      <c r="L4" s="124">
        <f t="shared" si="0"/>
        <v>28.155258166212008</v>
      </c>
      <c r="M4" s="124">
        <f t="shared" si="0"/>
        <v>45.209270981954326</v>
      </c>
      <c r="N4" s="124">
        <f t="shared" si="0"/>
        <v>8.0499397381607345</v>
      </c>
      <c r="O4" s="124">
        <f t="shared" si="0"/>
        <v>98.612135334604105</v>
      </c>
      <c r="P4" s="124">
        <f t="shared" si="0"/>
        <v>73.364529148166326</v>
      </c>
      <c r="Q4" s="124">
        <f t="shared" si="0"/>
        <v>65.314589410005595</v>
      </c>
      <c r="R4" s="125">
        <f>L4/O4</f>
        <v>0.28551514548059898</v>
      </c>
      <c r="S4" s="125">
        <f>L4/K4</f>
        <v>1.3382794397963726E-2</v>
      </c>
      <c r="T4" s="125">
        <f>P4/O4</f>
        <v>0.74397059651158259</v>
      </c>
      <c r="U4" s="125">
        <f>Q4/O4</f>
        <v>0.66233825267432345</v>
      </c>
    </row>
    <row r="5" spans="1:21" s="119" customFormat="1" ht="15.75">
      <c r="A5" s="118">
        <v>40816</v>
      </c>
      <c r="B5" s="119">
        <v>1920.03</v>
      </c>
      <c r="C5" s="120">
        <v>17981669</v>
      </c>
      <c r="D5" s="120">
        <v>357140</v>
      </c>
      <c r="E5" s="120">
        <v>558052</v>
      </c>
      <c r="F5" s="120">
        <v>99552</v>
      </c>
      <c r="G5" s="120">
        <v>907379</v>
      </c>
      <c r="H5" s="120">
        <f>D5+E5</f>
        <v>915192</v>
      </c>
      <c r="I5" s="121">
        <f>E5+F5</f>
        <v>657604</v>
      </c>
      <c r="J5" s="122">
        <f>B5/C5</f>
        <v>1.0677707391900052E-4</v>
      </c>
      <c r="K5" s="123">
        <f t="shared" ref="K5:Q5" si="1">$J5*C5</f>
        <v>1920.0300000000002</v>
      </c>
      <c r="L5" s="124">
        <f t="shared" si="1"/>
        <v>38.134364179431842</v>
      </c>
      <c r="M5" s="124">
        <f t="shared" si="1"/>
        <v>59.587159654646079</v>
      </c>
      <c r="N5" s="124">
        <f t="shared" si="1"/>
        <v>10.62987126278434</v>
      </c>
      <c r="O5" s="124">
        <f t="shared" si="1"/>
        <v>96.887274555548771</v>
      </c>
      <c r="P5" s="124">
        <f t="shared" si="1"/>
        <v>97.721523834077914</v>
      </c>
      <c r="Q5" s="124">
        <f t="shared" si="1"/>
        <v>70.217030917430421</v>
      </c>
      <c r="R5" s="125">
        <f>L5/O5</f>
        <v>0.39359517908172875</v>
      </c>
      <c r="S5" s="125">
        <f>L5/K5</f>
        <v>1.9861337676719552E-2</v>
      </c>
      <c r="T5" s="125">
        <f>P5/O5</f>
        <v>1.0086105144597792</v>
      </c>
      <c r="U5" s="125">
        <f>Q5/O5</f>
        <v>0.72472913743871092</v>
      </c>
    </row>
    <row r="6" spans="1:21" s="119" customFormat="1" ht="15.75">
      <c r="A6" s="118">
        <v>40847</v>
      </c>
      <c r="B6" s="119">
        <v>2079.36</v>
      </c>
      <c r="C6" s="120">
        <v>19353109.5</v>
      </c>
      <c r="D6" s="120">
        <f>243638+8431</f>
        <v>252069</v>
      </c>
      <c r="E6" s="120">
        <v>416930</v>
      </c>
      <c r="F6" s="120">
        <v>83536</v>
      </c>
      <c r="G6" s="120">
        <v>882624</v>
      </c>
      <c r="H6" s="120">
        <f>D6+E6</f>
        <v>668999</v>
      </c>
      <c r="I6" s="121">
        <f>E6+F6</f>
        <v>500466</v>
      </c>
      <c r="J6" s="122">
        <f>B6/C6</f>
        <v>1.0744319924402847E-4</v>
      </c>
      <c r="K6" s="123">
        <f t="shared" ref="K6:Q6" si="2">$J6*C6</f>
        <v>2079.36</v>
      </c>
      <c r="L6" s="124">
        <f t="shared" si="2"/>
        <v>27.083099790243011</v>
      </c>
      <c r="M6" s="124">
        <f t="shared" si="2"/>
        <v>44.796293060812793</v>
      </c>
      <c r="N6" s="124">
        <f t="shared" si="2"/>
        <v>8.9753750920491626</v>
      </c>
      <c r="O6" s="124">
        <f t="shared" si="2"/>
        <v>94.831946289561387</v>
      </c>
      <c r="P6" s="124">
        <f t="shared" si="2"/>
        <v>71.879392851055798</v>
      </c>
      <c r="Q6" s="124">
        <f t="shared" si="2"/>
        <v>53.771668152861949</v>
      </c>
      <c r="R6" s="125">
        <f>L6/O6</f>
        <v>0.28559046660865778</v>
      </c>
      <c r="S6" s="125">
        <f>L6/K6</f>
        <v>1.3024728661820469E-2</v>
      </c>
      <c r="T6" s="125">
        <f>P6/O6</f>
        <v>0.75796601950547449</v>
      </c>
      <c r="U6" s="125">
        <f>Q6/O6</f>
        <v>0.56702061126821834</v>
      </c>
    </row>
    <row r="7" spans="1:21" s="119" customFormat="1" ht="15.75">
      <c r="A7" s="118">
        <v>40877</v>
      </c>
      <c r="B7" s="119">
        <v>2080.41</v>
      </c>
      <c r="C7" s="126">
        <v>19361440</v>
      </c>
      <c r="D7" s="127">
        <f>364445+9295</f>
        <v>373740</v>
      </c>
      <c r="E7" s="127">
        <v>567962</v>
      </c>
      <c r="F7" s="127">
        <v>110058</v>
      </c>
      <c r="G7" s="127">
        <v>881259</v>
      </c>
      <c r="H7" s="120">
        <f>D7+E7</f>
        <v>941702</v>
      </c>
      <c r="I7" s="120">
        <f>E7+F7</f>
        <v>678020</v>
      </c>
      <c r="J7" s="122">
        <f>B7/C7</f>
        <v>1.0745120197671247E-4</v>
      </c>
      <c r="K7" s="123">
        <f t="shared" ref="K7:Q7" si="3">$J7*C7</f>
        <v>2080.41</v>
      </c>
      <c r="L7" s="124">
        <f t="shared" si="3"/>
        <v>40.158812226776519</v>
      </c>
      <c r="M7" s="124">
        <f t="shared" si="3"/>
        <v>61.028199577097567</v>
      </c>
      <c r="N7" s="124">
        <f t="shared" si="3"/>
        <v>11.82586438715302</v>
      </c>
      <c r="O7" s="124">
        <f t="shared" si="3"/>
        <v>94.692338802795646</v>
      </c>
      <c r="P7" s="124">
        <f t="shared" si="3"/>
        <v>101.18701180387409</v>
      </c>
      <c r="Q7" s="124">
        <f t="shared" si="3"/>
        <v>72.854063964250585</v>
      </c>
      <c r="R7" s="125">
        <f>L7/O7</f>
        <v>0.4240977964480363</v>
      </c>
      <c r="S7" s="125">
        <f>L7/K7</f>
        <v>1.9303316282259998E-2</v>
      </c>
      <c r="T7" s="125">
        <f>P7/O7</f>
        <v>1.0685871009544301</v>
      </c>
      <c r="U7" s="125">
        <f>Q7/O7</f>
        <v>0.7693765397005875</v>
      </c>
    </row>
    <row r="8" spans="1:21" ht="15.75">
      <c r="A8" s="72">
        <v>40908</v>
      </c>
      <c r="B8" s="119">
        <v>2043.94</v>
      </c>
      <c r="C8" s="134">
        <v>19205382.699999999</v>
      </c>
      <c r="D8">
        <f>363367.4+10105.5</f>
        <v>373472.9</v>
      </c>
      <c r="E8" s="120">
        <v>569620</v>
      </c>
      <c r="F8" s="120">
        <v>108973</v>
      </c>
      <c r="G8" s="120">
        <v>882415</v>
      </c>
      <c r="H8" s="120">
        <f>D8+E8</f>
        <v>943092.9</v>
      </c>
      <c r="I8" s="120">
        <f>E8+F8</f>
        <v>678593</v>
      </c>
      <c r="J8" s="122">
        <f>B8/C8</f>
        <v>1.0642537209112736E-4</v>
      </c>
      <c r="K8" s="123">
        <f t="shared" ref="K8:Q8" si="4">$J8*C8</f>
        <v>2043.94</v>
      </c>
      <c r="L8" s="124">
        <f t="shared" si="4"/>
        <v>39.746992348452402</v>
      </c>
      <c r="M8" s="124">
        <f t="shared" si="4"/>
        <v>60.622020450547964</v>
      </c>
      <c r="N8" s="124">
        <f t="shared" si="4"/>
        <v>11.597492072886421</v>
      </c>
      <c r="O8" s="124">
        <f t="shared" si="4"/>
        <v>93.911344713792147</v>
      </c>
      <c r="P8" s="124">
        <f t="shared" si="4"/>
        <v>100.36901279900037</v>
      </c>
      <c r="Q8" s="124">
        <f t="shared" si="4"/>
        <v>72.219512523434389</v>
      </c>
      <c r="R8" s="125">
        <f>L8/O8</f>
        <v>0.42323951882050964</v>
      </c>
      <c r="S8" s="125">
        <f>L8/K8</f>
        <v>1.9446261802426881E-2</v>
      </c>
      <c r="T8" s="125">
        <f>P8/O8</f>
        <v>1.0687634503039953</v>
      </c>
      <c r="U8" s="125">
        <f>Q8/O8</f>
        <v>0.76901797906880554</v>
      </c>
    </row>
    <row r="11" spans="1:21">
      <c r="B11" s="33"/>
    </row>
    <row r="18" spans="20:20">
      <c r="T18" s="135" t="e">
        <f>#REF!+#REF!</f>
        <v>#REF!</v>
      </c>
    </row>
  </sheetData>
  <mergeCells count="2">
    <mergeCell ref="C2:I2"/>
    <mergeCell ref="K2:Q2"/>
  </mergeCells>
  <printOptions gridLinesSet="0"/>
  <pageMargins left="0.78740157499999996" right="0.78740157499999996" top="0.984251969" bottom="0.984251969" header="0.5" footer="0.5"/>
  <pageSetup orientation="portrait" horizontalDpi="4294967292" verticalDpi="4294967292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Impl premium calculator</vt:lpstr>
      <vt:lpstr>Historical Risk Premium</vt:lpstr>
      <vt:lpstr>Buyback &amp; Dividend computation</vt:lpstr>
      <vt:lpstr>Expected growth rate</vt:lpstr>
      <vt:lpstr>Implied ERP (Monthly from 9-08)</vt:lpstr>
      <vt:lpstr>Implied ERP- Annual since 1960</vt:lpstr>
      <vt:lpstr>T.Bond vs Nominal growth</vt:lpstr>
      <vt:lpstr>S&amp;P 500 Monthly Data (Cap IQ)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Aswath Damodaran</dc:creator>
  <cp:lastPrinted>2011-09-21T14:04:20Z</cp:lastPrinted>
  <dcterms:created xsi:type="dcterms:W3CDTF">2005-01-04T16:33:33Z</dcterms:created>
  <dcterms:modified xsi:type="dcterms:W3CDTF">2016-01-27T10:28:35Z</dcterms:modified>
</cp:coreProperties>
</file>