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E5" i="1"/>
  <c r="E6"/>
  <c r="E7"/>
  <c r="E4"/>
  <c r="K3"/>
  <c r="C8"/>
  <c r="C9" s="1"/>
  <c r="C10" s="1"/>
  <c r="C11" s="1"/>
  <c r="C12" s="1"/>
  <c r="C13" s="1"/>
  <c r="C14" s="1"/>
  <c r="C15" s="1"/>
  <c r="C16" s="1"/>
  <c r="C17" s="1"/>
  <c r="C18" s="1"/>
  <c r="C19" s="1"/>
  <c r="M4"/>
  <c r="M5" s="1"/>
  <c r="M6" s="1"/>
  <c r="M7" s="1"/>
  <c r="M8" s="1"/>
  <c r="M9" s="1"/>
  <c r="M10" s="1"/>
  <c r="M11" s="1"/>
  <c r="M12" s="1"/>
  <c r="M13" s="1"/>
  <c r="M14" s="1"/>
  <c r="M15" s="1"/>
  <c r="M16" s="1"/>
  <c r="M17" s="1"/>
  <c r="M18" s="1"/>
  <c r="M19" s="1"/>
  <c r="M20" s="1"/>
  <c r="M21" s="1"/>
  <c r="M22" s="1"/>
  <c r="M23" s="1"/>
  <c r="M24" s="1"/>
  <c r="M25" s="1"/>
  <c r="M26" s="1"/>
  <c r="M27" s="1"/>
  <c r="M28" s="1"/>
  <c r="M29" s="1"/>
  <c r="M30" s="1"/>
  <c r="M31" s="1"/>
  <c r="M32" s="1"/>
  <c r="M33" s="1"/>
  <c r="M34" s="1"/>
  <c r="M35" s="1"/>
  <c r="M36" s="1"/>
  <c r="M37" s="1"/>
  <c r="M38" s="1"/>
  <c r="M39" s="1"/>
  <c r="M40" s="1"/>
  <c r="M41" s="1"/>
  <c r="M42" s="1"/>
  <c r="M43" s="1"/>
  <c r="H45"/>
  <c r="D5"/>
  <c r="D6"/>
  <c r="D7"/>
  <c r="D4"/>
  <c r="I4"/>
  <c r="F7"/>
  <c r="K7" s="1"/>
  <c r="B5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E19" l="1"/>
  <c r="E18"/>
  <c r="E17"/>
  <c r="E16"/>
  <c r="E15"/>
  <c r="E14"/>
  <c r="E13"/>
  <c r="E12"/>
  <c r="E11"/>
  <c r="E10"/>
  <c r="E9"/>
  <c r="E8"/>
  <c r="F8" s="1"/>
  <c r="G7"/>
  <c r="C20"/>
  <c r="E20" s="1"/>
  <c r="D8"/>
  <c r="F6"/>
  <c r="G6" s="1"/>
  <c r="F5"/>
  <c r="G5" s="1"/>
  <c r="F4"/>
  <c r="G4" s="1"/>
  <c r="D9"/>
  <c r="F9"/>
  <c r="G9" s="1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K8" l="1"/>
  <c r="G8"/>
  <c r="C21"/>
  <c r="K5"/>
  <c r="K6"/>
  <c r="K9"/>
  <c r="K4"/>
  <c r="D10"/>
  <c r="F10"/>
  <c r="G10" s="1"/>
  <c r="C22" l="1"/>
  <c r="E21"/>
  <c r="K10"/>
  <c r="N4"/>
  <c r="N5" s="1"/>
  <c r="N6" s="1"/>
  <c r="N7" s="1"/>
  <c r="N8" s="1"/>
  <c r="N9" s="1"/>
  <c r="J4"/>
  <c r="J5" s="1"/>
  <c r="J6" s="1"/>
  <c r="J7" s="1"/>
  <c r="J8" s="1"/>
  <c r="J9" s="1"/>
  <c r="J10" s="1"/>
  <c r="D11"/>
  <c r="F11"/>
  <c r="G11" s="1"/>
  <c r="C23" l="1"/>
  <c r="E22"/>
  <c r="K11"/>
  <c r="N10"/>
  <c r="J11"/>
  <c r="D12"/>
  <c r="F12"/>
  <c r="G12" s="1"/>
  <c r="C24" l="1"/>
  <c r="E23"/>
  <c r="K12"/>
  <c r="J12"/>
  <c r="N11"/>
  <c r="D13"/>
  <c r="F13"/>
  <c r="G13" s="1"/>
  <c r="C25" l="1"/>
  <c r="E24"/>
  <c r="K13"/>
  <c r="N12"/>
  <c r="J13"/>
  <c r="D14"/>
  <c r="F14"/>
  <c r="G14" s="1"/>
  <c r="C26" l="1"/>
  <c r="E25"/>
  <c r="K14"/>
  <c r="J14"/>
  <c r="N13"/>
  <c r="D15"/>
  <c r="F15"/>
  <c r="G15" s="1"/>
  <c r="C27" l="1"/>
  <c r="E26"/>
  <c r="K15"/>
  <c r="N14"/>
  <c r="J15"/>
  <c r="D16"/>
  <c r="F16"/>
  <c r="G16" s="1"/>
  <c r="C28" l="1"/>
  <c r="E27"/>
  <c r="K16"/>
  <c r="J16"/>
  <c r="N15"/>
  <c r="D17"/>
  <c r="F17"/>
  <c r="G17" s="1"/>
  <c r="C29" l="1"/>
  <c r="E28"/>
  <c r="K17"/>
  <c r="N16"/>
  <c r="J17"/>
  <c r="D18"/>
  <c r="F18"/>
  <c r="G18" s="1"/>
  <c r="C30" l="1"/>
  <c r="E29"/>
  <c r="K18"/>
  <c r="J18"/>
  <c r="N17"/>
  <c r="D19"/>
  <c r="F19"/>
  <c r="G19" s="1"/>
  <c r="C31" l="1"/>
  <c r="E30"/>
  <c r="K19"/>
  <c r="N18"/>
  <c r="J19"/>
  <c r="D20"/>
  <c r="F20"/>
  <c r="G20" s="1"/>
  <c r="C32" l="1"/>
  <c r="E31"/>
  <c r="K20"/>
  <c r="J20"/>
  <c r="N19"/>
  <c r="D21"/>
  <c r="F21"/>
  <c r="G21" s="1"/>
  <c r="C33" l="1"/>
  <c r="E32"/>
  <c r="K21"/>
  <c r="N20"/>
  <c r="J21"/>
  <c r="D22"/>
  <c r="F22"/>
  <c r="G22" s="1"/>
  <c r="C34" l="1"/>
  <c r="E33"/>
  <c r="K22"/>
  <c r="J22"/>
  <c r="N21"/>
  <c r="D23"/>
  <c r="F23"/>
  <c r="G23" s="1"/>
  <c r="C35" l="1"/>
  <c r="E34"/>
  <c r="K23"/>
  <c r="N22"/>
  <c r="J23"/>
  <c r="D24"/>
  <c r="F24"/>
  <c r="G24" s="1"/>
  <c r="C36" l="1"/>
  <c r="E35"/>
  <c r="K24"/>
  <c r="J24"/>
  <c r="N23"/>
  <c r="D25"/>
  <c r="F25"/>
  <c r="G25" s="1"/>
  <c r="C37" l="1"/>
  <c r="E36"/>
  <c r="K25"/>
  <c r="N24"/>
  <c r="J25"/>
  <c r="D26"/>
  <c r="F26"/>
  <c r="G26" s="1"/>
  <c r="C38" l="1"/>
  <c r="E37"/>
  <c r="K26"/>
  <c r="J26"/>
  <c r="N25"/>
  <c r="D27"/>
  <c r="F27"/>
  <c r="G27" s="1"/>
  <c r="C39" l="1"/>
  <c r="E38"/>
  <c r="K27"/>
  <c r="N26"/>
  <c r="J27"/>
  <c r="D28"/>
  <c r="F28"/>
  <c r="G28" s="1"/>
  <c r="C40" l="1"/>
  <c r="E39"/>
  <c r="K28"/>
  <c r="J28"/>
  <c r="N27"/>
  <c r="D29"/>
  <c r="F29"/>
  <c r="G29" s="1"/>
  <c r="C41" l="1"/>
  <c r="E40"/>
  <c r="K29"/>
  <c r="N28"/>
  <c r="J29"/>
  <c r="D30"/>
  <c r="F30"/>
  <c r="G30" s="1"/>
  <c r="C42" l="1"/>
  <c r="E41"/>
  <c r="K30"/>
  <c r="J30"/>
  <c r="N29"/>
  <c r="D31"/>
  <c r="F31"/>
  <c r="G31" s="1"/>
  <c r="C43" l="1"/>
  <c r="E43" s="1"/>
  <c r="E42"/>
  <c r="K31"/>
  <c r="N30"/>
  <c r="J31"/>
  <c r="D32"/>
  <c r="F32"/>
  <c r="G32" s="1"/>
  <c r="K32" l="1"/>
  <c r="J32"/>
  <c r="N31"/>
  <c r="D33"/>
  <c r="F33"/>
  <c r="G33" s="1"/>
  <c r="K33" l="1"/>
  <c r="N32"/>
  <c r="J33"/>
  <c r="D34"/>
  <c r="F34"/>
  <c r="G34" s="1"/>
  <c r="K34" l="1"/>
  <c r="J34"/>
  <c r="N33"/>
  <c r="D35"/>
  <c r="F35"/>
  <c r="G35" s="1"/>
  <c r="K35" l="1"/>
  <c r="N34"/>
  <c r="J35"/>
  <c r="D36"/>
  <c r="F36"/>
  <c r="G36" s="1"/>
  <c r="K36" l="1"/>
  <c r="J36"/>
  <c r="N35"/>
  <c r="D37"/>
  <c r="F37"/>
  <c r="G37" s="1"/>
  <c r="K37" l="1"/>
  <c r="N36"/>
  <c r="J37"/>
  <c r="D38"/>
  <c r="F38"/>
  <c r="G38" s="1"/>
  <c r="K38" l="1"/>
  <c r="J38"/>
  <c r="N37"/>
  <c r="D39"/>
  <c r="F39"/>
  <c r="G39" s="1"/>
  <c r="K39" l="1"/>
  <c r="N38"/>
  <c r="J39"/>
  <c r="D40"/>
  <c r="F40"/>
  <c r="G40" s="1"/>
  <c r="K40" l="1"/>
  <c r="J40"/>
  <c r="N39"/>
  <c r="D41"/>
  <c r="F41"/>
  <c r="G41" s="1"/>
  <c r="K41" l="1"/>
  <c r="N40"/>
  <c r="J41"/>
  <c r="C45"/>
  <c r="D42"/>
  <c r="F42"/>
  <c r="G42" s="1"/>
  <c r="K42" l="1"/>
  <c r="J42"/>
  <c r="N41"/>
  <c r="D43"/>
  <c r="F43"/>
  <c r="G43" s="1"/>
  <c r="K43" l="1"/>
  <c r="F45"/>
  <c r="G45"/>
  <c r="N42"/>
  <c r="N43" s="1"/>
  <c r="I49" s="1"/>
  <c r="I57" s="1"/>
  <c r="I58" s="1"/>
  <c r="J61" s="1"/>
  <c r="J63" s="1"/>
  <c r="J64" s="1"/>
  <c r="J43"/>
  <c r="D49" s="1"/>
  <c r="D57" s="1"/>
  <c r="K45"/>
  <c r="D53" s="1"/>
  <c r="D55" s="1"/>
  <c r="D58" l="1"/>
  <c r="E61" s="1"/>
  <c r="E63" l="1"/>
  <c r="E64" s="1"/>
  <c r="F66"/>
</calcChain>
</file>

<file path=xl/sharedStrings.xml><?xml version="1.0" encoding="utf-8"?>
<sst xmlns="http://schemas.openxmlformats.org/spreadsheetml/2006/main" count="52" uniqueCount="41">
  <si>
    <t>Einkommen</t>
  </si>
  <si>
    <t>Steuerersparnis</t>
  </si>
  <si>
    <t>für Zulage</t>
  </si>
  <si>
    <t>Einzahlungen</t>
  </si>
  <si>
    <t>Einzahlung</t>
  </si>
  <si>
    <t>Gebühren</t>
  </si>
  <si>
    <t>Verzinsung</t>
  </si>
  <si>
    <t>Kontostand</t>
  </si>
  <si>
    <t>Jahresende</t>
  </si>
  <si>
    <t xml:space="preserve">monatl. </t>
  </si>
  <si>
    <t>St-Ersparnis</t>
  </si>
  <si>
    <t>Summen:</t>
  </si>
  <si>
    <t>Steuerzahlungen nach 2048:</t>
  </si>
  <si>
    <t>Steuerersparnis bis 2048:</t>
  </si>
  <si>
    <t>ETF-Sparplan</t>
  </si>
  <si>
    <t>Alternativer</t>
  </si>
  <si>
    <t>Riester-Lösung:</t>
  </si>
  <si>
    <t>ETF-Lösung:</t>
  </si>
  <si>
    <t>Abgeltungssteuersatz 2048:</t>
  </si>
  <si>
    <t>Endguthaben für Rente:</t>
  </si>
  <si>
    <t>Grenzsteuersatz nach 2048:</t>
  </si>
  <si>
    <t>Kontostand 2048:</t>
  </si>
  <si>
    <t>(in ETFs angelegt)</t>
  </si>
  <si>
    <t>Abg.St. auf Steuerersparniszinsen:</t>
  </si>
  <si>
    <t>Andere Steuerzahlungen nach 2048:</t>
  </si>
  <si>
    <t>Inflationsbereinigt:</t>
  </si>
  <si>
    <t>Ganz ungefähre nominale Rentenhöhe:</t>
  </si>
  <si>
    <t>zusätzliche</t>
  </si>
  <si>
    <t>(selbstoptimierte)</t>
  </si>
  <si>
    <t>ETF-verzinste</t>
  </si>
  <si>
    <t>verzinste Steuerersparnis bis 2048:</t>
  </si>
  <si>
    <t>Nettosteuerverlust:</t>
  </si>
  <si>
    <t>Vorteil Riester:</t>
  </si>
  <si>
    <t>Copyright:</t>
  </si>
  <si>
    <t>ImperatoM, 10/2010, für nicht-kommerzielle Zwecke frei nutzbar. Makleranfragen etc. an imperatom@gmx.de</t>
  </si>
  <si>
    <t xml:space="preserve"> </t>
  </si>
  <si>
    <t>Riester-</t>
  </si>
  <si>
    <t>Sparplan</t>
  </si>
  <si>
    <t>zu versteuerndes</t>
  </si>
  <si>
    <t>für die gesamte Tabelle gilt:</t>
  </si>
  <si>
    <t>Keine Richtigkeitsgarantie!</t>
  </si>
</sst>
</file>

<file path=xl/styles.xml><?xml version="1.0" encoding="utf-8"?>
<styleSheet xmlns="http://schemas.openxmlformats.org/spreadsheetml/2006/main">
  <numFmts count="2">
    <numFmt numFmtId="164" formatCode="0.000%"/>
    <numFmt numFmtId="165" formatCode="0.0%"/>
  </numFmts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0" fillId="3" borderId="0" xfId="0" applyFill="1" applyAlignment="1">
      <alignment horizontal="center"/>
    </xf>
    <xf numFmtId="0" fontId="4" fillId="0" borderId="0" xfId="0" applyFont="1" applyAlignment="1"/>
    <xf numFmtId="165" fontId="0" fillId="0" borderId="0" xfId="0" applyNumberFormat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2" fontId="0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2" fillId="0" borderId="0" xfId="0" applyNumberFormat="1" applyFont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9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65" fontId="0" fillId="5" borderId="1" xfId="0" applyNumberFormat="1" applyFill="1" applyBorder="1" applyAlignment="1" applyProtection="1">
      <alignment horizontal="center"/>
      <protection locked="0"/>
    </xf>
    <xf numFmtId="4" fontId="0" fillId="0" borderId="1" xfId="0" applyNumberFormat="1" applyBorder="1" applyAlignment="1" applyProtection="1">
      <alignment horizontal="center"/>
      <protection locked="0"/>
    </xf>
    <xf numFmtId="165" fontId="0" fillId="0" borderId="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4" fontId="0" fillId="5" borderId="0" xfId="0" applyNumberFormat="1" applyFill="1" applyAlignment="1" applyProtection="1">
      <alignment horizontal="center"/>
      <protection locked="0"/>
    </xf>
    <xf numFmtId="2" fontId="0" fillId="0" borderId="3" xfId="0" applyNumberFormat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4" fontId="0" fillId="0" borderId="3" xfId="0" applyNumberFormat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4" fontId="0" fillId="2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center"/>
      <protection locked="0"/>
    </xf>
    <xf numFmtId="4" fontId="0" fillId="4" borderId="0" xfId="0" applyNumberFormat="1" applyFill="1" applyAlignment="1" applyProtection="1">
      <alignment horizontal="center"/>
      <protection locked="0"/>
    </xf>
    <xf numFmtId="165" fontId="0" fillId="4" borderId="0" xfId="0" applyNumberFormat="1" applyFill="1" applyAlignment="1" applyProtection="1">
      <alignment horizontal="center"/>
      <protection locked="0"/>
    </xf>
    <xf numFmtId="4" fontId="0" fillId="0" borderId="3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2" fillId="2" borderId="0" xfId="0" applyNumberFormat="1" applyFont="1" applyFill="1" applyAlignment="1" applyProtection="1">
      <alignment horizontal="right"/>
      <protection locked="0"/>
    </xf>
    <xf numFmtId="4" fontId="2" fillId="2" borderId="0" xfId="0" applyNumberFormat="1" applyFont="1" applyFill="1" applyAlignment="1" applyProtection="1">
      <alignment horizontal="center"/>
      <protection locked="0"/>
    </xf>
    <xf numFmtId="2" fontId="2" fillId="4" borderId="0" xfId="0" applyNumberFormat="1" applyFont="1" applyFill="1" applyAlignment="1" applyProtection="1">
      <alignment horizontal="right"/>
      <protection locked="0"/>
    </xf>
    <xf numFmtId="4" fontId="2" fillId="4" borderId="0" xfId="0" applyNumberFormat="1" applyFont="1" applyFill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right"/>
      <protection locked="0"/>
    </xf>
    <xf numFmtId="9" fontId="0" fillId="2" borderId="0" xfId="0" applyNumberFormat="1" applyFill="1" applyAlignment="1" applyProtection="1">
      <alignment horizontal="center"/>
      <protection locked="0"/>
    </xf>
    <xf numFmtId="2" fontId="0" fillId="4" borderId="0" xfId="0" applyNumberFormat="1" applyFill="1" applyAlignment="1" applyProtection="1">
      <alignment horizontal="right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164" fontId="0" fillId="2" borderId="0" xfId="0" applyNumberFormat="1" applyFill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" fontId="0" fillId="2" borderId="4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4" fontId="0" fillId="4" borderId="4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right"/>
      <protection locked="0"/>
    </xf>
    <xf numFmtId="4" fontId="1" fillId="2" borderId="0" xfId="0" applyNumberFormat="1" applyFon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right"/>
      <protection locked="0"/>
    </xf>
    <xf numFmtId="4" fontId="1" fillId="4" borderId="0" xfId="0" applyNumberFormat="1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protection locked="0"/>
    </xf>
    <xf numFmtId="2" fontId="4" fillId="2" borderId="0" xfId="0" applyNumberFormat="1" applyFont="1" applyFill="1" applyAlignment="1" applyProtection="1">
      <protection locked="0"/>
    </xf>
    <xf numFmtId="3" fontId="4" fillId="2" borderId="0" xfId="0" applyNumberFormat="1" applyFont="1" applyFill="1" applyAlignment="1" applyProtection="1">
      <protection locked="0"/>
    </xf>
    <xf numFmtId="0" fontId="4" fillId="4" borderId="0" xfId="0" applyFont="1" applyFill="1" applyAlignment="1" applyProtection="1">
      <protection locked="0"/>
    </xf>
    <xf numFmtId="2" fontId="4" fillId="4" borderId="0" xfId="0" applyNumberFormat="1" applyFont="1" applyFill="1" applyAlignment="1" applyProtection="1">
      <protection locked="0"/>
    </xf>
    <xf numFmtId="165" fontId="4" fillId="4" borderId="0" xfId="0" applyNumberFormat="1" applyFont="1" applyFill="1" applyAlignment="1" applyProtection="1">
      <protection locked="0"/>
    </xf>
    <xf numFmtId="3" fontId="4" fillId="4" borderId="0" xfId="0" applyNumberFormat="1" applyFont="1" applyFill="1" applyAlignment="1" applyProtection="1">
      <protection locked="0"/>
    </xf>
    <xf numFmtId="0" fontId="4" fillId="3" borderId="0" xfId="0" applyFont="1" applyFill="1" applyAlignment="1" applyProtection="1">
      <protection locked="0"/>
    </xf>
    <xf numFmtId="165" fontId="4" fillId="0" borderId="0" xfId="0" applyNumberFormat="1" applyFont="1" applyAlignment="1" applyProtection="1">
      <protection locked="0"/>
    </xf>
    <xf numFmtId="0" fontId="4" fillId="0" borderId="0" xfId="0" applyFont="1" applyAlignment="1" applyProtection="1">
      <protection locked="0"/>
    </xf>
    <xf numFmtId="2" fontId="2" fillId="2" borderId="0" xfId="0" applyNumberFormat="1" applyFont="1" applyFill="1" applyAlignment="1" applyProtection="1">
      <alignment horizontal="center"/>
      <protection locked="0"/>
    </xf>
    <xf numFmtId="2" fontId="2" fillId="4" borderId="0" xfId="0" applyNumberFormat="1" applyFont="1" applyFill="1" applyAlignment="1" applyProtection="1">
      <alignment horizontal="center"/>
      <protection locked="0"/>
    </xf>
    <xf numFmtId="2" fontId="0" fillId="7" borderId="5" xfId="0" applyNumberFormat="1" applyFill="1" applyBorder="1" applyAlignment="1" applyProtection="1">
      <alignment horizontal="center"/>
      <protection locked="0"/>
    </xf>
    <xf numFmtId="2" fontId="5" fillId="7" borderId="6" xfId="0" applyNumberFormat="1" applyFont="1" applyFill="1" applyBorder="1" applyAlignment="1" applyProtection="1">
      <alignment horizontal="right"/>
      <protection locked="0"/>
    </xf>
    <xf numFmtId="10" fontId="5" fillId="7" borderId="6" xfId="0" applyNumberFormat="1" applyFont="1" applyFill="1" applyBorder="1" applyAlignment="1" applyProtection="1">
      <alignment horizontal="center"/>
      <protection locked="0"/>
    </xf>
    <xf numFmtId="0" fontId="0" fillId="7" borderId="7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left"/>
      <protection locked="0"/>
    </xf>
    <xf numFmtId="0" fontId="0" fillId="6" borderId="0" xfId="0" applyFill="1" applyAlignment="1" applyProtection="1">
      <alignment horizontal="center"/>
      <protection locked="0"/>
    </xf>
    <xf numFmtId="0" fontId="2" fillId="6" borderId="0" xfId="0" applyFont="1" applyFill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5" borderId="0" xfId="0" applyNumberFormat="1" applyFill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8"/>
  <sheetViews>
    <sheetView tabSelected="1" workbookViewId="0">
      <selection activeCell="D5" sqref="D5"/>
    </sheetView>
  </sheetViews>
  <sheetFormatPr baseColWidth="10" defaultRowHeight="15"/>
  <cols>
    <col min="1" max="2" width="11.42578125" style="1"/>
    <col min="3" max="3" width="16" style="2" customWidth="1"/>
    <col min="4" max="4" width="11.5703125" style="2" customWidth="1"/>
    <col min="5" max="5" width="14.5703125" style="2" bestFit="1" customWidth="1"/>
    <col min="6" max="6" width="15.140625" style="1" bestFit="1" customWidth="1"/>
    <col min="7" max="7" width="18.28515625" style="1" customWidth="1"/>
    <col min="8" max="8" width="11.5703125" style="2" bestFit="1" customWidth="1"/>
    <col min="9" max="9" width="12.140625" style="9" bestFit="1" customWidth="1"/>
    <col min="10" max="10" width="14.5703125" style="4" bestFit="1" customWidth="1"/>
    <col min="11" max="11" width="16.7109375" style="6" bestFit="1" customWidth="1"/>
    <col min="12" max="12" width="12.42578125" style="7" bestFit="1" customWidth="1"/>
    <col min="13" max="13" width="11.42578125" style="9"/>
    <col min="14" max="16384" width="11.42578125" style="1"/>
  </cols>
  <sheetData>
    <row r="1" spans="1:14">
      <c r="A1" s="76" t="s">
        <v>36</v>
      </c>
      <c r="B1" s="77"/>
      <c r="C1" s="11" t="s">
        <v>38</v>
      </c>
      <c r="D1" s="11" t="s">
        <v>9</v>
      </c>
      <c r="E1" s="12" t="s">
        <v>3</v>
      </c>
      <c r="F1" s="13" t="s">
        <v>27</v>
      </c>
      <c r="G1" s="13" t="s">
        <v>28</v>
      </c>
      <c r="H1" s="12"/>
      <c r="I1" s="14"/>
      <c r="J1" s="15" t="s">
        <v>7</v>
      </c>
      <c r="K1" s="10" t="s">
        <v>29</v>
      </c>
      <c r="L1" s="16" t="s">
        <v>15</v>
      </c>
      <c r="M1" s="14"/>
      <c r="N1" s="15" t="s">
        <v>7</v>
      </c>
    </row>
    <row r="2" spans="1:14">
      <c r="A2" s="76" t="s">
        <v>37</v>
      </c>
      <c r="B2" s="77"/>
      <c r="C2" s="12" t="s">
        <v>0</v>
      </c>
      <c r="D2" s="12" t="s">
        <v>0</v>
      </c>
      <c r="E2" s="12" t="s">
        <v>2</v>
      </c>
      <c r="F2" s="13" t="s">
        <v>1</v>
      </c>
      <c r="G2" s="13" t="s">
        <v>4</v>
      </c>
      <c r="H2" s="12" t="s">
        <v>5</v>
      </c>
      <c r="I2" s="17" t="s">
        <v>6</v>
      </c>
      <c r="J2" s="15" t="s">
        <v>8</v>
      </c>
      <c r="K2" s="10" t="s">
        <v>10</v>
      </c>
      <c r="L2" s="16" t="s">
        <v>14</v>
      </c>
      <c r="M2" s="17" t="s">
        <v>6</v>
      </c>
      <c r="N2" s="15" t="s">
        <v>8</v>
      </c>
    </row>
    <row r="3" spans="1:14" s="3" customFormat="1" ht="15.75" thickBot="1">
      <c r="A3" s="74"/>
      <c r="B3" s="78"/>
      <c r="C3" s="18"/>
      <c r="D3" s="18"/>
      <c r="E3" s="18"/>
      <c r="F3" s="19">
        <v>0.3</v>
      </c>
      <c r="G3" s="20"/>
      <c r="H3" s="18"/>
      <c r="I3" s="21">
        <v>0.05</v>
      </c>
      <c r="J3" s="22"/>
      <c r="K3" s="23">
        <f>M3</f>
        <v>0.05</v>
      </c>
      <c r="L3" s="24"/>
      <c r="M3" s="21">
        <v>0.05</v>
      </c>
      <c r="N3" s="20"/>
    </row>
    <row r="4" spans="1:14">
      <c r="A4" s="75"/>
      <c r="B4" s="13">
        <v>2009</v>
      </c>
      <c r="C4" s="25">
        <v>10000</v>
      </c>
      <c r="D4" s="12">
        <f t="shared" ref="D4:D43" si="0">C4/12</f>
        <v>833.33333333333337</v>
      </c>
      <c r="E4" s="12">
        <f>C4*0.04-154</f>
        <v>246</v>
      </c>
      <c r="F4" s="12">
        <f>IF(E4*F$3&lt;=154,0,E4*F$3-154)</f>
        <v>0</v>
      </c>
      <c r="G4" s="79">
        <f>IF(F4&gt;200,2100-154,E4)</f>
        <v>246</v>
      </c>
      <c r="H4" s="12">
        <v>5.0999999999999996</v>
      </c>
      <c r="I4" s="17">
        <f>I3</f>
        <v>0.05</v>
      </c>
      <c r="J4" s="15">
        <f>(G4-H4)*(1+I4)+154</f>
        <v>406.94500000000005</v>
      </c>
      <c r="K4" s="26">
        <f t="shared" ref="K4:K43" si="1">F4*(1+K$3)^(2048-B4)</f>
        <v>0</v>
      </c>
      <c r="L4" s="27"/>
      <c r="M4" s="17">
        <f>M3</f>
        <v>0.05</v>
      </c>
      <c r="N4" s="15">
        <f>G4*(1+M3)</f>
        <v>258.3</v>
      </c>
    </row>
    <row r="5" spans="1:14">
      <c r="A5" s="75"/>
      <c r="B5" s="13">
        <f>B4+1</f>
        <v>2010</v>
      </c>
      <c r="C5" s="25">
        <v>40000</v>
      </c>
      <c r="D5" s="12">
        <f t="shared" si="0"/>
        <v>3333.3333333333335</v>
      </c>
      <c r="E5" s="12">
        <f t="shared" ref="E5:E43" si="2">C5*0.04-154</f>
        <v>1446</v>
      </c>
      <c r="F5" s="12">
        <f t="shared" ref="F5:F43" si="3">IF(E5*F$3&lt;=154,0,E5*F$3-154)</f>
        <v>279.8</v>
      </c>
      <c r="G5" s="79">
        <f t="shared" ref="G5:G43" si="4">IF(F5&gt;200,2100-154,E5)</f>
        <v>1946</v>
      </c>
      <c r="H5" s="12">
        <v>10.199999999999999</v>
      </c>
      <c r="I5" s="17">
        <f t="shared" ref="I5:I43" si="5">I4</f>
        <v>0.05</v>
      </c>
      <c r="J5" s="15">
        <f>(G5-H5+J4)*(1+I5)+154</f>
        <v>2613.8822500000001</v>
      </c>
      <c r="K5" s="26">
        <f t="shared" si="1"/>
        <v>1786.6565457165323</v>
      </c>
      <c r="L5" s="27"/>
      <c r="M5" s="17">
        <f t="shared" ref="M5:M43" si="6">M4</f>
        <v>0.05</v>
      </c>
      <c r="N5" s="15">
        <f t="shared" ref="N5:N43" si="7">(N4+G6)*(1+M$3)</f>
        <v>2314.5150000000003</v>
      </c>
    </row>
    <row r="6" spans="1:14">
      <c r="A6" s="75"/>
      <c r="B6" s="13">
        <f t="shared" ref="B6:B43" si="8">B5+1</f>
        <v>2011</v>
      </c>
      <c r="C6" s="25">
        <v>40000</v>
      </c>
      <c r="D6" s="12">
        <f t="shared" si="0"/>
        <v>3333.3333333333335</v>
      </c>
      <c r="E6" s="12">
        <f t="shared" si="2"/>
        <v>1446</v>
      </c>
      <c r="F6" s="12">
        <f t="shared" si="3"/>
        <v>279.8</v>
      </c>
      <c r="G6" s="79">
        <f t="shared" si="4"/>
        <v>1946</v>
      </c>
      <c r="H6" s="12">
        <v>10.199999999999999</v>
      </c>
      <c r="I6" s="17">
        <f t="shared" si="5"/>
        <v>0.05</v>
      </c>
      <c r="J6" s="15">
        <f t="shared" ref="J6:J43" si="9">(G6-H6+J5)*(1+I6)+154</f>
        <v>4931.1663625000001</v>
      </c>
      <c r="K6" s="26">
        <f t="shared" si="1"/>
        <v>1701.5776625871738</v>
      </c>
      <c r="L6" s="27"/>
      <c r="M6" s="17">
        <f t="shared" si="6"/>
        <v>0.05</v>
      </c>
      <c r="N6" s="15">
        <f t="shared" si="7"/>
        <v>4473.5407500000001</v>
      </c>
    </row>
    <row r="7" spans="1:14">
      <c r="A7" s="75"/>
      <c r="B7" s="13">
        <f t="shared" si="8"/>
        <v>2012</v>
      </c>
      <c r="C7" s="25">
        <v>40000</v>
      </c>
      <c r="D7" s="12">
        <f t="shared" si="0"/>
        <v>3333.3333333333335</v>
      </c>
      <c r="E7" s="12">
        <f t="shared" si="2"/>
        <v>1446</v>
      </c>
      <c r="F7" s="12">
        <f t="shared" si="3"/>
        <v>279.8</v>
      </c>
      <c r="G7" s="79">
        <f t="shared" si="4"/>
        <v>1946</v>
      </c>
      <c r="H7" s="12">
        <v>10.199999999999999</v>
      </c>
      <c r="I7" s="17">
        <f t="shared" si="5"/>
        <v>0.05</v>
      </c>
      <c r="J7" s="15">
        <f t="shared" si="9"/>
        <v>7364.3146806250006</v>
      </c>
      <c r="K7" s="26">
        <f t="shared" si="1"/>
        <v>1620.5501548449274</v>
      </c>
      <c r="L7" s="27"/>
      <c r="M7" s="17">
        <f t="shared" si="6"/>
        <v>0.05</v>
      </c>
      <c r="N7" s="15">
        <f t="shared" si="7"/>
        <v>6740.5177875000008</v>
      </c>
    </row>
    <row r="8" spans="1:14">
      <c r="A8" s="75"/>
      <c r="B8" s="13">
        <f t="shared" si="8"/>
        <v>2013</v>
      </c>
      <c r="C8" s="25">
        <f>C7*1.0275</f>
        <v>41100</v>
      </c>
      <c r="D8" s="12">
        <f t="shared" si="0"/>
        <v>3425</v>
      </c>
      <c r="E8" s="12">
        <f t="shared" si="2"/>
        <v>1490</v>
      </c>
      <c r="F8" s="12">
        <f t="shared" si="3"/>
        <v>293</v>
      </c>
      <c r="G8" s="79">
        <f t="shared" si="4"/>
        <v>1946</v>
      </c>
      <c r="H8" s="12">
        <v>10.199999999999999</v>
      </c>
      <c r="I8" s="17">
        <f t="shared" si="5"/>
        <v>0.05</v>
      </c>
      <c r="J8" s="15">
        <f t="shared" si="9"/>
        <v>9919.1204146562504</v>
      </c>
      <c r="K8" s="26">
        <f t="shared" si="1"/>
        <v>1616.1925027045295</v>
      </c>
      <c r="L8" s="27"/>
      <c r="M8" s="17">
        <f t="shared" si="6"/>
        <v>0.05</v>
      </c>
      <c r="N8" s="15">
        <f t="shared" si="7"/>
        <v>9120.8436768750016</v>
      </c>
    </row>
    <row r="9" spans="1:14">
      <c r="A9" s="75"/>
      <c r="B9" s="13">
        <f t="shared" si="8"/>
        <v>2014</v>
      </c>
      <c r="C9" s="25">
        <f>C8*1.0275</f>
        <v>42230.25</v>
      </c>
      <c r="D9" s="12">
        <f t="shared" si="0"/>
        <v>3519.1875</v>
      </c>
      <c r="E9" s="12">
        <f t="shared" si="2"/>
        <v>1535.21</v>
      </c>
      <c r="F9" s="12">
        <f t="shared" si="3"/>
        <v>306.56299999999999</v>
      </c>
      <c r="G9" s="79">
        <f t="shared" si="4"/>
        <v>1946</v>
      </c>
      <c r="H9" s="12">
        <v>10.199999999999999</v>
      </c>
      <c r="I9" s="17">
        <f t="shared" si="5"/>
        <v>0.05</v>
      </c>
      <c r="J9" s="15">
        <f t="shared" si="9"/>
        <v>12601.666435389063</v>
      </c>
      <c r="K9" s="26">
        <f t="shared" si="1"/>
        <v>1610.482113462079</v>
      </c>
      <c r="L9" s="27"/>
      <c r="M9" s="17">
        <f t="shared" si="6"/>
        <v>0.05</v>
      </c>
      <c r="N9" s="15">
        <f t="shared" si="7"/>
        <v>11620.185860718751</v>
      </c>
    </row>
    <row r="10" spans="1:14">
      <c r="A10" s="75"/>
      <c r="B10" s="13">
        <f t="shared" si="8"/>
        <v>2015</v>
      </c>
      <c r="C10" s="25">
        <f t="shared" ref="C10:C43" si="10">C9*1.0275</f>
        <v>43391.581875000003</v>
      </c>
      <c r="D10" s="12">
        <f t="shared" si="0"/>
        <v>3615.9651562500003</v>
      </c>
      <c r="E10" s="12">
        <f t="shared" si="2"/>
        <v>1581.6632750000001</v>
      </c>
      <c r="F10" s="12">
        <f t="shared" si="3"/>
        <v>320.49898250000001</v>
      </c>
      <c r="G10" s="79">
        <f t="shared" si="4"/>
        <v>1946</v>
      </c>
      <c r="H10" s="12">
        <v>10.199999999999999</v>
      </c>
      <c r="I10" s="17">
        <f t="shared" si="5"/>
        <v>0.05</v>
      </c>
      <c r="J10" s="15">
        <f t="shared" si="9"/>
        <v>15418.339757158516</v>
      </c>
      <c r="K10" s="26">
        <f t="shared" si="1"/>
        <v>1603.5168369774874</v>
      </c>
      <c r="L10" s="27"/>
      <c r="M10" s="17">
        <f t="shared" si="6"/>
        <v>0.05</v>
      </c>
      <c r="N10" s="15">
        <f t="shared" si="7"/>
        <v>14244.495153754689</v>
      </c>
    </row>
    <row r="11" spans="1:14">
      <c r="A11" s="75"/>
      <c r="B11" s="13">
        <f t="shared" si="8"/>
        <v>2016</v>
      </c>
      <c r="C11" s="25">
        <f t="shared" si="10"/>
        <v>44584.850376562506</v>
      </c>
      <c r="D11" s="12">
        <f t="shared" si="0"/>
        <v>3715.4041980468755</v>
      </c>
      <c r="E11" s="12">
        <f t="shared" si="2"/>
        <v>1629.3940150625003</v>
      </c>
      <c r="F11" s="12">
        <f t="shared" si="3"/>
        <v>334.81820451875006</v>
      </c>
      <c r="G11" s="79">
        <f t="shared" si="4"/>
        <v>1946</v>
      </c>
      <c r="H11" s="12">
        <v>10.199999999999999</v>
      </c>
      <c r="I11" s="17">
        <f t="shared" si="5"/>
        <v>0.05</v>
      </c>
      <c r="J11" s="15">
        <f t="shared" si="9"/>
        <v>18375.846745016443</v>
      </c>
      <c r="K11" s="26">
        <f t="shared" si="1"/>
        <v>1595.3891471547956</v>
      </c>
      <c r="L11" s="27"/>
      <c r="M11" s="17">
        <f t="shared" si="6"/>
        <v>0.05</v>
      </c>
      <c r="N11" s="15">
        <f t="shared" si="7"/>
        <v>17000.019911442425</v>
      </c>
    </row>
    <row r="12" spans="1:14">
      <c r="A12" s="75"/>
      <c r="B12" s="13">
        <f t="shared" si="8"/>
        <v>2017</v>
      </c>
      <c r="C12" s="25">
        <f t="shared" si="10"/>
        <v>45810.933761917979</v>
      </c>
      <c r="D12" s="12">
        <f t="shared" si="0"/>
        <v>3817.5778134931647</v>
      </c>
      <c r="E12" s="12">
        <f t="shared" si="2"/>
        <v>1678.4373504767191</v>
      </c>
      <c r="F12" s="12">
        <f t="shared" si="3"/>
        <v>349.53120514301571</v>
      </c>
      <c r="G12" s="79">
        <f t="shared" si="4"/>
        <v>1946</v>
      </c>
      <c r="H12" s="12">
        <v>10.199999999999999</v>
      </c>
      <c r="I12" s="17">
        <f t="shared" si="5"/>
        <v>0.05</v>
      </c>
      <c r="J12" s="15">
        <f t="shared" si="9"/>
        <v>21481.229082267266</v>
      </c>
      <c r="K12" s="26">
        <f t="shared" si="1"/>
        <v>1586.1864132923333</v>
      </c>
      <c r="L12" s="27"/>
      <c r="M12" s="17">
        <f t="shared" si="6"/>
        <v>0.05</v>
      </c>
      <c r="N12" s="15">
        <f t="shared" si="7"/>
        <v>19893.320907014546</v>
      </c>
    </row>
    <row r="13" spans="1:14">
      <c r="A13" s="75"/>
      <c r="B13" s="13">
        <f t="shared" si="8"/>
        <v>2018</v>
      </c>
      <c r="C13" s="25">
        <f t="shared" si="10"/>
        <v>47070.734440370725</v>
      </c>
      <c r="D13" s="12">
        <f t="shared" si="0"/>
        <v>3922.5612033642269</v>
      </c>
      <c r="E13" s="12">
        <f t="shared" si="2"/>
        <v>1728.8293776148291</v>
      </c>
      <c r="F13" s="12">
        <f t="shared" si="3"/>
        <v>364.64881328444869</v>
      </c>
      <c r="G13" s="79">
        <f t="shared" si="4"/>
        <v>1946</v>
      </c>
      <c r="H13" s="12">
        <v>10.199999999999999</v>
      </c>
      <c r="I13" s="17">
        <f t="shared" si="5"/>
        <v>0.05</v>
      </c>
      <c r="J13" s="15">
        <f t="shared" si="9"/>
        <v>24741.880536380628</v>
      </c>
      <c r="K13" s="26">
        <f t="shared" si="1"/>
        <v>1575.9911581824606</v>
      </c>
      <c r="L13" s="27"/>
      <c r="M13" s="17">
        <f t="shared" si="6"/>
        <v>0.05</v>
      </c>
      <c r="N13" s="15">
        <f t="shared" si="7"/>
        <v>22931.286952365273</v>
      </c>
    </row>
    <row r="14" spans="1:14">
      <c r="A14" s="75"/>
      <c r="B14" s="13">
        <f t="shared" si="8"/>
        <v>2019</v>
      </c>
      <c r="C14" s="25">
        <f t="shared" si="10"/>
        <v>48365.17963748092</v>
      </c>
      <c r="D14" s="12">
        <f t="shared" si="0"/>
        <v>4030.4316364567435</v>
      </c>
      <c r="E14" s="12">
        <f t="shared" si="2"/>
        <v>1780.6071854992369</v>
      </c>
      <c r="F14" s="12">
        <f t="shared" si="3"/>
        <v>380.18215564977106</v>
      </c>
      <c r="G14" s="79">
        <f t="shared" si="4"/>
        <v>1946</v>
      </c>
      <c r="H14" s="12">
        <v>10.199999999999999</v>
      </c>
      <c r="I14" s="17">
        <f t="shared" si="5"/>
        <v>0.05</v>
      </c>
      <c r="J14" s="15">
        <f t="shared" si="9"/>
        <v>28165.564563199659</v>
      </c>
      <c r="K14" s="26">
        <f t="shared" si="1"/>
        <v>1564.8813035989247</v>
      </c>
      <c r="L14" s="27"/>
      <c r="M14" s="17">
        <f t="shared" si="6"/>
        <v>0.05</v>
      </c>
      <c r="N14" s="15">
        <f t="shared" si="7"/>
        <v>26121.15129998354</v>
      </c>
    </row>
    <row r="15" spans="1:14">
      <c r="A15" s="75"/>
      <c r="B15" s="13">
        <f t="shared" si="8"/>
        <v>2020</v>
      </c>
      <c r="C15" s="25">
        <f t="shared" si="10"/>
        <v>49695.222077511651</v>
      </c>
      <c r="D15" s="12">
        <f t="shared" si="0"/>
        <v>4141.2685064593043</v>
      </c>
      <c r="E15" s="12">
        <f t="shared" si="2"/>
        <v>1833.8088831004661</v>
      </c>
      <c r="F15" s="12">
        <f t="shared" si="3"/>
        <v>396.14266493013986</v>
      </c>
      <c r="G15" s="79">
        <f t="shared" si="4"/>
        <v>1946</v>
      </c>
      <c r="H15" s="12">
        <v>10.199999999999999</v>
      </c>
      <c r="I15" s="17">
        <f t="shared" si="5"/>
        <v>0.05</v>
      </c>
      <c r="J15" s="15">
        <f t="shared" si="9"/>
        <v>31760.432791359643</v>
      </c>
      <c r="K15" s="26">
        <f t="shared" si="1"/>
        <v>1552.9304037793033</v>
      </c>
      <c r="L15" s="27"/>
      <c r="M15" s="17">
        <f t="shared" si="6"/>
        <v>0.05</v>
      </c>
      <c r="N15" s="15">
        <f t="shared" si="7"/>
        <v>29470.508864982719</v>
      </c>
    </row>
    <row r="16" spans="1:14">
      <c r="A16" s="75"/>
      <c r="B16" s="13">
        <f t="shared" si="8"/>
        <v>2021</v>
      </c>
      <c r="C16" s="25">
        <f t="shared" si="10"/>
        <v>51061.840684643226</v>
      </c>
      <c r="D16" s="12">
        <f t="shared" si="0"/>
        <v>4255.1533903869358</v>
      </c>
      <c r="E16" s="12">
        <f t="shared" si="2"/>
        <v>1888.4736273857291</v>
      </c>
      <c r="F16" s="12">
        <f t="shared" si="3"/>
        <v>412.54208821571865</v>
      </c>
      <c r="G16" s="79">
        <f t="shared" si="4"/>
        <v>1946</v>
      </c>
      <c r="H16" s="12">
        <v>10.199999999999999</v>
      </c>
      <c r="I16" s="17">
        <f t="shared" si="5"/>
        <v>0.05</v>
      </c>
      <c r="J16" s="15">
        <f t="shared" si="9"/>
        <v>35535.044430927628</v>
      </c>
      <c r="K16" s="26">
        <f t="shared" si="1"/>
        <v>1540.2078674809698</v>
      </c>
      <c r="L16" s="27"/>
      <c r="M16" s="17">
        <f t="shared" si="6"/>
        <v>0.05</v>
      </c>
      <c r="N16" s="15">
        <f t="shared" si="7"/>
        <v>32987.334308231853</v>
      </c>
    </row>
    <row r="17" spans="1:14">
      <c r="A17" s="75"/>
      <c r="B17" s="13">
        <f t="shared" si="8"/>
        <v>2022</v>
      </c>
      <c r="C17" s="25">
        <f t="shared" si="10"/>
        <v>52466.04130347092</v>
      </c>
      <c r="D17" s="12">
        <f t="shared" si="0"/>
        <v>4372.1701086225767</v>
      </c>
      <c r="E17" s="12">
        <f t="shared" si="2"/>
        <v>1944.6416521388369</v>
      </c>
      <c r="F17" s="12">
        <f t="shared" si="3"/>
        <v>429.39249564165107</v>
      </c>
      <c r="G17" s="79">
        <f t="shared" si="4"/>
        <v>1946</v>
      </c>
      <c r="H17" s="12">
        <v>10.199999999999999</v>
      </c>
      <c r="I17" s="17">
        <f t="shared" si="5"/>
        <v>0.05</v>
      </c>
      <c r="J17" s="15">
        <f t="shared" si="9"/>
        <v>39498.386652474015</v>
      </c>
      <c r="K17" s="26">
        <f t="shared" si="1"/>
        <v>1526.7791691612842</v>
      </c>
      <c r="L17" s="27"/>
      <c r="M17" s="17">
        <f t="shared" si="6"/>
        <v>0.05</v>
      </c>
      <c r="N17" s="15">
        <f t="shared" si="7"/>
        <v>36680.001023643446</v>
      </c>
    </row>
    <row r="18" spans="1:14">
      <c r="A18" s="75"/>
      <c r="B18" s="13">
        <f t="shared" si="8"/>
        <v>2023</v>
      </c>
      <c r="C18" s="25">
        <f t="shared" si="10"/>
        <v>53908.857439316373</v>
      </c>
      <c r="D18" s="12">
        <f t="shared" si="0"/>
        <v>4492.404786609698</v>
      </c>
      <c r="E18" s="12">
        <f t="shared" si="2"/>
        <v>2002.354297572655</v>
      </c>
      <c r="F18" s="12">
        <f t="shared" si="3"/>
        <v>446.70628927179644</v>
      </c>
      <c r="G18" s="79">
        <f t="shared" si="4"/>
        <v>1946</v>
      </c>
      <c r="H18" s="12">
        <v>10.199999999999999</v>
      </c>
      <c r="I18" s="17">
        <f t="shared" si="5"/>
        <v>0.05</v>
      </c>
      <c r="J18" s="15">
        <f t="shared" si="9"/>
        <v>43659.895985097719</v>
      </c>
      <c r="K18" s="26">
        <f t="shared" si="1"/>
        <v>1512.7060498063781</v>
      </c>
      <c r="L18" s="27"/>
      <c r="M18" s="17">
        <f t="shared" si="6"/>
        <v>0.05</v>
      </c>
      <c r="N18" s="15">
        <f t="shared" si="7"/>
        <v>40557.30107482562</v>
      </c>
    </row>
    <row r="19" spans="1:14">
      <c r="A19" s="75"/>
      <c r="B19" s="13">
        <f t="shared" si="8"/>
        <v>2024</v>
      </c>
      <c r="C19" s="25">
        <f t="shared" si="10"/>
        <v>55391.351018897578</v>
      </c>
      <c r="D19" s="12">
        <f t="shared" si="0"/>
        <v>4615.9459182414648</v>
      </c>
      <c r="E19" s="12">
        <f t="shared" si="2"/>
        <v>2061.6540407559032</v>
      </c>
      <c r="F19" s="12">
        <f t="shared" si="3"/>
        <v>464.49621222677092</v>
      </c>
      <c r="G19" s="79">
        <f t="shared" si="4"/>
        <v>1946</v>
      </c>
      <c r="H19" s="12">
        <v>10.199999999999999</v>
      </c>
      <c r="I19" s="17">
        <f t="shared" si="5"/>
        <v>0.05</v>
      </c>
      <c r="J19" s="15">
        <f t="shared" si="9"/>
        <v>48029.480784352607</v>
      </c>
      <c r="K19" s="26">
        <f t="shared" si="1"/>
        <v>1498.046707907786</v>
      </c>
      <c r="L19" s="27"/>
      <c r="M19" s="17">
        <f t="shared" si="6"/>
        <v>0.05</v>
      </c>
      <c r="N19" s="15">
        <f t="shared" si="7"/>
        <v>44628.466128566906</v>
      </c>
    </row>
    <row r="20" spans="1:14">
      <c r="A20" s="75"/>
      <c r="B20" s="13">
        <f t="shared" si="8"/>
        <v>2025</v>
      </c>
      <c r="C20" s="25">
        <f t="shared" si="10"/>
        <v>56914.613171917263</v>
      </c>
      <c r="D20" s="12">
        <f t="shared" si="0"/>
        <v>4742.8844309931055</v>
      </c>
      <c r="E20" s="12">
        <f t="shared" si="2"/>
        <v>2122.5845268766907</v>
      </c>
      <c r="F20" s="12">
        <f t="shared" si="3"/>
        <v>482.77535806300716</v>
      </c>
      <c r="G20" s="79">
        <f t="shared" si="4"/>
        <v>1946</v>
      </c>
      <c r="H20" s="12">
        <v>10.199999999999999</v>
      </c>
      <c r="I20" s="17">
        <f t="shared" si="5"/>
        <v>0.05</v>
      </c>
      <c r="J20" s="15">
        <f t="shared" si="9"/>
        <v>52617.544823570242</v>
      </c>
      <c r="K20" s="26">
        <f t="shared" si="1"/>
        <v>1482.8559810622537</v>
      </c>
      <c r="L20" s="27"/>
      <c r="M20" s="17">
        <f t="shared" si="6"/>
        <v>0.05</v>
      </c>
      <c r="N20" s="15">
        <f t="shared" si="7"/>
        <v>48903.189434995256</v>
      </c>
    </row>
    <row r="21" spans="1:14">
      <c r="A21" s="75"/>
      <c r="B21" s="13">
        <f t="shared" si="8"/>
        <v>2026</v>
      </c>
      <c r="C21" s="25">
        <f t="shared" si="10"/>
        <v>58479.765034144992</v>
      </c>
      <c r="D21" s="12">
        <f t="shared" si="0"/>
        <v>4873.3137528454163</v>
      </c>
      <c r="E21" s="12">
        <f t="shared" si="2"/>
        <v>2185.1906013657999</v>
      </c>
      <c r="F21" s="12">
        <f t="shared" si="3"/>
        <v>501.55718040974</v>
      </c>
      <c r="G21" s="79">
        <f t="shared" si="4"/>
        <v>1946</v>
      </c>
      <c r="H21" s="12">
        <v>10.199999999999999</v>
      </c>
      <c r="I21" s="17">
        <f t="shared" si="5"/>
        <v>0.05</v>
      </c>
      <c r="J21" s="15">
        <f t="shared" si="9"/>
        <v>57435.012064748757</v>
      </c>
      <c r="K21" s="26">
        <f t="shared" si="1"/>
        <v>1467.185518647306</v>
      </c>
      <c r="L21" s="27"/>
      <c r="M21" s="17">
        <f t="shared" si="6"/>
        <v>0.05</v>
      </c>
      <c r="N21" s="15">
        <f t="shared" si="7"/>
        <v>53391.648906745024</v>
      </c>
    </row>
    <row r="22" spans="1:14">
      <c r="A22" s="75"/>
      <c r="B22" s="13">
        <f t="shared" si="8"/>
        <v>2027</v>
      </c>
      <c r="C22" s="25">
        <f t="shared" si="10"/>
        <v>60087.958572583986</v>
      </c>
      <c r="D22" s="12">
        <f t="shared" si="0"/>
        <v>5007.3298810486658</v>
      </c>
      <c r="E22" s="12">
        <f t="shared" si="2"/>
        <v>2249.5183429033596</v>
      </c>
      <c r="F22" s="12">
        <f t="shared" si="3"/>
        <v>520.85550287100784</v>
      </c>
      <c r="G22" s="79">
        <f t="shared" si="4"/>
        <v>1946</v>
      </c>
      <c r="H22" s="12">
        <v>10.199999999999999</v>
      </c>
      <c r="I22" s="17">
        <f t="shared" si="5"/>
        <v>0.05</v>
      </c>
      <c r="J22" s="15">
        <f t="shared" si="9"/>
        <v>62493.352667986197</v>
      </c>
      <c r="K22" s="26">
        <f t="shared" si="1"/>
        <v>1451.0839460034629</v>
      </c>
      <c r="L22" s="27"/>
      <c r="M22" s="17">
        <f t="shared" si="6"/>
        <v>0.05</v>
      </c>
      <c r="N22" s="15">
        <f t="shared" si="7"/>
        <v>58104.531352082275</v>
      </c>
    </row>
    <row r="23" spans="1:14">
      <c r="A23" s="75"/>
      <c r="B23" s="13">
        <f t="shared" si="8"/>
        <v>2028</v>
      </c>
      <c r="C23" s="25">
        <f t="shared" si="10"/>
        <v>61740.377433330053</v>
      </c>
      <c r="D23" s="12">
        <f t="shared" si="0"/>
        <v>5145.0314527775045</v>
      </c>
      <c r="E23" s="12">
        <f t="shared" si="2"/>
        <v>2315.6150973332024</v>
      </c>
      <c r="F23" s="12">
        <f t="shared" si="3"/>
        <v>540.68452919996071</v>
      </c>
      <c r="G23" s="79">
        <f t="shared" si="4"/>
        <v>1946</v>
      </c>
      <c r="H23" s="12">
        <v>10.199999999999999</v>
      </c>
      <c r="I23" s="17">
        <f t="shared" si="5"/>
        <v>0.05</v>
      </c>
      <c r="J23" s="15">
        <f t="shared" si="9"/>
        <v>67804.610301385517</v>
      </c>
      <c r="K23" s="26">
        <f t="shared" si="1"/>
        <v>1434.5970205333474</v>
      </c>
      <c r="L23" s="27"/>
      <c r="M23" s="17">
        <f t="shared" si="6"/>
        <v>0.05</v>
      </c>
      <c r="N23" s="15">
        <f t="shared" si="7"/>
        <v>63053.057919686391</v>
      </c>
    </row>
    <row r="24" spans="1:14">
      <c r="A24" s="75"/>
      <c r="B24" s="13">
        <f t="shared" si="8"/>
        <v>2029</v>
      </c>
      <c r="C24" s="25">
        <f t="shared" si="10"/>
        <v>63438.237812746636</v>
      </c>
      <c r="D24" s="12">
        <f t="shared" si="0"/>
        <v>5286.5198177288867</v>
      </c>
      <c r="E24" s="12">
        <f t="shared" si="2"/>
        <v>2383.5295125098655</v>
      </c>
      <c r="F24" s="12">
        <f t="shared" si="3"/>
        <v>561.05885375295964</v>
      </c>
      <c r="G24" s="79">
        <f t="shared" si="4"/>
        <v>1946</v>
      </c>
      <c r="H24" s="12">
        <v>10.199999999999999</v>
      </c>
      <c r="I24" s="17">
        <f t="shared" si="5"/>
        <v>0.05</v>
      </c>
      <c r="J24" s="15">
        <f t="shared" si="9"/>
        <v>73381.430816454798</v>
      </c>
      <c r="K24" s="26">
        <f t="shared" si="1"/>
        <v>1417.7677801082734</v>
      </c>
      <c r="L24" s="27"/>
      <c r="M24" s="17">
        <f t="shared" si="6"/>
        <v>0.05</v>
      </c>
      <c r="N24" s="15">
        <f t="shared" si="7"/>
        <v>68249.010815670714</v>
      </c>
    </row>
    <row r="25" spans="1:14">
      <c r="A25" s="75"/>
      <c r="B25" s="13">
        <f t="shared" si="8"/>
        <v>2030</v>
      </c>
      <c r="C25" s="25">
        <f t="shared" si="10"/>
        <v>65182.789352597174</v>
      </c>
      <c r="D25" s="12">
        <f t="shared" si="0"/>
        <v>5431.8991127164309</v>
      </c>
      <c r="E25" s="12">
        <f t="shared" si="2"/>
        <v>2453.3115741038869</v>
      </c>
      <c r="F25" s="12">
        <f t="shared" si="3"/>
        <v>581.99347223116604</v>
      </c>
      <c r="G25" s="79">
        <f t="shared" si="4"/>
        <v>1946</v>
      </c>
      <c r="H25" s="12">
        <v>10.199999999999999</v>
      </c>
      <c r="I25" s="17">
        <f t="shared" si="5"/>
        <v>0.05</v>
      </c>
      <c r="J25" s="15">
        <f t="shared" si="9"/>
        <v>79237.09235727755</v>
      </c>
      <c r="K25" s="26">
        <f t="shared" si="1"/>
        <v>1400.6366841541824</v>
      </c>
      <c r="L25" s="27"/>
      <c r="M25" s="17">
        <f t="shared" si="6"/>
        <v>0.05</v>
      </c>
      <c r="N25" s="15">
        <f t="shared" si="7"/>
        <v>73704.761356454255</v>
      </c>
    </row>
    <row r="26" spans="1:14">
      <c r="A26" s="75"/>
      <c r="B26" s="13">
        <f t="shared" si="8"/>
        <v>2031</v>
      </c>
      <c r="C26" s="25">
        <f t="shared" si="10"/>
        <v>66975.316059793608</v>
      </c>
      <c r="D26" s="12">
        <f t="shared" si="0"/>
        <v>5581.2763383161337</v>
      </c>
      <c r="E26" s="12">
        <f t="shared" si="2"/>
        <v>2525.0126423917445</v>
      </c>
      <c r="F26" s="12">
        <f t="shared" si="3"/>
        <v>603.50379271752331</v>
      </c>
      <c r="G26" s="79">
        <f t="shared" si="4"/>
        <v>1946</v>
      </c>
      <c r="H26" s="12">
        <v>10.199999999999999</v>
      </c>
      <c r="I26" s="17">
        <f t="shared" si="5"/>
        <v>0.05</v>
      </c>
      <c r="J26" s="15">
        <f t="shared" si="9"/>
        <v>85385.53697514144</v>
      </c>
      <c r="K26" s="26">
        <f t="shared" si="1"/>
        <v>1383.2417477709612</v>
      </c>
      <c r="L26" s="27"/>
      <c r="M26" s="17">
        <f t="shared" si="6"/>
        <v>0.05</v>
      </c>
      <c r="N26" s="15">
        <f t="shared" si="7"/>
        <v>79433.299424276978</v>
      </c>
    </row>
    <row r="27" spans="1:14">
      <c r="A27" s="75"/>
      <c r="B27" s="13">
        <f t="shared" si="8"/>
        <v>2032</v>
      </c>
      <c r="C27" s="25">
        <f t="shared" si="10"/>
        <v>68817.137251437933</v>
      </c>
      <c r="D27" s="12">
        <f t="shared" si="0"/>
        <v>5734.761437619828</v>
      </c>
      <c r="E27" s="12">
        <f t="shared" si="2"/>
        <v>2598.6854900575172</v>
      </c>
      <c r="F27" s="12">
        <f t="shared" si="3"/>
        <v>625.60564701725514</v>
      </c>
      <c r="G27" s="79">
        <f t="shared" si="4"/>
        <v>1946</v>
      </c>
      <c r="H27" s="12">
        <v>10.199999999999999</v>
      </c>
      <c r="I27" s="17">
        <f t="shared" si="5"/>
        <v>0.05</v>
      </c>
      <c r="J27" s="15">
        <f t="shared" si="9"/>
        <v>91841.403823898523</v>
      </c>
      <c r="K27" s="26">
        <f t="shared" si="1"/>
        <v>1365.6186692222057</v>
      </c>
      <c r="L27" s="27"/>
      <c r="M27" s="17">
        <f t="shared" si="6"/>
        <v>0.05</v>
      </c>
      <c r="N27" s="15">
        <f t="shared" si="7"/>
        <v>85448.264395490827</v>
      </c>
    </row>
    <row r="28" spans="1:14">
      <c r="A28" s="75"/>
      <c r="B28" s="13">
        <f t="shared" si="8"/>
        <v>2033</v>
      </c>
      <c r="C28" s="25">
        <f t="shared" si="10"/>
        <v>70709.608525852484</v>
      </c>
      <c r="D28" s="12">
        <f t="shared" si="0"/>
        <v>5892.4673771543739</v>
      </c>
      <c r="E28" s="12">
        <f t="shared" si="2"/>
        <v>2674.3843410340992</v>
      </c>
      <c r="F28" s="12">
        <f t="shared" si="3"/>
        <v>648.31530231022975</v>
      </c>
      <c r="G28" s="79">
        <f t="shared" si="4"/>
        <v>1946</v>
      </c>
      <c r="H28" s="12">
        <v>10.199999999999999</v>
      </c>
      <c r="I28" s="17">
        <f t="shared" si="5"/>
        <v>0.05</v>
      </c>
      <c r="J28" s="15">
        <f t="shared" si="9"/>
        <v>98620.064015093463</v>
      </c>
      <c r="K28" s="26">
        <f t="shared" si="1"/>
        <v>1347.8009511163366</v>
      </c>
      <c r="L28" s="27"/>
      <c r="M28" s="17">
        <f t="shared" si="6"/>
        <v>0.05</v>
      </c>
      <c r="N28" s="15">
        <f t="shared" si="7"/>
        <v>91763.977615265379</v>
      </c>
    </row>
    <row r="29" spans="1:14">
      <c r="A29" s="75"/>
      <c r="B29" s="13">
        <f t="shared" si="8"/>
        <v>2034</v>
      </c>
      <c r="C29" s="25">
        <f t="shared" si="10"/>
        <v>72654.122760313432</v>
      </c>
      <c r="D29" s="12">
        <f t="shared" si="0"/>
        <v>6054.5102300261196</v>
      </c>
      <c r="E29" s="12">
        <f t="shared" si="2"/>
        <v>2752.1649104125372</v>
      </c>
      <c r="F29" s="12">
        <f t="shared" si="3"/>
        <v>671.64947312376114</v>
      </c>
      <c r="G29" s="79">
        <f t="shared" si="4"/>
        <v>1946</v>
      </c>
      <c r="H29" s="12">
        <v>10.199999999999999</v>
      </c>
      <c r="I29" s="17">
        <f t="shared" si="5"/>
        <v>0.05</v>
      </c>
      <c r="J29" s="15">
        <f t="shared" si="9"/>
        <v>105737.65721584814</v>
      </c>
      <c r="K29" s="26">
        <f t="shared" si="1"/>
        <v>1329.8200155845568</v>
      </c>
      <c r="L29" s="27"/>
      <c r="M29" s="17">
        <f t="shared" si="6"/>
        <v>0.05</v>
      </c>
      <c r="N29" s="15">
        <f t="shared" si="7"/>
        <v>98395.476496028656</v>
      </c>
    </row>
    <row r="30" spans="1:14">
      <c r="A30" s="75"/>
      <c r="B30" s="13">
        <f t="shared" si="8"/>
        <v>2035</v>
      </c>
      <c r="C30" s="25">
        <f t="shared" si="10"/>
        <v>74652.111136222054</v>
      </c>
      <c r="D30" s="12">
        <f t="shared" si="0"/>
        <v>6221.0092613518382</v>
      </c>
      <c r="E30" s="12">
        <f t="shared" si="2"/>
        <v>2832.0844454488824</v>
      </c>
      <c r="F30" s="12">
        <f t="shared" si="3"/>
        <v>695.62533363466468</v>
      </c>
      <c r="G30" s="79">
        <f t="shared" si="4"/>
        <v>1946</v>
      </c>
      <c r="H30" s="12">
        <v>10.199999999999999</v>
      </c>
      <c r="I30" s="17">
        <f t="shared" si="5"/>
        <v>0.05</v>
      </c>
      <c r="J30" s="15">
        <f t="shared" si="9"/>
        <v>113211.13007664056</v>
      </c>
      <c r="K30" s="26">
        <f t="shared" si="1"/>
        <v>1311.7053137465205</v>
      </c>
      <c r="L30" s="27"/>
      <c r="M30" s="17">
        <f t="shared" si="6"/>
        <v>0.05</v>
      </c>
      <c r="N30" s="15">
        <f t="shared" si="7"/>
        <v>105358.55032083009</v>
      </c>
    </row>
    <row r="31" spans="1:14">
      <c r="A31" s="75"/>
      <c r="B31" s="13">
        <f t="shared" si="8"/>
        <v>2036</v>
      </c>
      <c r="C31" s="25">
        <f t="shared" si="10"/>
        <v>76705.044192468165</v>
      </c>
      <c r="D31" s="12">
        <f t="shared" si="0"/>
        <v>6392.0870160390141</v>
      </c>
      <c r="E31" s="12">
        <f t="shared" si="2"/>
        <v>2914.2017676987266</v>
      </c>
      <c r="F31" s="12">
        <f t="shared" si="3"/>
        <v>720.26053030961793</v>
      </c>
      <c r="G31" s="79">
        <f t="shared" si="4"/>
        <v>1946</v>
      </c>
      <c r="H31" s="12">
        <v>10.199999999999999</v>
      </c>
      <c r="I31" s="17">
        <f t="shared" si="5"/>
        <v>0.05</v>
      </c>
      <c r="J31" s="15">
        <f t="shared" si="9"/>
        <v>121058.27658047259</v>
      </c>
      <c r="K31" s="26">
        <f t="shared" si="1"/>
        <v>1293.4844297405809</v>
      </c>
      <c r="L31" s="27"/>
      <c r="M31" s="17">
        <f t="shared" si="6"/>
        <v>0.05</v>
      </c>
      <c r="N31" s="15">
        <f t="shared" si="7"/>
        <v>112669.77783687161</v>
      </c>
    </row>
    <row r="32" spans="1:14">
      <c r="A32" s="75"/>
      <c r="B32" s="13">
        <f t="shared" si="8"/>
        <v>2037</v>
      </c>
      <c r="C32" s="25">
        <f t="shared" si="10"/>
        <v>78814.432907761045</v>
      </c>
      <c r="D32" s="12">
        <f t="shared" si="0"/>
        <v>6567.8694089800874</v>
      </c>
      <c r="E32" s="12">
        <f t="shared" si="2"/>
        <v>2998.5773163104418</v>
      </c>
      <c r="F32" s="12">
        <f t="shared" si="3"/>
        <v>745.5731948931325</v>
      </c>
      <c r="G32" s="79">
        <f t="shared" si="4"/>
        <v>1946</v>
      </c>
      <c r="H32" s="12">
        <v>10.199999999999999</v>
      </c>
      <c r="I32" s="17">
        <f t="shared" si="5"/>
        <v>0.05</v>
      </c>
      <c r="J32" s="15">
        <f t="shared" si="9"/>
        <v>129297.78040949623</v>
      </c>
      <c r="K32" s="26">
        <f t="shared" si="1"/>
        <v>1275.1831795822495</v>
      </c>
      <c r="L32" s="27"/>
      <c r="M32" s="17">
        <f t="shared" si="6"/>
        <v>0.05</v>
      </c>
      <c r="N32" s="15">
        <f t="shared" si="7"/>
        <v>120346.5667287152</v>
      </c>
    </row>
    <row r="33" spans="1:14">
      <c r="A33" s="75"/>
      <c r="B33" s="13">
        <f t="shared" si="8"/>
        <v>2038</v>
      </c>
      <c r="C33" s="25">
        <f t="shared" si="10"/>
        <v>80981.829812724478</v>
      </c>
      <c r="D33" s="12">
        <f t="shared" si="0"/>
        <v>6748.4858177270398</v>
      </c>
      <c r="E33" s="12">
        <f t="shared" si="2"/>
        <v>3085.2731925089793</v>
      </c>
      <c r="F33" s="12">
        <f t="shared" si="3"/>
        <v>771.58195775269371</v>
      </c>
      <c r="G33" s="79">
        <f t="shared" si="4"/>
        <v>1946</v>
      </c>
      <c r="H33" s="12">
        <v>10.199999999999999</v>
      </c>
      <c r="I33" s="17">
        <f t="shared" si="5"/>
        <v>0.05</v>
      </c>
      <c r="J33" s="15">
        <f t="shared" si="9"/>
        <v>137949.25942997105</v>
      </c>
      <c r="K33" s="26">
        <f t="shared" si="1"/>
        <v>1256.8257051017818</v>
      </c>
      <c r="L33" s="27"/>
      <c r="M33" s="17">
        <f t="shared" si="6"/>
        <v>0.05</v>
      </c>
      <c r="N33" s="15">
        <f t="shared" si="7"/>
        <v>128407.19506515097</v>
      </c>
    </row>
    <row r="34" spans="1:14">
      <c r="A34" s="75"/>
      <c r="B34" s="13">
        <f t="shared" si="8"/>
        <v>2039</v>
      </c>
      <c r="C34" s="25">
        <f t="shared" si="10"/>
        <v>83208.830132574411</v>
      </c>
      <c r="D34" s="12">
        <f t="shared" si="0"/>
        <v>6934.0691777145339</v>
      </c>
      <c r="E34" s="12">
        <f t="shared" si="2"/>
        <v>3174.3532053029767</v>
      </c>
      <c r="F34" s="12">
        <f t="shared" si="3"/>
        <v>798.30596159089293</v>
      </c>
      <c r="G34" s="79">
        <f t="shared" si="4"/>
        <v>1946</v>
      </c>
      <c r="H34" s="12">
        <v>10.199999999999999</v>
      </c>
      <c r="I34" s="17">
        <f t="shared" si="5"/>
        <v>0.05</v>
      </c>
      <c r="J34" s="15">
        <f t="shared" si="9"/>
        <v>147033.31240146959</v>
      </c>
      <c r="K34" s="26">
        <f t="shared" si="1"/>
        <v>1238.4345631998135</v>
      </c>
      <c r="L34" s="27"/>
      <c r="M34" s="17">
        <f t="shared" si="6"/>
        <v>0.05</v>
      </c>
      <c r="N34" s="15">
        <f t="shared" si="7"/>
        <v>136870.85481840852</v>
      </c>
    </row>
    <row r="35" spans="1:14">
      <c r="A35" s="75"/>
      <c r="B35" s="13">
        <f t="shared" si="8"/>
        <v>2040</v>
      </c>
      <c r="C35" s="25">
        <f t="shared" si="10"/>
        <v>85497.072961220212</v>
      </c>
      <c r="D35" s="12">
        <f t="shared" si="0"/>
        <v>7124.7560801016843</v>
      </c>
      <c r="E35" s="12">
        <f t="shared" si="2"/>
        <v>3265.8829184488086</v>
      </c>
      <c r="F35" s="12">
        <f t="shared" si="3"/>
        <v>825.76487553464256</v>
      </c>
      <c r="G35" s="79">
        <f t="shared" si="4"/>
        <v>1946</v>
      </c>
      <c r="H35" s="12">
        <v>10.199999999999999</v>
      </c>
      <c r="I35" s="17">
        <f t="shared" si="5"/>
        <v>0.05</v>
      </c>
      <c r="J35" s="15">
        <f t="shared" si="9"/>
        <v>156571.56802154306</v>
      </c>
      <c r="K35" s="26">
        <f t="shared" si="1"/>
        <v>1220.0308106484554</v>
      </c>
      <c r="L35" s="27"/>
      <c r="M35" s="17">
        <f t="shared" si="6"/>
        <v>0.05</v>
      </c>
      <c r="N35" s="15">
        <f t="shared" si="7"/>
        <v>145757.69755932895</v>
      </c>
    </row>
    <row r="36" spans="1:14">
      <c r="A36" s="75"/>
      <c r="B36" s="13">
        <f t="shared" si="8"/>
        <v>2041</v>
      </c>
      <c r="C36" s="25">
        <f t="shared" si="10"/>
        <v>87848.242467653778</v>
      </c>
      <c r="D36" s="12">
        <f t="shared" si="0"/>
        <v>7320.6868723044818</v>
      </c>
      <c r="E36" s="12">
        <f t="shared" si="2"/>
        <v>3359.9296987061512</v>
      </c>
      <c r="F36" s="12">
        <f t="shared" si="3"/>
        <v>853.97890961184532</v>
      </c>
      <c r="G36" s="79">
        <f t="shared" si="4"/>
        <v>1946</v>
      </c>
      <c r="H36" s="12">
        <v>10.199999999999999</v>
      </c>
      <c r="I36" s="17">
        <f t="shared" si="5"/>
        <v>0.05</v>
      </c>
      <c r="J36" s="15">
        <f t="shared" si="9"/>
        <v>166586.73642262022</v>
      </c>
      <c r="K36" s="26">
        <f t="shared" si="1"/>
        <v>1201.6340846543512</v>
      </c>
      <c r="L36" s="27"/>
      <c r="M36" s="17">
        <f t="shared" si="6"/>
        <v>0.05</v>
      </c>
      <c r="N36" s="15">
        <f t="shared" si="7"/>
        <v>155088.8824372954</v>
      </c>
    </row>
    <row r="37" spans="1:14">
      <c r="A37" s="75"/>
      <c r="B37" s="13">
        <f t="shared" si="8"/>
        <v>2042</v>
      </c>
      <c r="C37" s="25">
        <f t="shared" si="10"/>
        <v>90264.069135514263</v>
      </c>
      <c r="D37" s="12">
        <f t="shared" si="0"/>
        <v>7522.0057612928549</v>
      </c>
      <c r="E37" s="12">
        <f t="shared" si="2"/>
        <v>3456.5627654205705</v>
      </c>
      <c r="F37" s="12">
        <f t="shared" si="3"/>
        <v>882.9688296261711</v>
      </c>
      <c r="G37" s="79">
        <f t="shared" si="4"/>
        <v>1946</v>
      </c>
      <c r="H37" s="12">
        <v>10.199999999999999</v>
      </c>
      <c r="I37" s="17">
        <f t="shared" si="5"/>
        <v>0.05</v>
      </c>
      <c r="J37" s="15">
        <f t="shared" si="9"/>
        <v>177102.66324375122</v>
      </c>
      <c r="K37" s="26">
        <f t="shared" si="1"/>
        <v>1183.2626793897903</v>
      </c>
      <c r="L37" s="27"/>
      <c r="M37" s="17">
        <f t="shared" si="6"/>
        <v>0.05</v>
      </c>
      <c r="N37" s="15">
        <f t="shared" si="7"/>
        <v>164886.62655916018</v>
      </c>
    </row>
    <row r="38" spans="1:14">
      <c r="A38" s="75"/>
      <c r="B38" s="13">
        <f t="shared" si="8"/>
        <v>2043</v>
      </c>
      <c r="C38" s="25">
        <f t="shared" si="10"/>
        <v>92746.331036740914</v>
      </c>
      <c r="D38" s="12">
        <f t="shared" si="0"/>
        <v>7728.8609197284095</v>
      </c>
      <c r="E38" s="12">
        <f t="shared" si="2"/>
        <v>3555.8532414696365</v>
      </c>
      <c r="F38" s="12">
        <f t="shared" si="3"/>
        <v>912.7559724408909</v>
      </c>
      <c r="G38" s="79">
        <f t="shared" si="4"/>
        <v>1946</v>
      </c>
      <c r="H38" s="12">
        <v>10.199999999999999</v>
      </c>
      <c r="I38" s="17">
        <f t="shared" si="5"/>
        <v>0.05</v>
      </c>
      <c r="J38" s="15">
        <f t="shared" si="9"/>
        <v>188144.38640593877</v>
      </c>
      <c r="K38" s="26">
        <f t="shared" si="1"/>
        <v>1164.9336186880673</v>
      </c>
      <c r="L38" s="27"/>
      <c r="M38" s="17">
        <f t="shared" si="6"/>
        <v>0.05</v>
      </c>
      <c r="N38" s="15">
        <f t="shared" si="7"/>
        <v>175174.2578871182</v>
      </c>
    </row>
    <row r="39" spans="1:14">
      <c r="A39" s="75"/>
      <c r="B39" s="13">
        <f t="shared" si="8"/>
        <v>2044</v>
      </c>
      <c r="C39" s="25">
        <f t="shared" si="10"/>
        <v>95296.855140251297</v>
      </c>
      <c r="D39" s="12">
        <f t="shared" si="0"/>
        <v>7941.4045950209411</v>
      </c>
      <c r="E39" s="12">
        <f t="shared" si="2"/>
        <v>3657.8742056100518</v>
      </c>
      <c r="F39" s="12">
        <f t="shared" si="3"/>
        <v>943.3622616830155</v>
      </c>
      <c r="G39" s="79">
        <f t="shared" si="4"/>
        <v>1946</v>
      </c>
      <c r="H39" s="12">
        <v>10.199999999999999</v>
      </c>
      <c r="I39" s="17">
        <f t="shared" si="5"/>
        <v>0.05</v>
      </c>
      <c r="J39" s="15">
        <f t="shared" si="9"/>
        <v>199738.19572623572</v>
      </c>
      <c r="K39" s="26">
        <f t="shared" si="1"/>
        <v>1146.6627250898409</v>
      </c>
      <c r="L39" s="27"/>
      <c r="M39" s="17">
        <f t="shared" si="6"/>
        <v>0.05</v>
      </c>
      <c r="N39" s="15">
        <f t="shared" si="7"/>
        <v>185976.27078147413</v>
      </c>
    </row>
    <row r="40" spans="1:14">
      <c r="A40" s="75"/>
      <c r="B40" s="13">
        <f t="shared" si="8"/>
        <v>2045</v>
      </c>
      <c r="C40" s="25">
        <f t="shared" si="10"/>
        <v>97917.518656608212</v>
      </c>
      <c r="D40" s="12">
        <f t="shared" si="0"/>
        <v>8159.7932213840177</v>
      </c>
      <c r="E40" s="12">
        <f t="shared" si="2"/>
        <v>3762.7007462643287</v>
      </c>
      <c r="F40" s="12">
        <f t="shared" si="3"/>
        <v>974.81022387929852</v>
      </c>
      <c r="G40" s="79">
        <f t="shared" si="4"/>
        <v>1946</v>
      </c>
      <c r="H40" s="12">
        <v>10.199999999999999</v>
      </c>
      <c r="I40" s="17">
        <f t="shared" si="5"/>
        <v>0.05</v>
      </c>
      <c r="J40" s="15">
        <f t="shared" si="9"/>
        <v>211911.69551254751</v>
      </c>
      <c r="K40" s="26">
        <f t="shared" si="1"/>
        <v>1128.4646854182731</v>
      </c>
      <c r="L40" s="27"/>
      <c r="M40" s="17">
        <f t="shared" si="6"/>
        <v>0.05</v>
      </c>
      <c r="N40" s="15">
        <f t="shared" si="7"/>
        <v>197318.38432054783</v>
      </c>
    </row>
    <row r="41" spans="1:14">
      <c r="A41" s="75"/>
      <c r="B41" s="13">
        <f t="shared" si="8"/>
        <v>2046</v>
      </c>
      <c r="C41" s="25">
        <f t="shared" si="10"/>
        <v>100610.25041966494</v>
      </c>
      <c r="D41" s="12">
        <f t="shared" si="0"/>
        <v>8384.1875349720776</v>
      </c>
      <c r="E41" s="12">
        <f t="shared" si="2"/>
        <v>3870.4100167865977</v>
      </c>
      <c r="F41" s="12">
        <f t="shared" si="3"/>
        <v>1007.1230050359793</v>
      </c>
      <c r="G41" s="79">
        <f t="shared" si="4"/>
        <v>1946</v>
      </c>
      <c r="H41" s="12">
        <v>10.199999999999999</v>
      </c>
      <c r="I41" s="17">
        <f t="shared" si="5"/>
        <v>0.05</v>
      </c>
      <c r="J41" s="15">
        <f t="shared" si="9"/>
        <v>224693.87028817489</v>
      </c>
      <c r="K41" s="26">
        <f t="shared" si="1"/>
        <v>1110.3531130521671</v>
      </c>
      <c r="L41" s="27"/>
      <c r="M41" s="17">
        <f t="shared" si="6"/>
        <v>0.05</v>
      </c>
      <c r="N41" s="15">
        <f t="shared" si="7"/>
        <v>209227.60353657525</v>
      </c>
    </row>
    <row r="42" spans="1:14">
      <c r="A42" s="75"/>
      <c r="B42" s="13">
        <f t="shared" si="8"/>
        <v>2047</v>
      </c>
      <c r="C42" s="25">
        <f t="shared" si="10"/>
        <v>103377.03230620573</v>
      </c>
      <c r="D42" s="12">
        <f t="shared" si="0"/>
        <v>8614.7526921838107</v>
      </c>
      <c r="E42" s="12">
        <f t="shared" si="2"/>
        <v>3981.0812922482291</v>
      </c>
      <c r="F42" s="12">
        <f t="shared" si="3"/>
        <v>1040.3243876744687</v>
      </c>
      <c r="G42" s="79">
        <f t="shared" si="4"/>
        <v>1946</v>
      </c>
      <c r="H42" s="12">
        <v>10.199999999999999</v>
      </c>
      <c r="I42" s="17">
        <f t="shared" si="5"/>
        <v>0.05</v>
      </c>
      <c r="J42" s="15">
        <f t="shared" si="9"/>
        <v>238115.15380258363</v>
      </c>
      <c r="K42" s="26">
        <f t="shared" si="1"/>
        <v>1092.3406070581921</v>
      </c>
      <c r="L42" s="27"/>
      <c r="M42" s="17">
        <f t="shared" si="6"/>
        <v>0.05</v>
      </c>
      <c r="N42" s="15">
        <f t="shared" si="7"/>
        <v>221732.28371340403</v>
      </c>
    </row>
    <row r="43" spans="1:14">
      <c r="A43" s="75"/>
      <c r="B43" s="13">
        <f t="shared" si="8"/>
        <v>2048</v>
      </c>
      <c r="C43" s="25">
        <f t="shared" si="10"/>
        <v>106219.9006946264</v>
      </c>
      <c r="D43" s="12">
        <f t="shared" si="0"/>
        <v>8851.6583912188671</v>
      </c>
      <c r="E43" s="12">
        <f t="shared" si="2"/>
        <v>4094.7960277850561</v>
      </c>
      <c r="F43" s="12">
        <f t="shared" si="3"/>
        <v>1074.4388083355168</v>
      </c>
      <c r="G43" s="79">
        <f t="shared" si="4"/>
        <v>1946</v>
      </c>
      <c r="H43" s="12">
        <v>10.199999999999999</v>
      </c>
      <c r="I43" s="17">
        <f t="shared" si="5"/>
        <v>0.05</v>
      </c>
      <c r="J43" s="15">
        <f t="shared" si="9"/>
        <v>252207.50149271282</v>
      </c>
      <c r="K43" s="26">
        <f t="shared" si="1"/>
        <v>1074.4388083355168</v>
      </c>
      <c r="L43" s="27"/>
      <c r="M43" s="17">
        <f t="shared" si="6"/>
        <v>0.05</v>
      </c>
      <c r="N43" s="15">
        <f t="shared" si="7"/>
        <v>232818.89789907425</v>
      </c>
    </row>
    <row r="44" spans="1:14">
      <c r="A44" s="13"/>
      <c r="B44" s="13"/>
      <c r="C44" s="12"/>
      <c r="D44" s="12"/>
      <c r="E44" s="12"/>
      <c r="F44" s="13"/>
      <c r="G44" s="13"/>
      <c r="H44" s="12"/>
      <c r="I44" s="17"/>
      <c r="J44" s="15"/>
      <c r="K44" s="10"/>
      <c r="L44" s="27"/>
      <c r="M44" s="17"/>
      <c r="N44" s="13"/>
    </row>
    <row r="45" spans="1:14">
      <c r="A45" s="13" t="s">
        <v>11</v>
      </c>
      <c r="B45" s="13"/>
      <c r="C45" s="15">
        <f>SUM(C4:C43)</f>
        <v>2604216.289590125</v>
      </c>
      <c r="D45" s="15"/>
      <c r="E45" s="15" t="s">
        <v>35</v>
      </c>
      <c r="F45" s="15">
        <f t="shared" ref="F45" si="11">SUM(F4:F43)</f>
        <v>23322.795475081501</v>
      </c>
      <c r="G45" s="15">
        <f>SUM(G4:G43)</f>
        <v>76140</v>
      </c>
      <c r="H45" s="15">
        <f>SUM(H4:H43)</f>
        <v>402.89999999999975</v>
      </c>
      <c r="I45" s="17"/>
      <c r="J45" s="15"/>
      <c r="K45" s="28">
        <f>SUM(K4:K43)</f>
        <v>54670.456674565445</v>
      </c>
      <c r="L45" s="27"/>
      <c r="M45" s="17"/>
      <c r="N45" s="13"/>
    </row>
    <row r="46" spans="1:14">
      <c r="A46" s="13"/>
      <c r="B46" s="13"/>
      <c r="C46" s="15"/>
      <c r="D46" s="15"/>
      <c r="E46" s="15"/>
      <c r="F46" s="15"/>
      <c r="G46" s="15"/>
      <c r="H46" s="15"/>
      <c r="I46" s="17" t="s">
        <v>35</v>
      </c>
      <c r="J46" s="15"/>
      <c r="K46" s="28" t="s">
        <v>22</v>
      </c>
      <c r="L46" s="27"/>
      <c r="M46" s="17"/>
      <c r="N46" s="13"/>
    </row>
    <row r="47" spans="1:14" ht="26.25">
      <c r="A47" s="29"/>
      <c r="B47" s="30" t="s">
        <v>16</v>
      </c>
      <c r="C47" s="31"/>
      <c r="D47" s="31"/>
      <c r="E47" s="31"/>
      <c r="F47" s="32"/>
      <c r="G47" s="33" t="s">
        <v>17</v>
      </c>
      <c r="H47" s="34"/>
      <c r="I47" s="35"/>
      <c r="J47" s="34"/>
      <c r="K47" s="36"/>
      <c r="L47" s="27"/>
      <c r="M47" s="17"/>
      <c r="N47" s="13"/>
    </row>
    <row r="48" spans="1:14">
      <c r="A48" s="29"/>
      <c r="B48" s="29"/>
      <c r="C48" s="37"/>
      <c r="D48" s="37"/>
      <c r="E48" s="37"/>
      <c r="F48" s="32"/>
      <c r="G48" s="32"/>
      <c r="H48" s="38"/>
      <c r="I48" s="35"/>
      <c r="J48" s="38"/>
      <c r="K48" s="10"/>
      <c r="L48" s="27"/>
      <c r="M48" s="17"/>
      <c r="N48" s="13"/>
    </row>
    <row r="49" spans="1:14">
      <c r="A49" s="29"/>
      <c r="B49" s="29"/>
      <c r="C49" s="39" t="s">
        <v>21</v>
      </c>
      <c r="D49" s="40">
        <f>J43</f>
        <v>252207.50149271282</v>
      </c>
      <c r="E49" s="37"/>
      <c r="F49" s="32"/>
      <c r="G49" s="32"/>
      <c r="H49" s="41" t="s">
        <v>21</v>
      </c>
      <c r="I49" s="42">
        <f>N43</f>
        <v>232818.89789907425</v>
      </c>
      <c r="J49" s="38"/>
      <c r="K49" s="10"/>
      <c r="L49" s="27"/>
      <c r="M49" s="17"/>
      <c r="N49" s="13"/>
    </row>
    <row r="50" spans="1:14">
      <c r="A50" s="29"/>
      <c r="B50" s="29"/>
      <c r="C50" s="37"/>
      <c r="D50" s="37"/>
      <c r="E50" s="37"/>
      <c r="F50" s="32"/>
      <c r="G50" s="32"/>
      <c r="H50" s="38"/>
      <c r="I50" s="35"/>
      <c r="J50" s="38"/>
      <c r="K50" s="10"/>
      <c r="L50" s="27"/>
      <c r="M50" s="17"/>
      <c r="N50" s="13"/>
    </row>
    <row r="51" spans="1:14">
      <c r="A51" s="29"/>
      <c r="B51" s="29"/>
      <c r="C51" s="43" t="s">
        <v>20</v>
      </c>
      <c r="D51" s="44">
        <v>0.25</v>
      </c>
      <c r="E51" s="37"/>
      <c r="F51" s="32"/>
      <c r="G51" s="32"/>
      <c r="H51" s="45" t="s">
        <v>18</v>
      </c>
      <c r="I51" s="46">
        <v>0.26374999999999998</v>
      </c>
      <c r="J51" s="38"/>
      <c r="K51" s="10"/>
      <c r="L51" s="27"/>
      <c r="M51" s="17"/>
      <c r="N51" s="13"/>
    </row>
    <row r="52" spans="1:14">
      <c r="A52" s="29"/>
      <c r="B52" s="29"/>
      <c r="C52" s="37"/>
      <c r="D52" s="37"/>
      <c r="E52" s="37"/>
      <c r="F52" s="32"/>
      <c r="G52" s="32"/>
      <c r="H52" s="38"/>
      <c r="I52" s="35"/>
      <c r="J52" s="38"/>
      <c r="K52" s="10"/>
      <c r="L52" s="27"/>
      <c r="M52" s="17"/>
      <c r="N52" s="13"/>
    </row>
    <row r="53" spans="1:14">
      <c r="A53" s="29"/>
      <c r="B53" s="29"/>
      <c r="C53" s="43" t="s">
        <v>30</v>
      </c>
      <c r="D53" s="31">
        <f>K45</f>
        <v>54670.456674565445</v>
      </c>
      <c r="E53" s="37"/>
      <c r="F53" s="32"/>
      <c r="G53" s="32"/>
      <c r="H53" s="45" t="s">
        <v>13</v>
      </c>
      <c r="I53" s="34">
        <v>0</v>
      </c>
      <c r="J53" s="38"/>
      <c r="K53" s="10"/>
      <c r="L53" s="27"/>
      <c r="M53" s="17"/>
      <c r="N53" s="13"/>
    </row>
    <row r="54" spans="1:14">
      <c r="A54" s="29"/>
      <c r="B54" s="29"/>
      <c r="C54" s="43" t="s">
        <v>18</v>
      </c>
      <c r="D54" s="47">
        <v>0.26374999999999998</v>
      </c>
      <c r="E54" s="37"/>
      <c r="F54" s="32"/>
      <c r="G54" s="32"/>
      <c r="H54" s="45"/>
      <c r="I54" s="34"/>
      <c r="J54" s="38"/>
      <c r="K54" s="10"/>
      <c r="L54" s="27"/>
      <c r="M54" s="17"/>
      <c r="N54" s="13"/>
    </row>
    <row r="55" spans="1:14">
      <c r="A55" s="29"/>
      <c r="B55" s="29"/>
      <c r="C55" s="43" t="s">
        <v>23</v>
      </c>
      <c r="D55" s="31">
        <f>(D53-F45)*D54</f>
        <v>8267.9456413638891</v>
      </c>
      <c r="E55" s="37"/>
      <c r="F55" s="32"/>
      <c r="G55" s="32"/>
      <c r="H55" s="45"/>
      <c r="I55" s="34"/>
      <c r="J55" s="38"/>
      <c r="K55" s="10"/>
      <c r="L55" s="27"/>
      <c r="M55" s="17"/>
      <c r="N55" s="13"/>
    </row>
    <row r="56" spans="1:14">
      <c r="A56" s="29"/>
      <c r="B56" s="29"/>
      <c r="C56" s="37"/>
      <c r="D56" s="37"/>
      <c r="E56" s="37"/>
      <c r="F56" s="32"/>
      <c r="G56" s="32"/>
      <c r="H56" s="38"/>
      <c r="I56" s="34"/>
      <c r="J56" s="38"/>
      <c r="K56" s="10"/>
      <c r="L56" s="27"/>
      <c r="M56" s="17"/>
      <c r="N56" s="13"/>
    </row>
    <row r="57" spans="1:14" ht="15.75" thickBot="1">
      <c r="A57" s="48"/>
      <c r="B57" s="48"/>
      <c r="C57" s="49" t="s">
        <v>24</v>
      </c>
      <c r="D57" s="50">
        <f>D51*D49</f>
        <v>63051.875373178205</v>
      </c>
      <c r="E57" s="37"/>
      <c r="F57" s="51"/>
      <c r="G57" s="51"/>
      <c r="H57" s="52" t="s">
        <v>12</v>
      </c>
      <c r="I57" s="53">
        <f>I51*I49</f>
        <v>61405.984320880831</v>
      </c>
      <c r="J57" s="38"/>
      <c r="K57" s="10"/>
      <c r="L57" s="27"/>
      <c r="M57" s="17"/>
      <c r="N57" s="13"/>
    </row>
    <row r="58" spans="1:14" ht="15.75" thickTop="1">
      <c r="A58" s="29"/>
      <c r="B58" s="29"/>
      <c r="C58" s="54" t="s">
        <v>31</v>
      </c>
      <c r="D58" s="55">
        <f>D57-D53+D55</f>
        <v>16649.364339976652</v>
      </c>
      <c r="E58" s="37"/>
      <c r="F58" s="32"/>
      <c r="G58" s="32"/>
      <c r="H58" s="56" t="s">
        <v>31</v>
      </c>
      <c r="I58" s="57">
        <f>I57-I53</f>
        <v>61405.984320880831</v>
      </c>
      <c r="J58" s="38"/>
      <c r="K58" s="10"/>
      <c r="L58" s="27"/>
      <c r="M58" s="17"/>
      <c r="N58" s="13"/>
    </row>
    <row r="59" spans="1:14">
      <c r="A59" s="29"/>
      <c r="B59" s="29"/>
      <c r="C59" s="37"/>
      <c r="D59" s="37"/>
      <c r="E59" s="37"/>
      <c r="F59" s="32"/>
      <c r="G59" s="32"/>
      <c r="H59" s="38"/>
      <c r="I59" s="35"/>
      <c r="J59" s="38"/>
      <c r="K59" s="10"/>
      <c r="L59" s="27"/>
      <c r="M59" s="17"/>
      <c r="N59" s="13"/>
    </row>
    <row r="60" spans="1:14">
      <c r="A60" s="29"/>
      <c r="B60" s="29"/>
      <c r="C60" s="37"/>
      <c r="D60" s="37"/>
      <c r="E60" s="37"/>
      <c r="F60" s="32"/>
      <c r="G60" s="32"/>
      <c r="H60" s="38"/>
      <c r="I60" s="35"/>
      <c r="J60" s="38"/>
      <c r="K60" s="10"/>
      <c r="L60" s="27"/>
      <c r="M60" s="17"/>
      <c r="N60" s="13"/>
    </row>
    <row r="61" spans="1:14" s="8" customFormat="1" ht="26.25">
      <c r="A61" s="58" t="s">
        <v>19</v>
      </c>
      <c r="B61" s="58"/>
      <c r="C61" s="59"/>
      <c r="D61" s="59"/>
      <c r="E61" s="60">
        <f>D49-D58</f>
        <v>235558.13715273616</v>
      </c>
      <c r="F61" s="61" t="s">
        <v>19</v>
      </c>
      <c r="G61" s="61"/>
      <c r="H61" s="62"/>
      <c r="I61" s="63"/>
      <c r="J61" s="64">
        <f>I49-I58</f>
        <v>171412.9135781934</v>
      </c>
      <c r="K61" s="80" t="s">
        <v>39</v>
      </c>
      <c r="L61" s="65"/>
      <c r="M61" s="66"/>
      <c r="N61" s="67"/>
    </row>
    <row r="62" spans="1:14">
      <c r="A62" s="29"/>
      <c r="B62" s="29"/>
      <c r="C62" s="37"/>
      <c r="D62" s="37"/>
      <c r="E62" s="37"/>
      <c r="F62" s="32"/>
      <c r="G62" s="32"/>
      <c r="H62" s="38"/>
      <c r="I62" s="35"/>
      <c r="J62" s="34"/>
      <c r="K62" s="81" t="s">
        <v>40</v>
      </c>
      <c r="L62" s="27"/>
      <c r="M62" s="17"/>
      <c r="N62" s="13"/>
    </row>
    <row r="63" spans="1:14">
      <c r="A63" s="29"/>
      <c r="B63" s="29"/>
      <c r="C63" s="37" t="s">
        <v>26</v>
      </c>
      <c r="D63" s="39"/>
      <c r="E63" s="37">
        <f>E61/20/12</f>
        <v>981.49223813640072</v>
      </c>
      <c r="F63" s="32"/>
      <c r="G63" s="32"/>
      <c r="H63" s="38"/>
      <c r="I63" s="35"/>
      <c r="J63" s="38">
        <f>J61/20/12</f>
        <v>714.22047324247251</v>
      </c>
      <c r="K63" s="10"/>
      <c r="L63" s="27"/>
      <c r="M63" s="17"/>
      <c r="N63" s="13"/>
    </row>
    <row r="64" spans="1:14">
      <c r="A64" s="29"/>
      <c r="B64" s="29"/>
      <c r="C64" s="37"/>
      <c r="D64" s="39" t="s">
        <v>25</v>
      </c>
      <c r="E64" s="68">
        <f>E63/1.02^38</f>
        <v>462.4665676908009</v>
      </c>
      <c r="F64" s="32"/>
      <c r="G64" s="32"/>
      <c r="H64" s="38"/>
      <c r="I64" s="35"/>
      <c r="J64" s="69">
        <f>J63/1.02^38</f>
        <v>336.53153636966675</v>
      </c>
      <c r="K64" s="10"/>
      <c r="L64" s="27"/>
      <c r="M64" s="17"/>
      <c r="N64" s="13"/>
    </row>
    <row r="65" spans="1:14" ht="15.75" thickBot="1">
      <c r="A65" s="29"/>
      <c r="B65" s="29"/>
      <c r="C65" s="37"/>
      <c r="D65" s="37"/>
      <c r="E65" s="37"/>
      <c r="F65" s="32"/>
      <c r="G65" s="32"/>
      <c r="H65" s="38"/>
      <c r="I65" s="35"/>
      <c r="J65" s="34"/>
      <c r="K65" s="10"/>
      <c r="L65" s="27"/>
      <c r="M65" s="17"/>
      <c r="N65" s="13"/>
    </row>
    <row r="66" spans="1:14" ht="19.5" thickBot="1">
      <c r="A66" s="29"/>
      <c r="B66" s="29"/>
      <c r="C66" s="37"/>
      <c r="D66" s="70"/>
      <c r="E66" s="71" t="s">
        <v>32</v>
      </c>
      <c r="F66" s="72">
        <f>E61/J61-1</f>
        <v>0.37421465066738779</v>
      </c>
      <c r="G66" s="73"/>
      <c r="H66" s="38"/>
      <c r="I66" s="35"/>
      <c r="J66" s="34"/>
      <c r="K66" s="10"/>
      <c r="L66" s="27"/>
      <c r="M66" s="17"/>
      <c r="N66" s="13"/>
    </row>
    <row r="68" spans="1:14">
      <c r="A68" s="1" t="s">
        <v>33</v>
      </c>
      <c r="B68" s="5" t="s">
        <v>34</v>
      </c>
    </row>
  </sheetData>
  <sheetProtection password="CADB" sheet="1" objects="1" scenarios="1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baseColWidth="10" defaultRowHeight="15"/>
  <sheetData>
    <row r="1" spans="1:2">
      <c r="A1" s="1"/>
      <c r="B1" s="5"/>
    </row>
    <row r="50" spans="1:2">
      <c r="A50" s="1" t="s">
        <v>33</v>
      </c>
      <c r="B50" s="5" t="s">
        <v>34</v>
      </c>
    </row>
  </sheetData>
  <sheetProtection password="CADB" sheet="1" objects="1" scenarios="1"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2016-02-01T22:41:38Z</dcterms:modified>
</cp:coreProperties>
</file>